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7ACAEE16-28B9-4402-851D-FAC10768D56A}" xr6:coauthVersionLast="47" xr6:coauthVersionMax="47" xr10:uidLastSave="{00000000-0000-0000-0000-000000000000}"/>
  <bookViews>
    <workbookView xWindow="3000" yWindow="9465" windowWidth="20340" windowHeight="19545" firstSheet="13" activeTab="19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Sheet1" sheetId="29" r:id="rId21"/>
    <sheet name="AgeStanSec" sheetId="20" r:id="rId22"/>
    <sheet name="Age Stan HMS" sheetId="22" r:id="rId23"/>
    <sheet name="Pace" sheetId="21" r:id="rId24"/>
  </sheets>
  <definedNames>
    <definedName name="AGE">'5K'!$A$7:$A$105</definedName>
    <definedName name="b">'Age Factors'!$H$3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19" l="1"/>
  <c r="D12" i="2"/>
  <c r="E12" i="2"/>
  <c r="E12" i="5"/>
  <c r="E14" i="28"/>
  <c r="E13" i="28"/>
  <c r="E12" i="28"/>
  <c r="E11" i="28"/>
  <c r="E10" i="28"/>
  <c r="D27" i="28"/>
  <c r="E27" i="28"/>
  <c r="E45" i="28"/>
  <c r="E44" i="28"/>
  <c r="E43" i="28"/>
  <c r="E42" i="28"/>
  <c r="E41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6" i="28"/>
  <c r="E25" i="28"/>
  <c r="E24" i="28"/>
  <c r="E23" i="28"/>
  <c r="E22" i="28"/>
  <c r="E21" i="28"/>
  <c r="E19" i="28"/>
  <c r="E18" i="28"/>
  <c r="E17" i="28"/>
  <c r="E16" i="28"/>
  <c r="E15" i="28"/>
  <c r="E20" i="28"/>
  <c r="E106" i="3" l="1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9" i="3"/>
  <c r="E10" i="3"/>
  <c r="H46" i="28" l="1"/>
  <c r="J28" i="2"/>
  <c r="D4" i="28"/>
  <c r="C27" i="28" l="1"/>
  <c r="C93" i="28"/>
  <c r="C91" i="28"/>
  <c r="C79" i="28"/>
  <c r="C73" i="28"/>
  <c r="J9" i="2"/>
  <c r="J98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C94" i="12" l="1"/>
  <c r="C93" i="12"/>
  <c r="C92" i="12"/>
  <c r="K2" i="3"/>
  <c r="K2" i="4"/>
  <c r="K2" i="5"/>
  <c r="K2" i="6"/>
  <c r="K2" i="8"/>
  <c r="K2" i="9"/>
  <c r="K2" i="10"/>
  <c r="K2" i="13"/>
  <c r="K2" i="14"/>
  <c r="K2" i="11"/>
  <c r="Z19" i="1"/>
  <c r="D4" i="6"/>
  <c r="D4" i="3" l="1"/>
  <c r="D4" i="2"/>
  <c r="E4" i="2" s="1"/>
  <c r="E5" i="2" s="1"/>
  <c r="F2" i="2"/>
  <c r="F2" i="28"/>
  <c r="D4" i="7"/>
  <c r="E4" i="7"/>
  <c r="F2" i="7"/>
  <c r="F3" i="2"/>
  <c r="G2" i="7"/>
  <c r="G2" i="6" l="1"/>
  <c r="D12" i="7"/>
  <c r="C12" i="7"/>
  <c r="F3" i="7"/>
  <c r="E39" i="7"/>
  <c r="E32" i="7"/>
  <c r="L6" i="1"/>
  <c r="G3" i="14"/>
  <c r="F3" i="14"/>
  <c r="G2" i="14"/>
  <c r="F2" i="14"/>
  <c r="G3" i="12"/>
  <c r="F3" i="12"/>
  <c r="G2" i="12"/>
  <c r="F2" i="12"/>
  <c r="G3" i="11"/>
  <c r="F3" i="11"/>
  <c r="G2" i="11"/>
  <c r="F2" i="11"/>
  <c r="G3" i="10"/>
  <c r="F3" i="10"/>
  <c r="G2" i="10"/>
  <c r="F2" i="10"/>
  <c r="G3" i="9"/>
  <c r="F3" i="9"/>
  <c r="G2" i="9"/>
  <c r="F2" i="9"/>
  <c r="G3" i="8"/>
  <c r="F3" i="8"/>
  <c r="G2" i="8"/>
  <c r="F2" i="8"/>
  <c r="G3" i="6"/>
  <c r="F3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G2" i="2"/>
  <c r="J18" i="1" l="1"/>
  <c r="H18" i="1"/>
  <c r="C89" i="14"/>
  <c r="C88" i="14"/>
  <c r="C87" i="14"/>
  <c r="C85" i="14"/>
  <c r="C84" i="14"/>
  <c r="C85" i="13"/>
  <c r="C84" i="13"/>
  <c r="C83" i="13"/>
  <c r="C82" i="13"/>
  <c r="C38" i="1" l="1"/>
  <c r="C17" i="1"/>
  <c r="D17" i="1"/>
  <c r="F17" i="1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C3" i="19" l="1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S4" i="19"/>
  <c r="T4" i="19"/>
  <c r="U4" i="19"/>
  <c r="V4" i="19"/>
  <c r="S5" i="19"/>
  <c r="T5" i="19"/>
  <c r="U5" i="19"/>
  <c r="V5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B5" i="22" l="1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5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F12" i="1"/>
  <c r="J98" i="15" l="1"/>
  <c r="H12" i="1" l="1"/>
  <c r="J12" i="1"/>
  <c r="D12" i="1"/>
  <c r="C12" i="1" s="1"/>
  <c r="C95" i="2" l="1"/>
  <c r="C94" i="2"/>
  <c r="C93" i="2"/>
  <c r="J94" i="2" l="1"/>
  <c r="J93" i="2"/>
  <c r="J95" i="2"/>
  <c r="B27" i="19"/>
  <c r="B27" i="20" s="1"/>
  <c r="B27" i="22" s="1"/>
  <c r="B26" i="19"/>
  <c r="B26" i="20" s="1"/>
  <c r="B26" i="22" s="1"/>
  <c r="B25" i="19"/>
  <c r="B25" i="20" s="1"/>
  <c r="B25" i="22" s="1"/>
  <c r="B24" i="19"/>
  <c r="B24" i="20" s="1"/>
  <c r="B24" i="22" s="1"/>
  <c r="B23" i="19"/>
  <c r="B23" i="20" s="1"/>
  <c r="B23" i="22" s="1"/>
  <c r="B22" i="19"/>
  <c r="B22" i="20" s="1"/>
  <c r="B22" i="22" s="1"/>
  <c r="B21" i="19"/>
  <c r="B21" i="20" s="1"/>
  <c r="B21" i="22" s="1"/>
  <c r="E4" i="28"/>
  <c r="F3" i="28"/>
  <c r="B19" i="19" s="1"/>
  <c r="B19" i="20" s="1"/>
  <c r="B19" i="22" s="1"/>
  <c r="B14" i="19"/>
  <c r="B14" i="20" s="1"/>
  <c r="B14" i="22" s="1"/>
  <c r="E5" i="28" l="1"/>
  <c r="B18" i="19"/>
  <c r="B18" i="20" s="1"/>
  <c r="B18" i="22" s="1"/>
  <c r="D29" i="28"/>
  <c r="D24" i="28"/>
  <c r="D26" i="28"/>
  <c r="D30" i="28"/>
  <c r="D10" i="28"/>
  <c r="D19" i="28"/>
  <c r="D31" i="28"/>
  <c r="D28" i="28"/>
  <c r="D32" i="28"/>
  <c r="D18" i="28" l="1"/>
  <c r="B13" i="19"/>
  <c r="B13" i="20" s="1"/>
  <c r="B13" i="22" s="1"/>
  <c r="D17" i="28"/>
  <c r="B12" i="19"/>
  <c r="B12" i="20" s="1"/>
  <c r="B12" i="22" s="1"/>
  <c r="D22" i="28"/>
  <c r="B17" i="19"/>
  <c r="B17" i="20" s="1"/>
  <c r="B17" i="22" s="1"/>
  <c r="D16" i="28"/>
  <c r="B11" i="19"/>
  <c r="B11" i="20" s="1"/>
  <c r="B11" i="22" s="1"/>
  <c r="D21" i="28"/>
  <c r="B16" i="19"/>
  <c r="B16" i="20" s="1"/>
  <c r="B16" i="22" s="1"/>
  <c r="D12" i="28"/>
  <c r="B7" i="19"/>
  <c r="B7" i="20" s="1"/>
  <c r="B7" i="22" s="1"/>
  <c r="D25" i="28"/>
  <c r="B20" i="19"/>
  <c r="B20" i="20" s="1"/>
  <c r="B20" i="22" s="1"/>
  <c r="D20" i="28"/>
  <c r="B15" i="19"/>
  <c r="B15" i="20" s="1"/>
  <c r="B15" i="22" s="1"/>
  <c r="D15" i="28"/>
  <c r="B10" i="19"/>
  <c r="B10" i="20" s="1"/>
  <c r="B10" i="22" s="1"/>
  <c r="D14" i="28"/>
  <c r="B9" i="19"/>
  <c r="B9" i="20" s="1"/>
  <c r="B9" i="22" s="1"/>
  <c r="D13" i="28"/>
  <c r="B8" i="19"/>
  <c r="B8" i="20" s="1"/>
  <c r="B8" i="22" s="1"/>
  <c r="D11" i="28"/>
  <c r="B6" i="19"/>
  <c r="B6" i="20" s="1"/>
  <c r="B6" i="22" s="1"/>
  <c r="D23" i="28"/>
  <c r="C18" i="9"/>
  <c r="C16" i="9"/>
  <c r="C15" i="9"/>
  <c r="C14" i="9"/>
  <c r="C13" i="9"/>
  <c r="C11" i="12" l="1"/>
  <c r="J11" i="12" s="1"/>
  <c r="C88" i="5" l="1"/>
  <c r="C9" i="2" l="1"/>
  <c r="C100" i="2" l="1"/>
  <c r="C98" i="2"/>
  <c r="C97" i="2"/>
  <c r="C96" i="2"/>
  <c r="J96" i="2" l="1"/>
  <c r="J98" i="2"/>
  <c r="J97" i="2"/>
  <c r="J100" i="2"/>
  <c r="Z10" i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G2" i="15"/>
  <c r="E86" i="15" s="1"/>
  <c r="F2" i="15"/>
  <c r="F3" i="13"/>
  <c r="F2" i="13"/>
  <c r="G3" i="7"/>
  <c r="C99" i="12" l="1"/>
  <c r="J99" i="12" s="1"/>
  <c r="J93" i="12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H32" i="1"/>
  <c r="H31" i="1"/>
  <c r="H30" i="1"/>
  <c r="H29" i="1"/>
  <c r="H28" i="1"/>
  <c r="R4" i="19" s="1"/>
  <c r="R5" i="19" s="1"/>
  <c r="H27" i="1"/>
  <c r="Q4" i="19" s="1"/>
  <c r="Q5" i="19" s="1"/>
  <c r="H26" i="1"/>
  <c r="P4" i="19" s="1"/>
  <c r="P5" i="19" s="1"/>
  <c r="H25" i="1"/>
  <c r="O4" i="19" s="1"/>
  <c r="O5" i="19" s="1"/>
  <c r="H24" i="1"/>
  <c r="N4" i="19" s="1"/>
  <c r="N5" i="19" s="1"/>
  <c r="H23" i="1"/>
  <c r="M4" i="19" s="1"/>
  <c r="M5" i="19" s="1"/>
  <c r="H22" i="1"/>
  <c r="L4" i="19" s="1"/>
  <c r="L5" i="19" s="1"/>
  <c r="H21" i="1"/>
  <c r="K4" i="19" s="1"/>
  <c r="K5" i="19" s="1"/>
  <c r="H20" i="1"/>
  <c r="J4" i="19" s="1"/>
  <c r="J5" i="19" s="1"/>
  <c r="H19" i="1"/>
  <c r="I4" i="19" s="1"/>
  <c r="I5" i="19" s="1"/>
  <c r="H4" i="19"/>
  <c r="H5" i="19" s="1"/>
  <c r="H17" i="1"/>
  <c r="G4" i="19" s="1"/>
  <c r="G5" i="19" s="1"/>
  <c r="H16" i="1"/>
  <c r="F4" i="19" s="1"/>
  <c r="F5" i="19" s="1"/>
  <c r="H15" i="1"/>
  <c r="E4" i="19" s="1"/>
  <c r="E5" i="19" s="1"/>
  <c r="H14" i="1"/>
  <c r="D4" i="19" s="1"/>
  <c r="D5" i="19" s="1"/>
  <c r="H13" i="1"/>
  <c r="C4" i="19" s="1"/>
  <c r="C5" i="19" s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AO25" i="1" s="1"/>
  <c r="D24" i="1"/>
  <c r="C24" i="1" s="1"/>
  <c r="D23" i="1"/>
  <c r="AO23" i="1" s="1"/>
  <c r="D22" i="1"/>
  <c r="D21" i="1"/>
  <c r="D20" i="1"/>
  <c r="AO20" i="1" s="1"/>
  <c r="D19" i="1"/>
  <c r="D18" i="1"/>
  <c r="D16" i="1"/>
  <c r="D13" i="1"/>
  <c r="C13" i="1" s="1"/>
  <c r="D11" i="1"/>
  <c r="D10" i="1"/>
  <c r="C10" i="1" s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D4" i="8"/>
  <c r="E4" i="8" s="1"/>
  <c r="D4" i="9"/>
  <c r="E4" i="9" s="1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4" i="6"/>
  <c r="E4" i="3"/>
  <c r="D10" i="3" s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Z15" i="1" s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M18" i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C19" i="1"/>
  <c r="J19" i="1"/>
  <c r="M19" i="1" s="1"/>
  <c r="L19" i="1"/>
  <c r="O19" i="1"/>
  <c r="P19" i="1"/>
  <c r="S19" i="1"/>
  <c r="T19" i="1"/>
  <c r="U19" i="1"/>
  <c r="AM19" i="1"/>
  <c r="AN19" i="1"/>
  <c r="AO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C23" i="1"/>
  <c r="J23" i="1"/>
  <c r="M23" i="1" s="1"/>
  <c r="L23" i="1"/>
  <c r="O23" i="1"/>
  <c r="P23" i="1"/>
  <c r="R23" i="1"/>
  <c r="S23" i="1"/>
  <c r="T23" i="1"/>
  <c r="U23" i="1"/>
  <c r="AM23" i="1"/>
  <c r="AN23" i="1"/>
  <c r="J24" i="1"/>
  <c r="M24" i="1" s="1"/>
  <c r="L24" i="1"/>
  <c r="O24" i="1"/>
  <c r="P24" i="1"/>
  <c r="S24" i="1"/>
  <c r="T24" i="1"/>
  <c r="U24" i="1"/>
  <c r="AM24" i="1"/>
  <c r="AN24" i="1"/>
  <c r="J25" i="1"/>
  <c r="L25" i="1"/>
  <c r="O25" i="1"/>
  <c r="P25" i="1"/>
  <c r="S25" i="1"/>
  <c r="T25" i="1"/>
  <c r="U25" i="1"/>
  <c r="AM25" i="1"/>
  <c r="AN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M28" i="1" s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P4" i="21"/>
  <c r="P5" i="21" s="1"/>
  <c r="U4" i="22"/>
  <c r="U5" i="22" s="1"/>
  <c r="U4" i="20"/>
  <c r="T4" i="21"/>
  <c r="T5" i="21" s="1"/>
  <c r="T4" i="22"/>
  <c r="T5" i="22" s="1"/>
  <c r="T4" i="20"/>
  <c r="T5" i="20" s="1"/>
  <c r="S4" i="22"/>
  <c r="S5" i="22" s="1"/>
  <c r="S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13" i="2"/>
  <c r="E11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2" i="18"/>
  <c r="D22" i="18" s="1"/>
  <c r="E17" i="18"/>
  <c r="D12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D25" i="18" s="1"/>
  <c r="D20" i="18"/>
  <c r="E14" i="18"/>
  <c r="D14" i="18" s="1"/>
  <c r="E9" i="18"/>
  <c r="E48" i="18"/>
  <c r="D48" i="18" s="1"/>
  <c r="F48" i="18" s="1"/>
  <c r="E51" i="18"/>
  <c r="D51" i="18" s="1"/>
  <c r="F51" i="18" s="1"/>
  <c r="E57" i="18"/>
  <c r="D57" i="18" s="1"/>
  <c r="F57" i="18" s="1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S5" i="20"/>
  <c r="Z18" i="1"/>
  <c r="Z20" i="1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C10" i="19" l="1"/>
  <c r="E15" i="4"/>
  <c r="E10" i="19" s="1"/>
  <c r="E15" i="5"/>
  <c r="F10" i="19" s="1"/>
  <c r="E15" i="6"/>
  <c r="G10" i="19" s="1"/>
  <c r="C6" i="19"/>
  <c r="E11" i="4"/>
  <c r="E6" i="19" s="1"/>
  <c r="E11" i="5"/>
  <c r="F6" i="19" s="1"/>
  <c r="E11" i="6"/>
  <c r="G6" i="19" s="1"/>
  <c r="C8" i="19"/>
  <c r="E13" i="4"/>
  <c r="E8" i="19" s="1"/>
  <c r="E13" i="5"/>
  <c r="F8" i="19" s="1"/>
  <c r="E13" i="6"/>
  <c r="G8" i="19" s="1"/>
  <c r="C26" i="19"/>
  <c r="E31" i="4"/>
  <c r="E26" i="19" s="1"/>
  <c r="E31" i="5"/>
  <c r="F26" i="19" s="1"/>
  <c r="E31" i="6"/>
  <c r="G26" i="19" s="1"/>
  <c r="C11" i="19"/>
  <c r="E16" i="5"/>
  <c r="F11" i="19" s="1"/>
  <c r="E16" i="6"/>
  <c r="G11" i="19" s="1"/>
  <c r="E16" i="4"/>
  <c r="E11" i="19" s="1"/>
  <c r="C12" i="19"/>
  <c r="E17" i="5"/>
  <c r="F12" i="19" s="1"/>
  <c r="E17" i="6"/>
  <c r="G12" i="19" s="1"/>
  <c r="E17" i="4"/>
  <c r="E12" i="19" s="1"/>
  <c r="C13" i="19"/>
  <c r="E18" i="6"/>
  <c r="G13" i="19" s="1"/>
  <c r="E18" i="4"/>
  <c r="E13" i="19" s="1"/>
  <c r="E18" i="5"/>
  <c r="F13" i="19" s="1"/>
  <c r="C7" i="19"/>
  <c r="E12" i="4"/>
  <c r="E7" i="19" s="1"/>
  <c r="F7" i="19"/>
  <c r="E12" i="6"/>
  <c r="G7" i="19" s="1"/>
  <c r="K12" i="2"/>
  <c r="C14" i="19"/>
  <c r="E19" i="6"/>
  <c r="G14" i="19" s="1"/>
  <c r="E19" i="4"/>
  <c r="E14" i="19" s="1"/>
  <c r="E19" i="5"/>
  <c r="F14" i="19" s="1"/>
  <c r="C19" i="19"/>
  <c r="E24" i="6"/>
  <c r="G19" i="19" s="1"/>
  <c r="E24" i="4"/>
  <c r="E19" i="19" s="1"/>
  <c r="E24" i="5"/>
  <c r="F19" i="19" s="1"/>
  <c r="E10" i="4"/>
  <c r="E10" i="5"/>
  <c r="E10" i="6"/>
  <c r="D10" i="6" s="1"/>
  <c r="C18" i="19"/>
  <c r="E23" i="6"/>
  <c r="G18" i="19" s="1"/>
  <c r="E23" i="4"/>
  <c r="E18" i="19" s="1"/>
  <c r="E23" i="5"/>
  <c r="F18" i="19" s="1"/>
  <c r="C20" i="19"/>
  <c r="E25" i="6"/>
  <c r="G20" i="19" s="1"/>
  <c r="E25" i="4"/>
  <c r="E20" i="19" s="1"/>
  <c r="E25" i="5"/>
  <c r="F20" i="19" s="1"/>
  <c r="C27" i="19"/>
  <c r="E32" i="4"/>
  <c r="E27" i="19" s="1"/>
  <c r="E32" i="5"/>
  <c r="F27" i="19" s="1"/>
  <c r="E32" i="6"/>
  <c r="G27" i="19" s="1"/>
  <c r="C15" i="19"/>
  <c r="E20" i="6"/>
  <c r="G15" i="19" s="1"/>
  <c r="E20" i="4"/>
  <c r="E15" i="19" s="1"/>
  <c r="E20" i="5"/>
  <c r="F15" i="19" s="1"/>
  <c r="C22" i="19"/>
  <c r="E27" i="4"/>
  <c r="E22" i="19" s="1"/>
  <c r="E27" i="5"/>
  <c r="F22" i="19" s="1"/>
  <c r="E27" i="6"/>
  <c r="G22" i="19" s="1"/>
  <c r="C25" i="19"/>
  <c r="E30" i="4"/>
  <c r="E25" i="19" s="1"/>
  <c r="E30" i="5"/>
  <c r="F25" i="19" s="1"/>
  <c r="E30" i="6"/>
  <c r="G25" i="19" s="1"/>
  <c r="C23" i="19"/>
  <c r="E28" i="4"/>
  <c r="E23" i="19" s="1"/>
  <c r="E28" i="5"/>
  <c r="F23" i="19" s="1"/>
  <c r="E28" i="6"/>
  <c r="G23" i="19" s="1"/>
  <c r="C21" i="19"/>
  <c r="E26" i="6"/>
  <c r="G21" i="19" s="1"/>
  <c r="E26" i="4"/>
  <c r="E21" i="19" s="1"/>
  <c r="E26" i="5"/>
  <c r="F21" i="19" s="1"/>
  <c r="E9" i="4"/>
  <c r="E9" i="5"/>
  <c r="D9" i="5" s="1"/>
  <c r="E9" i="6"/>
  <c r="C24" i="19"/>
  <c r="E29" i="4"/>
  <c r="E24" i="19" s="1"/>
  <c r="E29" i="5"/>
  <c r="F24" i="19" s="1"/>
  <c r="E29" i="6"/>
  <c r="G24" i="19" s="1"/>
  <c r="C17" i="19"/>
  <c r="E22" i="6"/>
  <c r="G17" i="19" s="1"/>
  <c r="E22" i="4"/>
  <c r="E17" i="19" s="1"/>
  <c r="E22" i="5"/>
  <c r="F17" i="19" s="1"/>
  <c r="C9" i="19"/>
  <c r="E14" i="4"/>
  <c r="E9" i="19" s="1"/>
  <c r="E14" i="5"/>
  <c r="F9" i="19" s="1"/>
  <c r="E14" i="6"/>
  <c r="G9" i="19" s="1"/>
  <c r="C16" i="19"/>
  <c r="E21" i="6"/>
  <c r="G16" i="19" s="1"/>
  <c r="E21" i="4"/>
  <c r="E16" i="19" s="1"/>
  <c r="E21" i="5"/>
  <c r="F16" i="19" s="1"/>
  <c r="C81" i="19"/>
  <c r="E86" i="4"/>
  <c r="E86" i="6"/>
  <c r="D86" i="6" s="1"/>
  <c r="E86" i="8"/>
  <c r="E86" i="5"/>
  <c r="C34" i="19"/>
  <c r="E39" i="5"/>
  <c r="E39" i="6"/>
  <c r="E39" i="4"/>
  <c r="C56" i="19"/>
  <c r="E61" i="6"/>
  <c r="E61" i="5"/>
  <c r="E61" i="4"/>
  <c r="C96" i="19"/>
  <c r="E101" i="5"/>
  <c r="E101" i="4"/>
  <c r="E101" i="6"/>
  <c r="C78" i="19"/>
  <c r="E83" i="5"/>
  <c r="E83" i="4"/>
  <c r="E83" i="6"/>
  <c r="E80" i="5"/>
  <c r="E80" i="4"/>
  <c r="E80" i="6"/>
  <c r="C55" i="19"/>
  <c r="E60" i="6"/>
  <c r="E60" i="4"/>
  <c r="E60" i="5"/>
  <c r="C57" i="19"/>
  <c r="E62" i="6"/>
  <c r="E62" i="4"/>
  <c r="E62" i="5"/>
  <c r="C39" i="19"/>
  <c r="E44" i="6"/>
  <c r="E44" i="4"/>
  <c r="E44" i="5"/>
  <c r="C29" i="19"/>
  <c r="E34" i="5"/>
  <c r="E34" i="6"/>
  <c r="E34" i="4"/>
  <c r="C76" i="19"/>
  <c r="E81" i="5"/>
  <c r="E81" i="4"/>
  <c r="E81" i="6"/>
  <c r="C52" i="19"/>
  <c r="E57" i="6"/>
  <c r="E57" i="4"/>
  <c r="E57" i="5"/>
  <c r="C93" i="19"/>
  <c r="E98" i="5"/>
  <c r="E98" i="4"/>
  <c r="E98" i="6"/>
  <c r="C58" i="19"/>
  <c r="E63" i="6"/>
  <c r="E63" i="4"/>
  <c r="E63" i="5"/>
  <c r="C45" i="19"/>
  <c r="E50" i="6"/>
  <c r="E50" i="4"/>
  <c r="E50" i="5"/>
  <c r="C43" i="19"/>
  <c r="E48" i="4"/>
  <c r="E48" i="5"/>
  <c r="E48" i="6"/>
  <c r="C74" i="19"/>
  <c r="E79" i="5"/>
  <c r="E79" i="4"/>
  <c r="E79" i="6"/>
  <c r="C59" i="19"/>
  <c r="E64" i="6"/>
  <c r="E64" i="5"/>
  <c r="E64" i="4"/>
  <c r="C48" i="19"/>
  <c r="E53" i="6"/>
  <c r="E53" i="4"/>
  <c r="E53" i="5"/>
  <c r="C53" i="19"/>
  <c r="E58" i="6"/>
  <c r="E58" i="4"/>
  <c r="E58" i="5"/>
  <c r="C67" i="19"/>
  <c r="E72" i="6"/>
  <c r="E72" i="4"/>
  <c r="E72" i="5"/>
  <c r="C60" i="19"/>
  <c r="E65" i="6"/>
  <c r="E65" i="4"/>
  <c r="E65" i="5"/>
  <c r="C70" i="19"/>
  <c r="E75" i="6"/>
  <c r="E75" i="4"/>
  <c r="E75" i="5"/>
  <c r="C71" i="19"/>
  <c r="E76" i="6"/>
  <c r="E76" i="4"/>
  <c r="E76" i="5"/>
  <c r="C65" i="19"/>
  <c r="E70" i="5"/>
  <c r="E70" i="6"/>
  <c r="E70" i="4"/>
  <c r="C64" i="19"/>
  <c r="E69" i="5"/>
  <c r="E69" i="6"/>
  <c r="E69" i="4"/>
  <c r="C73" i="19"/>
  <c r="E78" i="6"/>
  <c r="E78" i="5"/>
  <c r="E78" i="4"/>
  <c r="C80" i="19"/>
  <c r="E85" i="4"/>
  <c r="E85" i="6"/>
  <c r="E85" i="5"/>
  <c r="C63" i="19"/>
  <c r="E68" i="4"/>
  <c r="E68" i="5"/>
  <c r="E68" i="6"/>
  <c r="C51" i="19"/>
  <c r="E56" i="4"/>
  <c r="E56" i="5"/>
  <c r="E56" i="6"/>
  <c r="C79" i="19"/>
  <c r="E84" i="5"/>
  <c r="E84" i="4"/>
  <c r="E84" i="6"/>
  <c r="C85" i="19"/>
  <c r="E90" i="6"/>
  <c r="E90" i="5"/>
  <c r="E90" i="4"/>
  <c r="C94" i="19"/>
  <c r="E99" i="6"/>
  <c r="E99" i="4"/>
  <c r="E99" i="5"/>
  <c r="C47" i="19"/>
  <c r="E52" i="6"/>
  <c r="E52" i="4"/>
  <c r="E52" i="5"/>
  <c r="C44" i="19"/>
  <c r="E49" i="4"/>
  <c r="E49" i="6"/>
  <c r="E49" i="5"/>
  <c r="C87" i="19"/>
  <c r="E92" i="5"/>
  <c r="E92" i="4"/>
  <c r="E92" i="6"/>
  <c r="C88" i="19"/>
  <c r="E93" i="6"/>
  <c r="E93" i="5"/>
  <c r="E93" i="4"/>
  <c r="C33" i="19"/>
  <c r="E38" i="5"/>
  <c r="E38" i="6"/>
  <c r="E38" i="4"/>
  <c r="C92" i="19"/>
  <c r="E97" i="4"/>
  <c r="E97" i="6"/>
  <c r="E97" i="5"/>
  <c r="C36" i="19"/>
  <c r="E41" i="5"/>
  <c r="E41" i="6"/>
  <c r="E41" i="4"/>
  <c r="C86" i="19"/>
  <c r="E91" i="5"/>
  <c r="E91" i="6"/>
  <c r="E91" i="4"/>
  <c r="C100" i="19"/>
  <c r="E105" i="4"/>
  <c r="E105" i="6"/>
  <c r="E105" i="5"/>
  <c r="C40" i="19"/>
  <c r="E45" i="6"/>
  <c r="E45" i="4"/>
  <c r="E45" i="5"/>
  <c r="C97" i="19"/>
  <c r="E102" i="5"/>
  <c r="E102" i="6"/>
  <c r="E102" i="4"/>
  <c r="C32" i="19"/>
  <c r="E37" i="5"/>
  <c r="E37" i="6"/>
  <c r="E37" i="4"/>
  <c r="C31" i="19"/>
  <c r="E36" i="6"/>
  <c r="E36" i="4"/>
  <c r="E36" i="5"/>
  <c r="C98" i="19"/>
  <c r="E103" i="5"/>
  <c r="E103" i="4"/>
  <c r="E103" i="6"/>
  <c r="C41" i="19"/>
  <c r="E46" i="6"/>
  <c r="E46" i="4"/>
  <c r="E46" i="5"/>
  <c r="C35" i="19"/>
  <c r="E40" i="4"/>
  <c r="E40" i="5"/>
  <c r="E40" i="6"/>
  <c r="C54" i="19"/>
  <c r="E59" i="5"/>
  <c r="E59" i="6"/>
  <c r="E59" i="4"/>
  <c r="C46" i="19"/>
  <c r="E51" i="6"/>
  <c r="E51" i="4"/>
  <c r="E51" i="5"/>
  <c r="C95" i="19"/>
  <c r="E100" i="4"/>
  <c r="E100" i="6"/>
  <c r="E100" i="5"/>
  <c r="C62" i="19"/>
  <c r="E67" i="6"/>
  <c r="E67" i="4"/>
  <c r="E67" i="5"/>
  <c r="C61" i="19"/>
  <c r="E66" i="6"/>
  <c r="E66" i="4"/>
  <c r="E66" i="5"/>
  <c r="C91" i="19"/>
  <c r="E96" i="5"/>
  <c r="E96" i="6"/>
  <c r="E96" i="4"/>
  <c r="C99" i="19"/>
  <c r="E104" i="5"/>
  <c r="E104" i="4"/>
  <c r="E104" i="6"/>
  <c r="C38" i="19"/>
  <c r="E43" i="5"/>
  <c r="E43" i="4"/>
  <c r="E43" i="6"/>
  <c r="C66" i="19"/>
  <c r="E71" i="5"/>
  <c r="E71" i="6"/>
  <c r="E71" i="4"/>
  <c r="C69" i="19"/>
  <c r="E74" i="5"/>
  <c r="E74" i="6"/>
  <c r="E74" i="4"/>
  <c r="C90" i="19"/>
  <c r="E95" i="5"/>
  <c r="E95" i="4"/>
  <c r="E95" i="6"/>
  <c r="C28" i="19"/>
  <c r="E33" i="5"/>
  <c r="E33" i="6"/>
  <c r="E33" i="4"/>
  <c r="C49" i="19"/>
  <c r="E54" i="6"/>
  <c r="E54" i="4"/>
  <c r="E54" i="5"/>
  <c r="C42" i="19"/>
  <c r="E47" i="6"/>
  <c r="E47" i="4"/>
  <c r="E47" i="5"/>
  <c r="C68" i="19"/>
  <c r="E73" i="5"/>
  <c r="E73" i="6"/>
  <c r="E73" i="4"/>
  <c r="C77" i="19"/>
  <c r="E82" i="5"/>
  <c r="E82" i="6"/>
  <c r="E82" i="4"/>
  <c r="C89" i="19"/>
  <c r="E94" i="5"/>
  <c r="E94" i="6"/>
  <c r="E94" i="4"/>
  <c r="C101" i="19"/>
  <c r="E106" i="6"/>
  <c r="E106" i="4"/>
  <c r="E106" i="5"/>
  <c r="C37" i="19"/>
  <c r="E42" i="5"/>
  <c r="E42" i="4"/>
  <c r="E42" i="6"/>
  <c r="C50" i="19"/>
  <c r="E55" i="6"/>
  <c r="E55" i="4"/>
  <c r="E55" i="5"/>
  <c r="C72" i="19"/>
  <c r="E77" i="5"/>
  <c r="E77" i="4"/>
  <c r="E77" i="6"/>
  <c r="C82" i="19"/>
  <c r="E87" i="4"/>
  <c r="E87" i="6"/>
  <c r="E87" i="5"/>
  <c r="C84" i="19"/>
  <c r="E89" i="4"/>
  <c r="E89" i="6"/>
  <c r="E89" i="5"/>
  <c r="C30" i="19"/>
  <c r="E35" i="5"/>
  <c r="E35" i="6"/>
  <c r="E35" i="4"/>
  <c r="C83" i="19"/>
  <c r="E88" i="6"/>
  <c r="E88" i="4"/>
  <c r="E88" i="5"/>
  <c r="M26" i="19"/>
  <c r="E31" i="11"/>
  <c r="L26" i="19" s="1"/>
  <c r="E31" i="13"/>
  <c r="N26" i="19" s="1"/>
  <c r="E31" i="8"/>
  <c r="I26" i="19" s="1"/>
  <c r="E31" i="14"/>
  <c r="O26" i="19" s="1"/>
  <c r="E31" i="10"/>
  <c r="K26" i="19" s="1"/>
  <c r="E31" i="9"/>
  <c r="J26" i="19" s="1"/>
  <c r="M24" i="19"/>
  <c r="E29" i="11"/>
  <c r="L24" i="19" s="1"/>
  <c r="E29" i="13"/>
  <c r="N24" i="19" s="1"/>
  <c r="E29" i="14"/>
  <c r="O24" i="19" s="1"/>
  <c r="E29" i="10"/>
  <c r="K24" i="19" s="1"/>
  <c r="E29" i="8"/>
  <c r="I24" i="19" s="1"/>
  <c r="E29" i="9"/>
  <c r="J24" i="19" s="1"/>
  <c r="M20" i="19"/>
  <c r="E25" i="10"/>
  <c r="K20" i="19" s="1"/>
  <c r="E25" i="14"/>
  <c r="O20" i="19" s="1"/>
  <c r="E25" i="8"/>
  <c r="I20" i="19" s="1"/>
  <c r="E25" i="11"/>
  <c r="L20" i="19" s="1"/>
  <c r="E25" i="13"/>
  <c r="N20" i="19" s="1"/>
  <c r="E25" i="9"/>
  <c r="J20" i="19" s="1"/>
  <c r="M22" i="19"/>
  <c r="E27" i="10"/>
  <c r="K22" i="19" s="1"/>
  <c r="E27" i="14"/>
  <c r="O22" i="19" s="1"/>
  <c r="E27" i="8"/>
  <c r="I22" i="19" s="1"/>
  <c r="E27" i="11"/>
  <c r="L22" i="19" s="1"/>
  <c r="E27" i="13"/>
  <c r="N22" i="19" s="1"/>
  <c r="E27" i="9"/>
  <c r="J22" i="19" s="1"/>
  <c r="M19" i="19"/>
  <c r="E24" i="10"/>
  <c r="K19" i="19" s="1"/>
  <c r="E24" i="14"/>
  <c r="O19" i="19" s="1"/>
  <c r="E24" i="11"/>
  <c r="L19" i="19" s="1"/>
  <c r="E24" i="13"/>
  <c r="N19" i="19" s="1"/>
  <c r="E24" i="9"/>
  <c r="J19" i="19" s="1"/>
  <c r="E24" i="8"/>
  <c r="I19" i="19" s="1"/>
  <c r="M18" i="19"/>
  <c r="E23" i="10"/>
  <c r="K18" i="19" s="1"/>
  <c r="E23" i="11"/>
  <c r="L18" i="19" s="1"/>
  <c r="E23" i="9"/>
  <c r="J18" i="19" s="1"/>
  <c r="E23" i="14"/>
  <c r="O18" i="19" s="1"/>
  <c r="E23" i="8"/>
  <c r="I18" i="19" s="1"/>
  <c r="E23" i="13"/>
  <c r="N18" i="19" s="1"/>
  <c r="M14" i="19"/>
  <c r="E19" i="13"/>
  <c r="N14" i="19" s="1"/>
  <c r="E19" i="9"/>
  <c r="J14" i="19" s="1"/>
  <c r="E19" i="10"/>
  <c r="K14" i="19" s="1"/>
  <c r="E19" i="8"/>
  <c r="I14" i="19" s="1"/>
  <c r="E19" i="14"/>
  <c r="O14" i="19" s="1"/>
  <c r="E19" i="11"/>
  <c r="L14" i="19" s="1"/>
  <c r="M23" i="19"/>
  <c r="E28" i="10"/>
  <c r="K23" i="19" s="1"/>
  <c r="E28" i="14"/>
  <c r="O23" i="19" s="1"/>
  <c r="E28" i="11"/>
  <c r="L23" i="19" s="1"/>
  <c r="E28" i="13"/>
  <c r="N23" i="19" s="1"/>
  <c r="E28" i="9"/>
  <c r="J23" i="19" s="1"/>
  <c r="E28" i="8"/>
  <c r="I23" i="19" s="1"/>
  <c r="M8" i="19"/>
  <c r="E13" i="10"/>
  <c r="K8" i="19" s="1"/>
  <c r="E13" i="13"/>
  <c r="N8" i="19" s="1"/>
  <c r="E13" i="9"/>
  <c r="J8" i="19" s="1"/>
  <c r="E13" i="14"/>
  <c r="O8" i="19" s="1"/>
  <c r="E13" i="8"/>
  <c r="I8" i="19" s="1"/>
  <c r="E13" i="11"/>
  <c r="L8" i="19" s="1"/>
  <c r="M15" i="19"/>
  <c r="E20" i="9"/>
  <c r="J15" i="19" s="1"/>
  <c r="E20" i="10"/>
  <c r="K15" i="19" s="1"/>
  <c r="E20" i="14"/>
  <c r="O15" i="19" s="1"/>
  <c r="E20" i="11"/>
  <c r="L15" i="19" s="1"/>
  <c r="E20" i="13"/>
  <c r="N15" i="19" s="1"/>
  <c r="E20" i="8"/>
  <c r="I15" i="19" s="1"/>
  <c r="M17" i="19"/>
  <c r="E22" i="9"/>
  <c r="J17" i="19" s="1"/>
  <c r="E22" i="14"/>
  <c r="O17" i="19" s="1"/>
  <c r="E22" i="11"/>
  <c r="L17" i="19" s="1"/>
  <c r="E22" i="8"/>
  <c r="I17" i="19" s="1"/>
  <c r="E22" i="10"/>
  <c r="K17" i="19" s="1"/>
  <c r="E22" i="13"/>
  <c r="N17" i="19" s="1"/>
  <c r="M25" i="19"/>
  <c r="E30" i="11"/>
  <c r="L25" i="19" s="1"/>
  <c r="E30" i="13"/>
  <c r="N25" i="19" s="1"/>
  <c r="E30" i="14"/>
  <c r="O25" i="19" s="1"/>
  <c r="E30" i="10"/>
  <c r="K25" i="19" s="1"/>
  <c r="E30" i="8"/>
  <c r="I25" i="19" s="1"/>
  <c r="E30" i="9"/>
  <c r="J25" i="19" s="1"/>
  <c r="M7" i="19"/>
  <c r="E12" i="11"/>
  <c r="L7" i="19" s="1"/>
  <c r="E12" i="13"/>
  <c r="N7" i="19" s="1"/>
  <c r="E12" i="10"/>
  <c r="K7" i="19" s="1"/>
  <c r="E12" i="14"/>
  <c r="O7" i="19" s="1"/>
  <c r="E12" i="9"/>
  <c r="J7" i="19" s="1"/>
  <c r="E12" i="8"/>
  <c r="I7" i="19" s="1"/>
  <c r="M11" i="19"/>
  <c r="E16" i="9"/>
  <c r="J11" i="19" s="1"/>
  <c r="E16" i="13"/>
  <c r="N11" i="19" s="1"/>
  <c r="E16" i="10"/>
  <c r="K11" i="19" s="1"/>
  <c r="E16" i="14"/>
  <c r="O11" i="19" s="1"/>
  <c r="E16" i="11"/>
  <c r="L11" i="19" s="1"/>
  <c r="E16" i="8"/>
  <c r="I11" i="19" s="1"/>
  <c r="M21" i="19"/>
  <c r="E26" i="10"/>
  <c r="K21" i="19" s="1"/>
  <c r="E26" i="14"/>
  <c r="O21" i="19" s="1"/>
  <c r="E26" i="13"/>
  <c r="N21" i="19" s="1"/>
  <c r="E26" i="8"/>
  <c r="I21" i="19" s="1"/>
  <c r="E26" i="11"/>
  <c r="L21" i="19" s="1"/>
  <c r="E26" i="9"/>
  <c r="J21" i="19" s="1"/>
  <c r="M27" i="19"/>
  <c r="E32" i="13"/>
  <c r="N27" i="19" s="1"/>
  <c r="E32" i="8"/>
  <c r="I27" i="19" s="1"/>
  <c r="E32" i="11"/>
  <c r="L27" i="19" s="1"/>
  <c r="E32" i="10"/>
  <c r="K27" i="19" s="1"/>
  <c r="E32" i="14"/>
  <c r="O27" i="19" s="1"/>
  <c r="E32" i="9"/>
  <c r="J27" i="19" s="1"/>
  <c r="M9" i="19"/>
  <c r="E14" i="14"/>
  <c r="O9" i="19" s="1"/>
  <c r="E14" i="13"/>
  <c r="N9" i="19" s="1"/>
  <c r="E14" i="8"/>
  <c r="I9" i="19" s="1"/>
  <c r="E14" i="10"/>
  <c r="K9" i="19" s="1"/>
  <c r="E14" i="11"/>
  <c r="L9" i="19" s="1"/>
  <c r="E14" i="9"/>
  <c r="J9" i="19" s="1"/>
  <c r="M28" i="19"/>
  <c r="E33" i="10"/>
  <c r="K28" i="19" s="1"/>
  <c r="E33" i="9"/>
  <c r="J28" i="19" s="1"/>
  <c r="E33" i="13"/>
  <c r="N28" i="19" s="1"/>
  <c r="E33" i="11"/>
  <c r="L28" i="19" s="1"/>
  <c r="E33" i="14"/>
  <c r="O28" i="19" s="1"/>
  <c r="E33" i="8"/>
  <c r="I28" i="19" s="1"/>
  <c r="E10" i="13"/>
  <c r="E10" i="8"/>
  <c r="E10" i="11"/>
  <c r="E10" i="14"/>
  <c r="E10" i="9"/>
  <c r="D10" i="9" s="1"/>
  <c r="E10" i="10"/>
  <c r="M16" i="19"/>
  <c r="E21" i="9"/>
  <c r="J16" i="19" s="1"/>
  <c r="E21" i="10"/>
  <c r="K16" i="19" s="1"/>
  <c r="E21" i="11"/>
  <c r="L16" i="19" s="1"/>
  <c r="E21" i="14"/>
  <c r="O16" i="19" s="1"/>
  <c r="E21" i="13"/>
  <c r="N16" i="19" s="1"/>
  <c r="E21" i="8"/>
  <c r="I16" i="19" s="1"/>
  <c r="M10" i="19"/>
  <c r="E15" i="9"/>
  <c r="J10" i="19" s="1"/>
  <c r="E15" i="10"/>
  <c r="K10" i="19" s="1"/>
  <c r="E15" i="14"/>
  <c r="O10" i="19" s="1"/>
  <c r="E15" i="11"/>
  <c r="L10" i="19" s="1"/>
  <c r="E15" i="13"/>
  <c r="N10" i="19" s="1"/>
  <c r="E15" i="8"/>
  <c r="I10" i="19" s="1"/>
  <c r="M13" i="19"/>
  <c r="E18" i="9"/>
  <c r="J13" i="19" s="1"/>
  <c r="E18" i="10"/>
  <c r="K13" i="19" s="1"/>
  <c r="E18" i="8"/>
  <c r="I13" i="19" s="1"/>
  <c r="E18" i="14"/>
  <c r="O13" i="19" s="1"/>
  <c r="E18" i="11"/>
  <c r="L13" i="19" s="1"/>
  <c r="E18" i="13"/>
  <c r="N13" i="19" s="1"/>
  <c r="E5" i="7"/>
  <c r="D14" i="7"/>
  <c r="D21" i="7"/>
  <c r="D9" i="7"/>
  <c r="Q4" i="20"/>
  <c r="Q5" i="20" s="1"/>
  <c r="Q4" i="22"/>
  <c r="Q5" i="22" s="1"/>
  <c r="D10" i="7"/>
  <c r="C25" i="1"/>
  <c r="AO24" i="1"/>
  <c r="D20" i="7"/>
  <c r="K20" i="7" s="1"/>
  <c r="H15" i="19"/>
  <c r="D26" i="7"/>
  <c r="K26" i="7" s="1"/>
  <c r="H21" i="19"/>
  <c r="D22" i="7"/>
  <c r="K22" i="7" s="1"/>
  <c r="H17" i="19"/>
  <c r="D24" i="7"/>
  <c r="K24" i="7" s="1"/>
  <c r="H19" i="19"/>
  <c r="D11" i="7"/>
  <c r="H6" i="19"/>
  <c r="D30" i="7"/>
  <c r="K30" i="7" s="1"/>
  <c r="H25" i="19"/>
  <c r="D23" i="7"/>
  <c r="K23" i="7" s="1"/>
  <c r="H18" i="19"/>
  <c r="D29" i="7"/>
  <c r="K29" i="7" s="1"/>
  <c r="H24" i="19"/>
  <c r="D19" i="7"/>
  <c r="K19" i="7" s="1"/>
  <c r="H14" i="19"/>
  <c r="D18" i="7"/>
  <c r="K18" i="7" s="1"/>
  <c r="H13" i="19"/>
  <c r="D31" i="7"/>
  <c r="H26" i="19"/>
  <c r="D25" i="7"/>
  <c r="K25" i="7" s="1"/>
  <c r="H20" i="19"/>
  <c r="K14" i="7"/>
  <c r="H9" i="19"/>
  <c r="D27" i="7"/>
  <c r="K27" i="7" s="1"/>
  <c r="H22" i="19"/>
  <c r="K21" i="7"/>
  <c r="H16" i="19"/>
  <c r="D16" i="7"/>
  <c r="K16" i="7" s="1"/>
  <c r="H11" i="19"/>
  <c r="D17" i="7"/>
  <c r="K17" i="7" s="1"/>
  <c r="H12" i="19"/>
  <c r="D15" i="7"/>
  <c r="K15" i="7" s="1"/>
  <c r="H10" i="19"/>
  <c r="D32" i="7"/>
  <c r="K32" i="7" s="1"/>
  <c r="H27" i="19"/>
  <c r="D13" i="7"/>
  <c r="K13" i="7" s="1"/>
  <c r="H8" i="19"/>
  <c r="K12" i="7"/>
  <c r="H7" i="19"/>
  <c r="D28" i="7"/>
  <c r="K28" i="7" s="1"/>
  <c r="H23" i="19"/>
  <c r="K31" i="7"/>
  <c r="P97" i="19"/>
  <c r="R97" i="19"/>
  <c r="U97" i="19"/>
  <c r="U97" i="20" s="1"/>
  <c r="T97" i="19"/>
  <c r="T97" i="20" s="1"/>
  <c r="S97" i="21" s="1"/>
  <c r="V97" i="19"/>
  <c r="V97" i="20" s="1"/>
  <c r="U97" i="21" s="1"/>
  <c r="Q97" i="19"/>
  <c r="Q97" i="20" s="1"/>
  <c r="S97" i="19"/>
  <c r="S97" i="20" s="1"/>
  <c r="R97" i="21" s="1"/>
  <c r="R44" i="19"/>
  <c r="S44" i="19"/>
  <c r="S44" i="20" s="1"/>
  <c r="T44" i="19"/>
  <c r="T44" i="20" s="1"/>
  <c r="U44" i="19"/>
  <c r="U44" i="20" s="1"/>
  <c r="V44" i="19"/>
  <c r="P44" i="19"/>
  <c r="Q44" i="19"/>
  <c r="P37" i="19"/>
  <c r="Q37" i="19"/>
  <c r="R37" i="19"/>
  <c r="U37" i="19"/>
  <c r="U37" i="20" s="1"/>
  <c r="T37" i="19"/>
  <c r="T37" i="20" s="1"/>
  <c r="V37" i="19"/>
  <c r="S37" i="19"/>
  <c r="S37" i="20" s="1"/>
  <c r="S37" i="22" s="1"/>
  <c r="S38" i="19"/>
  <c r="S38" i="20" s="1"/>
  <c r="R38" i="21" s="1"/>
  <c r="U38" i="19"/>
  <c r="U38" i="20" s="1"/>
  <c r="U38" i="22" s="1"/>
  <c r="T38" i="19"/>
  <c r="T38" i="20" s="1"/>
  <c r="S38" i="21" s="1"/>
  <c r="V38" i="19"/>
  <c r="R38" i="19"/>
  <c r="P38" i="19"/>
  <c r="Q38" i="19"/>
  <c r="Q38" i="20" s="1"/>
  <c r="P38" i="21" s="1"/>
  <c r="P46" i="19"/>
  <c r="Q46" i="19"/>
  <c r="Q46" i="20" s="1"/>
  <c r="R46" i="19"/>
  <c r="S46" i="19"/>
  <c r="S46" i="20" s="1"/>
  <c r="T46" i="19"/>
  <c r="T46" i="20" s="1"/>
  <c r="V46" i="19"/>
  <c r="V46" i="20" s="1"/>
  <c r="U46" i="19"/>
  <c r="U46" i="20" s="1"/>
  <c r="U46" i="22" s="1"/>
  <c r="Q80" i="19"/>
  <c r="Q80" i="20" s="1"/>
  <c r="Q80" i="22" s="1"/>
  <c r="R80" i="19"/>
  <c r="P80" i="19"/>
  <c r="S80" i="19"/>
  <c r="S80" i="20" s="1"/>
  <c r="S80" i="22" s="1"/>
  <c r="T80" i="19"/>
  <c r="T80" i="20" s="1"/>
  <c r="T80" i="22" s="1"/>
  <c r="U80" i="19"/>
  <c r="U80" i="20" s="1"/>
  <c r="V80" i="19"/>
  <c r="P47" i="19"/>
  <c r="Q47" i="19"/>
  <c r="Q47" i="20" s="1"/>
  <c r="Q47" i="22" s="1"/>
  <c r="R47" i="19"/>
  <c r="U47" i="19"/>
  <c r="U47" i="20" s="1"/>
  <c r="U47" i="22" s="1"/>
  <c r="S47" i="19"/>
  <c r="S47" i="20" s="1"/>
  <c r="S47" i="22" s="1"/>
  <c r="T47" i="19"/>
  <c r="T47" i="20" s="1"/>
  <c r="T47" i="22" s="1"/>
  <c r="V47" i="19"/>
  <c r="S78" i="19"/>
  <c r="S78" i="20" s="1"/>
  <c r="V78" i="19"/>
  <c r="T78" i="19"/>
  <c r="T78" i="20" s="1"/>
  <c r="T78" i="22" s="1"/>
  <c r="U78" i="19"/>
  <c r="U78" i="20" s="1"/>
  <c r="U78" i="22" s="1"/>
  <c r="Q78" i="19"/>
  <c r="Q78" i="20" s="1"/>
  <c r="Q78" i="22" s="1"/>
  <c r="P78" i="19"/>
  <c r="R78" i="19"/>
  <c r="P25" i="19"/>
  <c r="S25" i="19"/>
  <c r="S25" i="20" s="1"/>
  <c r="R25" i="21" s="1"/>
  <c r="Q25" i="19"/>
  <c r="Q25" i="20" s="1"/>
  <c r="P25" i="21" s="1"/>
  <c r="R25" i="19"/>
  <c r="T25" i="19"/>
  <c r="T25" i="20" s="1"/>
  <c r="T25" i="22" s="1"/>
  <c r="U25" i="19"/>
  <c r="U25" i="20" s="1"/>
  <c r="U25" i="22" s="1"/>
  <c r="V25" i="19"/>
  <c r="S48" i="19"/>
  <c r="S48" i="20" s="1"/>
  <c r="U48" i="19"/>
  <c r="U48" i="20" s="1"/>
  <c r="U48" i="22" s="1"/>
  <c r="T48" i="19"/>
  <c r="T48" i="20" s="1"/>
  <c r="S48" i="21" s="1"/>
  <c r="V48" i="19"/>
  <c r="V48" i="20" s="1"/>
  <c r="V48" i="22" s="1"/>
  <c r="P48" i="19"/>
  <c r="Q48" i="19"/>
  <c r="Q48" i="20" s="1"/>
  <c r="R48" i="19"/>
  <c r="Q75" i="19"/>
  <c r="P75" i="19"/>
  <c r="R75" i="19"/>
  <c r="V75" i="19"/>
  <c r="S75" i="19"/>
  <c r="S75" i="20" s="1"/>
  <c r="S75" i="22" s="1"/>
  <c r="U75" i="19"/>
  <c r="U75" i="20" s="1"/>
  <c r="T75" i="19"/>
  <c r="T75" i="20" s="1"/>
  <c r="T75" i="22" s="1"/>
  <c r="U21" i="19"/>
  <c r="U21" i="20" s="1"/>
  <c r="U21" i="22" s="1"/>
  <c r="V21" i="19"/>
  <c r="T21" i="19"/>
  <c r="T21" i="20" s="1"/>
  <c r="S21" i="21" s="1"/>
  <c r="Q21" i="19"/>
  <c r="Q21" i="20" s="1"/>
  <c r="Q21" i="22" s="1"/>
  <c r="P21" i="19"/>
  <c r="S21" i="19"/>
  <c r="S21" i="20" s="1"/>
  <c r="R21" i="21" s="1"/>
  <c r="R21" i="19"/>
  <c r="P92" i="19"/>
  <c r="R92" i="19"/>
  <c r="U92" i="19"/>
  <c r="U92" i="20" s="1"/>
  <c r="S92" i="19"/>
  <c r="S92" i="20" s="1"/>
  <c r="S92" i="22" s="1"/>
  <c r="T92" i="19"/>
  <c r="T92" i="20" s="1"/>
  <c r="S92" i="21" s="1"/>
  <c r="V92" i="19"/>
  <c r="Q92" i="19"/>
  <c r="Q92" i="20" s="1"/>
  <c r="Q92" i="22" s="1"/>
  <c r="P72" i="19"/>
  <c r="Q72" i="19"/>
  <c r="R72" i="19"/>
  <c r="U72" i="19"/>
  <c r="U72" i="20" s="1"/>
  <c r="U72" i="22" s="1"/>
  <c r="T72" i="19"/>
  <c r="T72" i="20" s="1"/>
  <c r="T72" i="22" s="1"/>
  <c r="S72" i="19"/>
  <c r="S72" i="20" s="1"/>
  <c r="S72" i="22" s="1"/>
  <c r="V72" i="19"/>
  <c r="Q19" i="19"/>
  <c r="Q19" i="20" s="1"/>
  <c r="Q19" i="22" s="1"/>
  <c r="S19" i="19"/>
  <c r="S19" i="20" s="1"/>
  <c r="V19" i="19"/>
  <c r="R19" i="19"/>
  <c r="T19" i="19"/>
  <c r="T19" i="20" s="1"/>
  <c r="U19" i="19"/>
  <c r="U19" i="20" s="1"/>
  <c r="P19" i="19"/>
  <c r="Q70" i="19"/>
  <c r="Q70" i="20" s="1"/>
  <c r="Q70" i="22" s="1"/>
  <c r="S70" i="19"/>
  <c r="S70" i="20" s="1"/>
  <c r="S70" i="22" s="1"/>
  <c r="T70" i="19"/>
  <c r="T70" i="20" s="1"/>
  <c r="T70" i="22" s="1"/>
  <c r="R70" i="19"/>
  <c r="U70" i="19"/>
  <c r="U70" i="20" s="1"/>
  <c r="U70" i="22" s="1"/>
  <c r="V70" i="19"/>
  <c r="P70" i="19"/>
  <c r="S28" i="19"/>
  <c r="S28" i="20" s="1"/>
  <c r="S28" i="22" s="1"/>
  <c r="U28" i="19"/>
  <c r="U28" i="20" s="1"/>
  <c r="U28" i="22" s="1"/>
  <c r="T28" i="19"/>
  <c r="T28" i="20" s="1"/>
  <c r="T28" i="22" s="1"/>
  <c r="V28" i="19"/>
  <c r="P28" i="19"/>
  <c r="Q28" i="19"/>
  <c r="Q28" i="20" s="1"/>
  <c r="Q28" i="22" s="1"/>
  <c r="R28" i="19"/>
  <c r="P32" i="19"/>
  <c r="Q32" i="19"/>
  <c r="Q32" i="20" s="1"/>
  <c r="Q32" i="22" s="1"/>
  <c r="R32" i="19"/>
  <c r="U32" i="19"/>
  <c r="U32" i="20" s="1"/>
  <c r="S32" i="19"/>
  <c r="S32" i="20" s="1"/>
  <c r="R32" i="21" s="1"/>
  <c r="T32" i="19"/>
  <c r="T32" i="20" s="1"/>
  <c r="S32" i="21" s="1"/>
  <c r="V32" i="19"/>
  <c r="P16" i="19"/>
  <c r="R16" i="19"/>
  <c r="S16" i="19"/>
  <c r="T16" i="19"/>
  <c r="T16" i="20" s="1"/>
  <c r="S16" i="21" s="1"/>
  <c r="U16" i="19"/>
  <c r="U16" i="20" s="1"/>
  <c r="U16" i="22" s="1"/>
  <c r="V16" i="19"/>
  <c r="Q16" i="19"/>
  <c r="Q16" i="20" s="1"/>
  <c r="Q16" i="22" s="1"/>
  <c r="R17" i="19"/>
  <c r="P17" i="19"/>
  <c r="Q17" i="19"/>
  <c r="Q17" i="20" s="1"/>
  <c r="P17" i="21" s="1"/>
  <c r="T17" i="19"/>
  <c r="T17" i="20" s="1"/>
  <c r="T17" i="22" s="1"/>
  <c r="U17" i="19"/>
  <c r="U17" i="20" s="1"/>
  <c r="U17" i="22" s="1"/>
  <c r="V17" i="19"/>
  <c r="V17" i="20" s="1"/>
  <c r="S17" i="19"/>
  <c r="S17" i="20" s="1"/>
  <c r="S17" i="22" s="1"/>
  <c r="P67" i="19"/>
  <c r="Q67" i="19"/>
  <c r="Q67" i="20" s="1"/>
  <c r="Q67" i="22" s="1"/>
  <c r="R67" i="19"/>
  <c r="U67" i="19"/>
  <c r="U67" i="20" s="1"/>
  <c r="U67" i="22" s="1"/>
  <c r="V67" i="19"/>
  <c r="S67" i="19"/>
  <c r="S67" i="20" s="1"/>
  <c r="S67" i="22" s="1"/>
  <c r="T67" i="19"/>
  <c r="T67" i="20" s="1"/>
  <c r="T67" i="22" s="1"/>
  <c r="P52" i="19"/>
  <c r="Q52" i="19"/>
  <c r="Q52" i="20" s="1"/>
  <c r="P52" i="21" s="1"/>
  <c r="R52" i="19"/>
  <c r="U52" i="19"/>
  <c r="U52" i="20" s="1"/>
  <c r="U52" i="22" s="1"/>
  <c r="V52" i="19"/>
  <c r="T52" i="19"/>
  <c r="T52" i="20" s="1"/>
  <c r="S52" i="21" s="1"/>
  <c r="S52" i="19"/>
  <c r="S52" i="20" s="1"/>
  <c r="S52" i="22" s="1"/>
  <c r="P23" i="19"/>
  <c r="Q23" i="19"/>
  <c r="Q23" i="20" s="1"/>
  <c r="S23" i="19"/>
  <c r="S23" i="20" s="1"/>
  <c r="R23" i="19"/>
  <c r="T23" i="19"/>
  <c r="T23" i="20" s="1"/>
  <c r="V23" i="19"/>
  <c r="U23" i="19"/>
  <c r="U23" i="20" s="1"/>
  <c r="R27" i="19"/>
  <c r="P27" i="19"/>
  <c r="Q27" i="19"/>
  <c r="Q27" i="20" s="1"/>
  <c r="T27" i="19"/>
  <c r="T27" i="20" s="1"/>
  <c r="U27" i="19"/>
  <c r="U27" i="20" s="1"/>
  <c r="V27" i="19"/>
  <c r="S27" i="19"/>
  <c r="Q45" i="19"/>
  <c r="Q45" i="20" s="1"/>
  <c r="P45" i="21" s="1"/>
  <c r="T45" i="19"/>
  <c r="T45" i="20" s="1"/>
  <c r="S45" i="21" s="1"/>
  <c r="U45" i="19"/>
  <c r="U45" i="20" s="1"/>
  <c r="U45" i="22" s="1"/>
  <c r="R45" i="19"/>
  <c r="P45" i="19"/>
  <c r="S45" i="19"/>
  <c r="S45" i="20" s="1"/>
  <c r="R45" i="21" s="1"/>
  <c r="V45" i="19"/>
  <c r="Q60" i="19"/>
  <c r="Q60" i="20" s="1"/>
  <c r="Q60" i="22" s="1"/>
  <c r="U60" i="19"/>
  <c r="U60" i="20" s="1"/>
  <c r="U60" i="22" s="1"/>
  <c r="P60" i="19"/>
  <c r="R60" i="19"/>
  <c r="S60" i="19"/>
  <c r="S60" i="20" s="1"/>
  <c r="R60" i="21" s="1"/>
  <c r="V60" i="19"/>
  <c r="T60" i="19"/>
  <c r="T60" i="20" s="1"/>
  <c r="T60" i="22" s="1"/>
  <c r="P41" i="19"/>
  <c r="Q41" i="19"/>
  <c r="Q41" i="20" s="1"/>
  <c r="Q41" i="22" s="1"/>
  <c r="T41" i="19"/>
  <c r="T41" i="20" s="1"/>
  <c r="R41" i="19"/>
  <c r="S41" i="19"/>
  <c r="S41" i="20" s="1"/>
  <c r="S41" i="22" s="1"/>
  <c r="V41" i="19"/>
  <c r="U41" i="19"/>
  <c r="U41" i="20" s="1"/>
  <c r="Q95" i="19"/>
  <c r="Q95" i="20" s="1"/>
  <c r="R95" i="19"/>
  <c r="S95" i="19"/>
  <c r="S95" i="20" s="1"/>
  <c r="R95" i="21" s="1"/>
  <c r="U95" i="19"/>
  <c r="U95" i="20" s="1"/>
  <c r="P95" i="19"/>
  <c r="V95" i="19"/>
  <c r="T95" i="19"/>
  <c r="T95" i="20" s="1"/>
  <c r="S95" i="21" s="1"/>
  <c r="P34" i="19"/>
  <c r="R34" i="19"/>
  <c r="S34" i="19"/>
  <c r="S34" i="20" s="1"/>
  <c r="T34" i="19"/>
  <c r="T34" i="20" s="1"/>
  <c r="U34" i="19"/>
  <c r="U34" i="20" s="1"/>
  <c r="V34" i="19"/>
  <c r="Q34" i="19"/>
  <c r="Q34" i="20" s="1"/>
  <c r="Q34" i="22" s="1"/>
  <c r="P36" i="19"/>
  <c r="Q36" i="19"/>
  <c r="Q36" i="20" s="1"/>
  <c r="R36" i="19"/>
  <c r="S36" i="19"/>
  <c r="S36" i="20" s="1"/>
  <c r="T36" i="19"/>
  <c r="T36" i="20" s="1"/>
  <c r="S36" i="21" s="1"/>
  <c r="V36" i="19"/>
  <c r="U36" i="19"/>
  <c r="U36" i="20" s="1"/>
  <c r="U36" i="22" s="1"/>
  <c r="P12" i="19"/>
  <c r="Q12" i="19"/>
  <c r="Q12" i="20" s="1"/>
  <c r="Q12" i="22" s="1"/>
  <c r="R12" i="19"/>
  <c r="S12" i="19"/>
  <c r="S12" i="20" s="1"/>
  <c r="R12" i="21" s="1"/>
  <c r="T12" i="19"/>
  <c r="T12" i="20" s="1"/>
  <c r="T12" i="22" s="1"/>
  <c r="U12" i="19"/>
  <c r="U12" i="20" s="1"/>
  <c r="U12" i="22" s="1"/>
  <c r="V12" i="19"/>
  <c r="P13" i="19"/>
  <c r="Q13" i="19"/>
  <c r="Q13" i="20" s="1"/>
  <c r="P13" i="21" s="1"/>
  <c r="S13" i="19"/>
  <c r="S13" i="20" s="1"/>
  <c r="S13" i="22" s="1"/>
  <c r="T13" i="19"/>
  <c r="T13" i="20" s="1"/>
  <c r="S13" i="21" s="1"/>
  <c r="V13" i="19"/>
  <c r="R13" i="19"/>
  <c r="U13" i="19"/>
  <c r="U13" i="20" s="1"/>
  <c r="U11" i="19"/>
  <c r="U11" i="20" s="1"/>
  <c r="V11" i="19"/>
  <c r="V11" i="20" s="1"/>
  <c r="P11" i="19"/>
  <c r="T11" i="19"/>
  <c r="Q11" i="19"/>
  <c r="R11" i="19"/>
  <c r="S11" i="19"/>
  <c r="S11" i="20" s="1"/>
  <c r="R49" i="19"/>
  <c r="S49" i="19"/>
  <c r="S49" i="20" s="1"/>
  <c r="S49" i="22" s="1"/>
  <c r="T49" i="19"/>
  <c r="T49" i="20" s="1"/>
  <c r="U49" i="19"/>
  <c r="U49" i="20" s="1"/>
  <c r="V49" i="19"/>
  <c r="P49" i="19"/>
  <c r="Q49" i="19"/>
  <c r="Q49" i="20" s="1"/>
  <c r="Q49" i="22" s="1"/>
  <c r="S58" i="19"/>
  <c r="S58" i="20" s="1"/>
  <c r="R58" i="21" s="1"/>
  <c r="U58" i="19"/>
  <c r="U58" i="20" s="1"/>
  <c r="T58" i="19"/>
  <c r="T58" i="20" s="1"/>
  <c r="V58" i="19"/>
  <c r="V58" i="20" s="1"/>
  <c r="P58" i="19"/>
  <c r="Q58" i="19"/>
  <c r="Q58" i="20" s="1"/>
  <c r="R58" i="19"/>
  <c r="P6" i="19"/>
  <c r="Q6" i="19"/>
  <c r="R6" i="19"/>
  <c r="S6" i="19"/>
  <c r="T6" i="19"/>
  <c r="U6" i="19"/>
  <c r="V6" i="19"/>
  <c r="Q35" i="19"/>
  <c r="Q35" i="20" s="1"/>
  <c r="Q35" i="22" s="1"/>
  <c r="R35" i="19"/>
  <c r="T35" i="19"/>
  <c r="T35" i="20" s="1"/>
  <c r="U35" i="19"/>
  <c r="U35" i="20" s="1"/>
  <c r="U35" i="22" s="1"/>
  <c r="P35" i="19"/>
  <c r="V35" i="19"/>
  <c r="S35" i="19"/>
  <c r="S35" i="20" s="1"/>
  <c r="S35" i="22" s="1"/>
  <c r="P18" i="19"/>
  <c r="Q18" i="19"/>
  <c r="Q18" i="20" s="1"/>
  <c r="P18" i="21" s="1"/>
  <c r="R18" i="19"/>
  <c r="T18" i="19"/>
  <c r="T18" i="20" s="1"/>
  <c r="S18" i="21" s="1"/>
  <c r="S18" i="19"/>
  <c r="S18" i="20" s="1"/>
  <c r="S18" i="22" s="1"/>
  <c r="V18" i="19"/>
  <c r="U18" i="19"/>
  <c r="U18" i="20" s="1"/>
  <c r="U18" i="22" s="1"/>
  <c r="S88" i="19"/>
  <c r="S88" i="20" s="1"/>
  <c r="S88" i="22" s="1"/>
  <c r="T88" i="19"/>
  <c r="T88" i="20" s="1"/>
  <c r="S88" i="21" s="1"/>
  <c r="U88" i="19"/>
  <c r="U88" i="20" s="1"/>
  <c r="V88" i="19"/>
  <c r="P88" i="19"/>
  <c r="Q88" i="19"/>
  <c r="Q88" i="20" s="1"/>
  <c r="Q88" i="22" s="1"/>
  <c r="R88" i="19"/>
  <c r="R86" i="19"/>
  <c r="P86" i="19"/>
  <c r="Q86" i="19"/>
  <c r="Q86" i="20" s="1"/>
  <c r="Q86" i="22" s="1"/>
  <c r="S86" i="19"/>
  <c r="S86" i="20" s="1"/>
  <c r="S86" i="22" s="1"/>
  <c r="V86" i="19"/>
  <c r="T86" i="19"/>
  <c r="T86" i="20" s="1"/>
  <c r="S86" i="21" s="1"/>
  <c r="U86" i="19"/>
  <c r="U86" i="20" s="1"/>
  <c r="P15" i="19"/>
  <c r="Q15" i="19"/>
  <c r="Q15" i="20" s="1"/>
  <c r="Q15" i="22" s="1"/>
  <c r="R15" i="19"/>
  <c r="S15" i="19"/>
  <c r="S15" i="20" s="1"/>
  <c r="S15" i="22" s="1"/>
  <c r="T15" i="19"/>
  <c r="T15" i="20" s="1"/>
  <c r="T15" i="22" s="1"/>
  <c r="U15" i="19"/>
  <c r="U15" i="20" s="1"/>
  <c r="U15" i="22" s="1"/>
  <c r="V15" i="19"/>
  <c r="R64" i="19"/>
  <c r="S64" i="19"/>
  <c r="S64" i="20" s="1"/>
  <c r="S64" i="22" s="1"/>
  <c r="T64" i="19"/>
  <c r="T64" i="20" s="1"/>
  <c r="U64" i="19"/>
  <c r="U64" i="20" s="1"/>
  <c r="U64" i="22" s="1"/>
  <c r="V64" i="19"/>
  <c r="Q64" i="19"/>
  <c r="Q64" i="20" s="1"/>
  <c r="Q64" i="22" s="1"/>
  <c r="P64" i="19"/>
  <c r="S53" i="19"/>
  <c r="S53" i="20" s="1"/>
  <c r="T53" i="19"/>
  <c r="T53" i="20" s="1"/>
  <c r="T53" i="22" s="1"/>
  <c r="U53" i="19"/>
  <c r="U53" i="20" s="1"/>
  <c r="V53" i="19"/>
  <c r="P53" i="19"/>
  <c r="Q53" i="19"/>
  <c r="Q53" i="20" s="1"/>
  <c r="R53" i="19"/>
  <c r="P62" i="19"/>
  <c r="Q62" i="19"/>
  <c r="Q62" i="20" s="1"/>
  <c r="P62" i="21" s="1"/>
  <c r="R62" i="19"/>
  <c r="U62" i="19"/>
  <c r="U62" i="20" s="1"/>
  <c r="U62" i="22" s="1"/>
  <c r="S62" i="19"/>
  <c r="S62" i="20" s="1"/>
  <c r="R62" i="21" s="1"/>
  <c r="T62" i="19"/>
  <c r="T62" i="20" s="1"/>
  <c r="V62" i="19"/>
  <c r="P56" i="19"/>
  <c r="Q56" i="19"/>
  <c r="Q56" i="20" s="1"/>
  <c r="Q56" i="22" s="1"/>
  <c r="R56" i="19"/>
  <c r="S56" i="19"/>
  <c r="S56" i="20" s="1"/>
  <c r="S56" i="22" s="1"/>
  <c r="V56" i="19"/>
  <c r="T56" i="19"/>
  <c r="T56" i="20" s="1"/>
  <c r="T56" i="22" s="1"/>
  <c r="U56" i="19"/>
  <c r="U56" i="20" s="1"/>
  <c r="P8" i="19"/>
  <c r="Q8" i="19"/>
  <c r="Q8" i="20" s="1"/>
  <c r="R8" i="19"/>
  <c r="T8" i="19"/>
  <c r="T8" i="20" s="1"/>
  <c r="S8" i="19"/>
  <c r="S8" i="20" s="1"/>
  <c r="V8" i="19"/>
  <c r="U8" i="19"/>
  <c r="U8" i="20" s="1"/>
  <c r="P29" i="19"/>
  <c r="R29" i="19"/>
  <c r="S29" i="19"/>
  <c r="S29" i="20" s="1"/>
  <c r="T29" i="19"/>
  <c r="T29" i="20" s="1"/>
  <c r="U29" i="19"/>
  <c r="U29" i="20" s="1"/>
  <c r="V29" i="19"/>
  <c r="Q29" i="19"/>
  <c r="Q29" i="20" s="1"/>
  <c r="Q22" i="19"/>
  <c r="Q22" i="20" s="1"/>
  <c r="P22" i="21" s="1"/>
  <c r="U22" i="19"/>
  <c r="U22" i="20" s="1"/>
  <c r="U22" i="22" s="1"/>
  <c r="P22" i="19"/>
  <c r="S22" i="19"/>
  <c r="S22" i="20" s="1"/>
  <c r="R22" i="21" s="1"/>
  <c r="V22" i="19"/>
  <c r="T22" i="19"/>
  <c r="T22" i="20" s="1"/>
  <c r="T22" i="22" s="1"/>
  <c r="R22" i="19"/>
  <c r="P42" i="19"/>
  <c r="Q42" i="19"/>
  <c r="Q42" i="20" s="1"/>
  <c r="R42" i="19"/>
  <c r="U42" i="19"/>
  <c r="U42" i="20" s="1"/>
  <c r="S42" i="19"/>
  <c r="S42" i="20" s="1"/>
  <c r="S42" i="22" s="1"/>
  <c r="V42" i="19"/>
  <c r="T42" i="19"/>
  <c r="T42" i="20" s="1"/>
  <c r="S42" i="21" s="1"/>
  <c r="S91" i="19"/>
  <c r="S91" i="20" s="1"/>
  <c r="S91" i="22" s="1"/>
  <c r="P91" i="19"/>
  <c r="Q91" i="19"/>
  <c r="Q91" i="20" s="1"/>
  <c r="Q91" i="22" s="1"/>
  <c r="R91" i="19"/>
  <c r="V91" i="19"/>
  <c r="V91" i="20" s="1"/>
  <c r="U91" i="21" s="1"/>
  <c r="U91" i="19"/>
  <c r="U91" i="20" s="1"/>
  <c r="T91" i="19"/>
  <c r="T91" i="20" s="1"/>
  <c r="S91" i="21" s="1"/>
  <c r="Q40" i="19"/>
  <c r="Q40" i="20" s="1"/>
  <c r="Q40" i="22" s="1"/>
  <c r="S40" i="19"/>
  <c r="S40" i="20" s="1"/>
  <c r="S40" i="22" s="1"/>
  <c r="U40" i="19"/>
  <c r="U40" i="20" s="1"/>
  <c r="U40" i="22" s="1"/>
  <c r="V40" i="19"/>
  <c r="P40" i="19"/>
  <c r="T40" i="19"/>
  <c r="T40" i="20" s="1"/>
  <c r="T40" i="22" s="1"/>
  <c r="R40" i="19"/>
  <c r="S83" i="19"/>
  <c r="S83" i="20" s="1"/>
  <c r="S83" i="22" s="1"/>
  <c r="U83" i="19"/>
  <c r="U83" i="20" s="1"/>
  <c r="T83" i="19"/>
  <c r="T83" i="20" s="1"/>
  <c r="S83" i="21" s="1"/>
  <c r="V83" i="19"/>
  <c r="R83" i="19"/>
  <c r="Q83" i="19"/>
  <c r="Q83" i="20" s="1"/>
  <c r="Q83" i="22" s="1"/>
  <c r="P83" i="19"/>
  <c r="S63" i="19"/>
  <c r="S63" i="20" s="1"/>
  <c r="T63" i="19"/>
  <c r="T63" i="20" s="1"/>
  <c r="U63" i="19"/>
  <c r="U63" i="20" s="1"/>
  <c r="V63" i="19"/>
  <c r="R63" i="19"/>
  <c r="P63" i="19"/>
  <c r="Q63" i="19"/>
  <c r="Q63" i="20" s="1"/>
  <c r="S20" i="19"/>
  <c r="S20" i="20" s="1"/>
  <c r="S20" i="22" s="1"/>
  <c r="T20" i="19"/>
  <c r="T20" i="20" s="1"/>
  <c r="T20" i="22" s="1"/>
  <c r="U20" i="19"/>
  <c r="U20" i="20" s="1"/>
  <c r="U20" i="22" s="1"/>
  <c r="V20" i="19"/>
  <c r="R20" i="19"/>
  <c r="P20" i="19"/>
  <c r="Q20" i="19"/>
  <c r="Q20" i="20" s="1"/>
  <c r="P20" i="21" s="1"/>
  <c r="R59" i="19"/>
  <c r="S59" i="19"/>
  <c r="S59" i="20" s="1"/>
  <c r="S59" i="22" s="1"/>
  <c r="T59" i="19"/>
  <c r="T59" i="20" s="1"/>
  <c r="T59" i="22" s="1"/>
  <c r="U59" i="19"/>
  <c r="U59" i="20" s="1"/>
  <c r="U59" i="22" s="1"/>
  <c r="V59" i="19"/>
  <c r="Q59" i="19"/>
  <c r="Q59" i="20" s="1"/>
  <c r="Q59" i="22" s="1"/>
  <c r="P59" i="19"/>
  <c r="Q9" i="19"/>
  <c r="Q9" i="20" s="1"/>
  <c r="S9" i="19"/>
  <c r="S9" i="20" s="1"/>
  <c r="S9" i="22" s="1"/>
  <c r="V9" i="19"/>
  <c r="R9" i="19"/>
  <c r="T9" i="19"/>
  <c r="T9" i="20" s="1"/>
  <c r="T9" i="22" s="1"/>
  <c r="U9" i="19"/>
  <c r="U9" i="20" s="1"/>
  <c r="U9" i="22" s="1"/>
  <c r="P9" i="19"/>
  <c r="R54" i="19"/>
  <c r="S54" i="19"/>
  <c r="S54" i="20" s="1"/>
  <c r="R54" i="21" s="1"/>
  <c r="T54" i="19"/>
  <c r="T54" i="20" s="1"/>
  <c r="T54" i="22" s="1"/>
  <c r="U54" i="19"/>
  <c r="U54" i="20" s="1"/>
  <c r="U54" i="22" s="1"/>
  <c r="V54" i="19"/>
  <c r="Q54" i="19"/>
  <c r="Q54" i="20" s="1"/>
  <c r="P54" i="19"/>
  <c r="S10" i="19"/>
  <c r="S10" i="20" s="1"/>
  <c r="S10" i="22" s="1"/>
  <c r="T10" i="19"/>
  <c r="T10" i="20" s="1"/>
  <c r="S10" i="21" s="1"/>
  <c r="U10" i="19"/>
  <c r="U10" i="20" s="1"/>
  <c r="U10" i="22" s="1"/>
  <c r="V10" i="19"/>
  <c r="Q10" i="19"/>
  <c r="Q10" i="20" s="1"/>
  <c r="Q10" i="22" s="1"/>
  <c r="R10" i="19"/>
  <c r="P10" i="19"/>
  <c r="Q100" i="19"/>
  <c r="Q100" i="20" s="1"/>
  <c r="P100" i="21" s="1"/>
  <c r="V100" i="19"/>
  <c r="R100" i="19"/>
  <c r="U100" i="19"/>
  <c r="U100" i="20" s="1"/>
  <c r="S100" i="19"/>
  <c r="S100" i="20" s="1"/>
  <c r="R100" i="21" s="1"/>
  <c r="P100" i="19"/>
  <c r="T100" i="19"/>
  <c r="T100" i="20" s="1"/>
  <c r="S100" i="21" s="1"/>
  <c r="P26" i="19"/>
  <c r="R26" i="19"/>
  <c r="S26" i="19"/>
  <c r="S26" i="20" s="1"/>
  <c r="S26" i="22" s="1"/>
  <c r="T26" i="19"/>
  <c r="T26" i="20" s="1"/>
  <c r="U26" i="19"/>
  <c r="U26" i="20" s="1"/>
  <c r="V26" i="19"/>
  <c r="Q26" i="19"/>
  <c r="Q26" i="20" s="1"/>
  <c r="Q26" i="22" s="1"/>
  <c r="C4" i="22"/>
  <c r="C5" i="22" s="1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K27" i="2" s="1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H103" i="2" s="1"/>
  <c r="D64" i="2"/>
  <c r="K64" i="2" s="1"/>
  <c r="D104" i="2"/>
  <c r="H104" i="2" s="1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J51" i="2"/>
  <c r="J91" i="2"/>
  <c r="J12" i="2"/>
  <c r="J72" i="2"/>
  <c r="J13" i="2"/>
  <c r="J73" i="2"/>
  <c r="J74" i="2"/>
  <c r="J15" i="2"/>
  <c r="J75" i="2"/>
  <c r="J56" i="2"/>
  <c r="J57" i="2"/>
  <c r="J78" i="2"/>
  <c r="J11" i="2"/>
  <c r="J71" i="2"/>
  <c r="J32" i="2"/>
  <c r="J92" i="2"/>
  <c r="J33" i="2"/>
  <c r="J54" i="2"/>
  <c r="J35" i="2"/>
  <c r="J55" i="2"/>
  <c r="J16" i="2"/>
  <c r="J36" i="2"/>
  <c r="J76" i="2"/>
  <c r="J17" i="2"/>
  <c r="J37" i="2"/>
  <c r="J77" i="2"/>
  <c r="J18" i="2"/>
  <c r="J38" i="2"/>
  <c r="J58" i="2"/>
  <c r="J19" i="2"/>
  <c r="J39" i="2"/>
  <c r="J59" i="2"/>
  <c r="J79" i="2"/>
  <c r="J20" i="2"/>
  <c r="J40" i="2"/>
  <c r="J60" i="2"/>
  <c r="J80" i="2"/>
  <c r="J21" i="2"/>
  <c r="J41" i="2"/>
  <c r="J61" i="2"/>
  <c r="J81" i="2"/>
  <c r="J22" i="2"/>
  <c r="J42" i="2"/>
  <c r="J62" i="2"/>
  <c r="J82" i="2"/>
  <c r="J23" i="2"/>
  <c r="J43" i="2"/>
  <c r="J63" i="2"/>
  <c r="J83" i="2"/>
  <c r="J53" i="2"/>
  <c r="J31" i="2"/>
  <c r="J24" i="2"/>
  <c r="J44" i="2"/>
  <c r="J64" i="2"/>
  <c r="J84" i="2"/>
  <c r="J25" i="2"/>
  <c r="J45" i="2"/>
  <c r="J65" i="2"/>
  <c r="J85" i="2"/>
  <c r="J26" i="2"/>
  <c r="J46" i="2"/>
  <c r="J66" i="2"/>
  <c r="J86" i="2"/>
  <c r="J27" i="2"/>
  <c r="J47" i="2"/>
  <c r="J67" i="2"/>
  <c r="J87" i="2"/>
  <c r="J52" i="2"/>
  <c r="J14" i="2"/>
  <c r="J34" i="2"/>
  <c r="J48" i="2"/>
  <c r="J68" i="2"/>
  <c r="J88" i="2"/>
  <c r="J29" i="2"/>
  <c r="J49" i="2"/>
  <c r="J69" i="2"/>
  <c r="J89" i="2"/>
  <c r="J10" i="2"/>
  <c r="J30" i="2"/>
  <c r="J50" i="2"/>
  <c r="J70" i="2"/>
  <c r="J90" i="2"/>
  <c r="H80" i="19"/>
  <c r="D85" i="7"/>
  <c r="K85" i="7" s="1"/>
  <c r="H95" i="19"/>
  <c r="D100" i="7"/>
  <c r="H56" i="19"/>
  <c r="D61" i="7"/>
  <c r="K61" i="7" s="1"/>
  <c r="H91" i="19"/>
  <c r="D96" i="7"/>
  <c r="K96" i="7" s="1"/>
  <c r="H70" i="19"/>
  <c r="D75" i="7"/>
  <c r="K75" i="7" s="1"/>
  <c r="H37" i="19"/>
  <c r="D42" i="7"/>
  <c r="K42" i="7" s="1"/>
  <c r="H52" i="19"/>
  <c r="D57" i="7"/>
  <c r="K57" i="7" s="1"/>
  <c r="H78" i="19"/>
  <c r="D83" i="7"/>
  <c r="K83" i="7" s="1"/>
  <c r="H86" i="19"/>
  <c r="D91" i="7"/>
  <c r="K91" i="7" s="1"/>
  <c r="H41" i="19"/>
  <c r="D46" i="7"/>
  <c r="K46" i="7" s="1"/>
  <c r="H87" i="19"/>
  <c r="D92" i="7"/>
  <c r="K92" i="7" s="1"/>
  <c r="H58" i="19"/>
  <c r="D63" i="7"/>
  <c r="K63" i="7" s="1"/>
  <c r="H33" i="19"/>
  <c r="D38" i="7"/>
  <c r="K38" i="7" s="1"/>
  <c r="H48" i="19"/>
  <c r="D53" i="7"/>
  <c r="K53" i="7" s="1"/>
  <c r="H35" i="19"/>
  <c r="D40" i="7"/>
  <c r="K40" i="7" s="1"/>
  <c r="H57" i="19"/>
  <c r="D62" i="7"/>
  <c r="K62" i="7" s="1"/>
  <c r="H74" i="19"/>
  <c r="D79" i="7"/>
  <c r="K79" i="7" s="1"/>
  <c r="H99" i="19"/>
  <c r="D104" i="7"/>
  <c r="H71" i="19"/>
  <c r="D76" i="7"/>
  <c r="K76" i="7" s="1"/>
  <c r="H97" i="19"/>
  <c r="D102" i="7"/>
  <c r="H66" i="19"/>
  <c r="D71" i="7"/>
  <c r="K71" i="7" s="1"/>
  <c r="H32" i="19"/>
  <c r="D37" i="7"/>
  <c r="K37" i="7" s="1"/>
  <c r="H62" i="19"/>
  <c r="D67" i="7"/>
  <c r="K67" i="7" s="1"/>
  <c r="H68" i="19"/>
  <c r="D73" i="7"/>
  <c r="K73" i="7" s="1"/>
  <c r="H49" i="19"/>
  <c r="D54" i="7"/>
  <c r="K54" i="7" s="1"/>
  <c r="H29" i="19"/>
  <c r="D34" i="7"/>
  <c r="K34" i="7" s="1"/>
  <c r="H94" i="19"/>
  <c r="D99" i="7"/>
  <c r="H36" i="19"/>
  <c r="D41" i="7"/>
  <c r="K41" i="7" s="1"/>
  <c r="H67" i="19"/>
  <c r="D72" i="7"/>
  <c r="K72" i="7" s="1"/>
  <c r="H93" i="19"/>
  <c r="D98" i="7"/>
  <c r="K98" i="7" s="1"/>
  <c r="H54" i="19"/>
  <c r="D59" i="7"/>
  <c r="K59" i="7" s="1"/>
  <c r="H28" i="19"/>
  <c r="D33" i="7"/>
  <c r="K33" i="7" s="1"/>
  <c r="H72" i="19"/>
  <c r="D77" i="7"/>
  <c r="K77" i="7" s="1"/>
  <c r="H50" i="19"/>
  <c r="D55" i="7"/>
  <c r="K55" i="7" s="1"/>
  <c r="H64" i="19"/>
  <c r="D69" i="7"/>
  <c r="K69" i="7" s="1"/>
  <c r="H30" i="19"/>
  <c r="D35" i="7"/>
  <c r="K35" i="7" s="1"/>
  <c r="H63" i="19"/>
  <c r="D68" i="7"/>
  <c r="K68" i="7" s="1"/>
  <c r="H89" i="19"/>
  <c r="D94" i="7"/>
  <c r="K94" i="7" s="1"/>
  <c r="H38" i="19"/>
  <c r="D43" i="7"/>
  <c r="K43" i="7" s="1"/>
  <c r="H60" i="19"/>
  <c r="D65" i="7"/>
  <c r="K65" i="7" s="1"/>
  <c r="H83" i="19"/>
  <c r="D88" i="7"/>
  <c r="K88" i="7" s="1"/>
  <c r="H59" i="19"/>
  <c r="D64" i="7"/>
  <c r="K64" i="7" s="1"/>
  <c r="H85" i="19"/>
  <c r="D90" i="7"/>
  <c r="K90" i="7" s="1"/>
  <c r="H100" i="19"/>
  <c r="D105" i="7"/>
  <c r="H44" i="19"/>
  <c r="D49" i="7"/>
  <c r="K49" i="7" s="1"/>
  <c r="H55" i="19"/>
  <c r="D60" i="7"/>
  <c r="K60" i="7" s="1"/>
  <c r="H81" i="19"/>
  <c r="D86" i="7"/>
  <c r="K86" i="7" s="1"/>
  <c r="H96" i="19"/>
  <c r="D101" i="7"/>
  <c r="H65" i="19"/>
  <c r="D70" i="7"/>
  <c r="K70" i="7" s="1"/>
  <c r="H46" i="19"/>
  <c r="D51" i="7"/>
  <c r="K51" i="7" s="1"/>
  <c r="H79" i="19"/>
  <c r="D84" i="7"/>
  <c r="K84" i="7" s="1"/>
  <c r="H101" i="19"/>
  <c r="D106" i="7"/>
  <c r="H51" i="19"/>
  <c r="D56" i="7"/>
  <c r="K56" i="7" s="1"/>
  <c r="H77" i="19"/>
  <c r="D82" i="7"/>
  <c r="K82" i="7" s="1"/>
  <c r="H92" i="19"/>
  <c r="D97" i="7"/>
  <c r="H39" i="19"/>
  <c r="D44" i="7"/>
  <c r="K44" i="7" s="1"/>
  <c r="H61" i="19"/>
  <c r="D66" i="7"/>
  <c r="K66" i="7" s="1"/>
  <c r="H45" i="19"/>
  <c r="D50" i="7"/>
  <c r="K50" i="7" s="1"/>
  <c r="H40" i="19"/>
  <c r="D45" i="7"/>
  <c r="K45" i="7" s="1"/>
  <c r="H82" i="19"/>
  <c r="D87" i="7"/>
  <c r="K87" i="7" s="1"/>
  <c r="H47" i="19"/>
  <c r="D52" i="7"/>
  <c r="K52" i="7" s="1"/>
  <c r="H73" i="19"/>
  <c r="D78" i="7"/>
  <c r="K78" i="7" s="1"/>
  <c r="H88" i="19"/>
  <c r="D93" i="7"/>
  <c r="K93" i="7" s="1"/>
  <c r="H90" i="19"/>
  <c r="D95" i="7"/>
  <c r="K95" i="7" s="1"/>
  <c r="H76" i="19"/>
  <c r="D81" i="7"/>
  <c r="K81" i="7" s="1"/>
  <c r="H31" i="19"/>
  <c r="D36" i="7"/>
  <c r="K36" i="7" s="1"/>
  <c r="H53" i="19"/>
  <c r="D58" i="7"/>
  <c r="K58" i="7" s="1"/>
  <c r="H34" i="19"/>
  <c r="D39" i="7"/>
  <c r="K39" i="7" s="1"/>
  <c r="H98" i="19"/>
  <c r="D103" i="7"/>
  <c r="H42" i="19"/>
  <c r="D47" i="7"/>
  <c r="K47" i="7" s="1"/>
  <c r="H75" i="19"/>
  <c r="D80" i="7"/>
  <c r="K80" i="7" s="1"/>
  <c r="H43" i="19"/>
  <c r="D48" i="7"/>
  <c r="K48" i="7" s="1"/>
  <c r="H69" i="19"/>
  <c r="D74" i="7"/>
  <c r="K74" i="7" s="1"/>
  <c r="H84" i="19"/>
  <c r="D89" i="7"/>
  <c r="K89" i="7" s="1"/>
  <c r="D29" i="14"/>
  <c r="F29" i="14" s="1"/>
  <c r="S27" i="20"/>
  <c r="D100" i="15"/>
  <c r="H100" i="15" s="1"/>
  <c r="D88" i="15"/>
  <c r="H88" i="15" s="1"/>
  <c r="T11" i="20"/>
  <c r="S11" i="21" s="1"/>
  <c r="Q6" i="20"/>
  <c r="P6" i="21" s="1"/>
  <c r="S16" i="20"/>
  <c r="S16" i="22" s="1"/>
  <c r="D15" i="12"/>
  <c r="E5" i="12"/>
  <c r="M4" i="22" s="1"/>
  <c r="M5" i="22" s="1"/>
  <c r="D22" i="12"/>
  <c r="D28" i="12"/>
  <c r="D20" i="12"/>
  <c r="D26" i="12"/>
  <c r="D32" i="12"/>
  <c r="D77" i="15"/>
  <c r="H77" i="15" s="1"/>
  <c r="D50" i="15"/>
  <c r="D97" i="15"/>
  <c r="H97" i="15" s="1"/>
  <c r="L17" i="1"/>
  <c r="F3" i="21"/>
  <c r="J17" i="1"/>
  <c r="S6" i="20"/>
  <c r="R6" i="21" s="1"/>
  <c r="T6" i="20"/>
  <c r="T6" i="22" s="1"/>
  <c r="AF15" i="1"/>
  <c r="AG15" i="1" s="1"/>
  <c r="C4" i="20"/>
  <c r="B4" i="21"/>
  <c r="B5" i="21" s="1"/>
  <c r="U6" i="20"/>
  <c r="U6" i="22" s="1"/>
  <c r="AC14" i="1"/>
  <c r="X14" i="1" s="1"/>
  <c r="AC7" i="1"/>
  <c r="AF25" i="1"/>
  <c r="AG25" i="1" s="1"/>
  <c r="AF23" i="1"/>
  <c r="AG23" i="1" s="1"/>
  <c r="C4" i="12" s="1"/>
  <c r="AF24" i="1"/>
  <c r="AG24" i="1" s="1"/>
  <c r="E21" i="16"/>
  <c r="E13" i="16"/>
  <c r="E22" i="16"/>
  <c r="E14" i="16"/>
  <c r="C20" i="1"/>
  <c r="AO13" i="1"/>
  <c r="AB14" i="1"/>
  <c r="AB7" i="1"/>
  <c r="E43" i="18"/>
  <c r="E38" i="18"/>
  <c r="D38" i="18" s="1"/>
  <c r="AF13" i="1"/>
  <c r="AG13" i="1" s="1"/>
  <c r="AF16" i="1"/>
  <c r="AG16" i="1" s="1"/>
  <c r="AF14" i="1"/>
  <c r="AG14" i="1" s="1"/>
  <c r="AA14" i="1"/>
  <c r="AA7" i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Q14" i="1" s="1"/>
  <c r="AD7" i="1"/>
  <c r="H4" i="22"/>
  <c r="H5" i="22" s="1"/>
  <c r="G4" i="21"/>
  <c r="G5" i="21" s="1"/>
  <c r="D64" i="15"/>
  <c r="H64" i="15" s="1"/>
  <c r="D40" i="15"/>
  <c r="H40" i="15" s="1"/>
  <c r="AD15" i="1"/>
  <c r="Q15" i="1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67" i="15"/>
  <c r="D59" i="15"/>
  <c r="D45" i="15"/>
  <c r="D52" i="15"/>
  <c r="D65" i="15"/>
  <c r="H65" i="15" s="1"/>
  <c r="AN28" i="1"/>
  <c r="D102" i="15"/>
  <c r="H102" i="15" s="1"/>
  <c r="D80" i="15"/>
  <c r="H80" i="15" s="1"/>
  <c r="D68" i="15"/>
  <c r="H68" i="15" s="1"/>
  <c r="D46" i="15"/>
  <c r="H46" i="15" s="1"/>
  <c r="D43" i="18"/>
  <c r="AE22" i="1"/>
  <c r="AE15" i="1"/>
  <c r="AE20" i="1"/>
  <c r="R20" i="1" s="1"/>
  <c r="AE26" i="1"/>
  <c r="AE23" i="1"/>
  <c r="D57" i="15"/>
  <c r="D43" i="15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K96" i="15" s="1"/>
  <c r="D49" i="15"/>
  <c r="D39" i="15"/>
  <c r="D105" i="15"/>
  <c r="H105" i="15" s="1"/>
  <c r="D83" i="15"/>
  <c r="H83" i="15" s="1"/>
  <c r="D72" i="15"/>
  <c r="H72" i="15" s="1"/>
  <c r="D51" i="15"/>
  <c r="D17" i="6"/>
  <c r="H4" i="20"/>
  <c r="H5" i="20" s="1"/>
  <c r="C22" i="1"/>
  <c r="AO22" i="1"/>
  <c r="C26" i="1"/>
  <c r="AO26" i="1"/>
  <c r="Q4" i="21"/>
  <c r="Q5" i="21" s="1"/>
  <c r="R4" i="22"/>
  <c r="R5" i="22" s="1"/>
  <c r="R4" i="20"/>
  <c r="R5" i="20" s="1"/>
  <c r="AO18" i="1"/>
  <c r="C18" i="1"/>
  <c r="C30" i="1"/>
  <c r="AO30" i="1"/>
  <c r="V4" i="22"/>
  <c r="V5" i="22" s="1"/>
  <c r="V4" i="20"/>
  <c r="U4" i="21"/>
  <c r="U5" i="21" s="1"/>
  <c r="D30" i="12"/>
  <c r="D16" i="12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B17" i="1" s="1"/>
  <c r="AD13" i="1"/>
  <c r="AD16" i="1"/>
  <c r="AN17" i="1"/>
  <c r="AC15" i="1"/>
  <c r="X15" i="1" s="1"/>
  <c r="AC13" i="1"/>
  <c r="AC16" i="1"/>
  <c r="X16" i="1" s="1"/>
  <c r="AE19" i="1"/>
  <c r="R19" i="1" s="1"/>
  <c r="AE18" i="1"/>
  <c r="AB16" i="1"/>
  <c r="AB15" i="1"/>
  <c r="AB13" i="1"/>
  <c r="AA15" i="1"/>
  <c r="AA16" i="1"/>
  <c r="AA13" i="1"/>
  <c r="AE13" i="1"/>
  <c r="AE17" i="1"/>
  <c r="AE16" i="1"/>
  <c r="AM15" i="1"/>
  <c r="J15" i="1"/>
  <c r="M15" i="1" s="1"/>
  <c r="AN15" i="1"/>
  <c r="L15" i="1"/>
  <c r="AT15" i="1" s="1"/>
  <c r="AU15" i="1" s="1"/>
  <c r="D15" i="6"/>
  <c r="D103" i="16"/>
  <c r="D61" i="16"/>
  <c r="F61" i="16" s="1"/>
  <c r="AN31" i="1"/>
  <c r="E5" i="6"/>
  <c r="D44" i="16"/>
  <c r="U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54" i="17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1" i="1"/>
  <c r="AO31" i="1"/>
  <c r="T3" i="21"/>
  <c r="AO28" i="1"/>
  <c r="Z21" i="1"/>
  <c r="AF21" i="1" s="1"/>
  <c r="AG21" i="1" s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N15" i="1"/>
  <c r="R23" i="5"/>
  <c r="R17" i="5"/>
  <c r="E5" i="5"/>
  <c r="D27" i="5"/>
  <c r="F27" i="5" s="1"/>
  <c r="R24" i="5"/>
  <c r="D24" i="5"/>
  <c r="F24" i="5" s="1"/>
  <c r="D10" i="5"/>
  <c r="D15" i="4"/>
  <c r="E5" i="4"/>
  <c r="D27" i="4"/>
  <c r="D13" i="4"/>
  <c r="D10" i="4"/>
  <c r="D17" i="3"/>
  <c r="D27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5" i="1"/>
  <c r="E5" i="14"/>
  <c r="E5" i="8"/>
  <c r="E5" i="9"/>
  <c r="M20" i="1"/>
  <c r="E5" i="10"/>
  <c r="E5" i="11"/>
  <c r="D29" i="3"/>
  <c r="D21" i="3"/>
  <c r="D13" i="3"/>
  <c r="D29" i="9"/>
  <c r="F29" i="9" s="1"/>
  <c r="N23" i="1"/>
  <c r="N25" i="1"/>
  <c r="N13" i="1"/>
  <c r="N24" i="1"/>
  <c r="N18" i="1"/>
  <c r="N16" i="1"/>
  <c r="N20" i="1"/>
  <c r="AE25" i="1"/>
  <c r="R25" i="1" s="1"/>
  <c r="E5" i="13"/>
  <c r="Q11" i="20"/>
  <c r="D17" i="5"/>
  <c r="F17" i="5" s="1"/>
  <c r="D15" i="5"/>
  <c r="F15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D33" i="10" l="1"/>
  <c r="F33" i="10" s="1"/>
  <c r="D28" i="13"/>
  <c r="F28" i="13" s="1"/>
  <c r="D29" i="13"/>
  <c r="F29" i="13" s="1"/>
  <c r="D24" i="10"/>
  <c r="F24" i="10" s="1"/>
  <c r="D29" i="8"/>
  <c r="F29" i="8" s="1"/>
  <c r="D24" i="13"/>
  <c r="F24" i="13" s="1"/>
  <c r="D24" i="9"/>
  <c r="F24" i="9" s="1"/>
  <c r="D25" i="9"/>
  <c r="F25" i="9" s="1"/>
  <c r="D31" i="13"/>
  <c r="F31" i="13" s="1"/>
  <c r="D18" i="13"/>
  <c r="F18" i="13" s="1"/>
  <c r="D22" i="14"/>
  <c r="D31" i="9"/>
  <c r="F31" i="9" s="1"/>
  <c r="D13" i="11"/>
  <c r="F13" i="11" s="1"/>
  <c r="D13" i="14"/>
  <c r="D32" i="9"/>
  <c r="F32" i="9" s="1"/>
  <c r="D27" i="10"/>
  <c r="F27" i="10" s="1"/>
  <c r="D23" i="13"/>
  <c r="F23" i="13" s="1"/>
  <c r="D20" i="9"/>
  <c r="F20" i="9" s="1"/>
  <c r="D27" i="14"/>
  <c r="F27" i="14" s="1"/>
  <c r="D30" i="10"/>
  <c r="F30" i="10" s="1"/>
  <c r="D31" i="8"/>
  <c r="F31" i="8" s="1"/>
  <c r="D13" i="8"/>
  <c r="F13" i="8" s="1"/>
  <c r="D19" i="13"/>
  <c r="F19" i="13" s="1"/>
  <c r="D26" i="14"/>
  <c r="F26" i="14" s="1"/>
  <c r="D23" i="8"/>
  <c r="F23" i="8" s="1"/>
  <c r="D20" i="8"/>
  <c r="F20" i="8" s="1"/>
  <c r="D15" i="9"/>
  <c r="D29" i="10"/>
  <c r="F29" i="10" s="1"/>
  <c r="D32" i="10"/>
  <c r="F32" i="10" s="1"/>
  <c r="D18" i="11"/>
  <c r="D26" i="9"/>
  <c r="F26" i="9" s="1"/>
  <c r="D28" i="10"/>
  <c r="F28" i="10" s="1"/>
  <c r="D33" i="11"/>
  <c r="F33" i="11" s="1"/>
  <c r="D30" i="14"/>
  <c r="F30" i="14" s="1"/>
  <c r="D28" i="14"/>
  <c r="F28" i="14" s="1"/>
  <c r="D18" i="14"/>
  <c r="D12" i="9"/>
  <c r="D22" i="9"/>
  <c r="F22" i="9" s="1"/>
  <c r="D16" i="9"/>
  <c r="D24" i="11"/>
  <c r="F24" i="11" s="1"/>
  <c r="D18" i="8"/>
  <c r="F18" i="8" s="1"/>
  <c r="D19" i="9"/>
  <c r="F19" i="9" s="1"/>
  <c r="D27" i="13"/>
  <c r="F27" i="13" s="1"/>
  <c r="D15" i="8"/>
  <c r="F15" i="8" s="1"/>
  <c r="D33" i="14"/>
  <c r="F33" i="14" s="1"/>
  <c r="D31" i="14"/>
  <c r="F31" i="14" s="1"/>
  <c r="D30" i="8"/>
  <c r="F30" i="8" s="1"/>
  <c r="D31" i="11"/>
  <c r="F31" i="11" s="1"/>
  <c r="D33" i="13"/>
  <c r="F33" i="13" s="1"/>
  <c r="D32" i="13"/>
  <c r="F32" i="13" s="1"/>
  <c r="D26" i="8"/>
  <c r="F26" i="8" s="1"/>
  <c r="D26" i="13"/>
  <c r="F26" i="13" s="1"/>
  <c r="D19" i="14"/>
  <c r="D32" i="11"/>
  <c r="F32" i="11" s="1"/>
  <c r="D26" i="11"/>
  <c r="F26" i="11" s="1"/>
  <c r="D19" i="11"/>
  <c r="F19" i="11" s="1"/>
  <c r="D27" i="11"/>
  <c r="F27" i="11" s="1"/>
  <c r="D19" i="10"/>
  <c r="F19" i="10" s="1"/>
  <c r="D33" i="8"/>
  <c r="F33" i="8" s="1"/>
  <c r="D27" i="8"/>
  <c r="F27" i="8" s="1"/>
  <c r="D33" i="9"/>
  <c r="F33" i="9" s="1"/>
  <c r="D31" i="10"/>
  <c r="F31" i="10" s="1"/>
  <c r="D30" i="9"/>
  <c r="F30" i="9" s="1"/>
  <c r="D12" i="11"/>
  <c r="D29" i="11"/>
  <c r="F29" i="11" s="1"/>
  <c r="D27" i="9"/>
  <c r="F27" i="9" s="1"/>
  <c r="D20" i="10"/>
  <c r="F20" i="10" s="1"/>
  <c r="D20" i="13"/>
  <c r="D29" i="5"/>
  <c r="D25" i="4"/>
  <c r="D12" i="4"/>
  <c r="D28" i="4"/>
  <c r="D14" i="5"/>
  <c r="F14" i="5" s="1"/>
  <c r="D25" i="6"/>
  <c r="R14" i="5"/>
  <c r="S11" i="5"/>
  <c r="D11" i="5"/>
  <c r="R15" i="5"/>
  <c r="D30" i="5"/>
  <c r="F30" i="5" s="1"/>
  <c r="D13" i="5"/>
  <c r="F13" i="5" s="1"/>
  <c r="R13" i="5"/>
  <c r="D12" i="5"/>
  <c r="F12" i="5" s="1"/>
  <c r="R12" i="5"/>
  <c r="D23" i="5"/>
  <c r="F23" i="5" s="1"/>
  <c r="R18" i="5"/>
  <c r="D28" i="5"/>
  <c r="F28" i="5" s="1"/>
  <c r="D18" i="4"/>
  <c r="D23" i="4"/>
  <c r="D32" i="4"/>
  <c r="D20" i="6"/>
  <c r="D30" i="4"/>
  <c r="D18" i="6"/>
  <c r="D31" i="4"/>
  <c r="D17" i="4"/>
  <c r="D27" i="6"/>
  <c r="D21" i="6"/>
  <c r="D14" i="6"/>
  <c r="D14" i="4"/>
  <c r="D30" i="6"/>
  <c r="R19" i="5"/>
  <c r="D25" i="5"/>
  <c r="F25" i="5" s="1"/>
  <c r="R21" i="5"/>
  <c r="D12" i="6"/>
  <c r="D22" i="5"/>
  <c r="F22" i="5" s="1"/>
  <c r="D11" i="6"/>
  <c r="D32" i="5"/>
  <c r="F32" i="5" s="1"/>
  <c r="D18" i="5"/>
  <c r="F18" i="5" s="1"/>
  <c r="R25" i="5"/>
  <c r="D13" i="6"/>
  <c r="D32" i="6"/>
  <c r="D19" i="6"/>
  <c r="D26" i="4"/>
  <c r="D26" i="6"/>
  <c r="D31" i="6"/>
  <c r="D29" i="4"/>
  <c r="D22" i="6"/>
  <c r="D29" i="6"/>
  <c r="D19" i="4"/>
  <c r="D23" i="6"/>
  <c r="D21" i="4"/>
  <c r="D31" i="5"/>
  <c r="F31" i="5" s="1"/>
  <c r="D11" i="4"/>
  <c r="R16" i="5"/>
  <c r="D16" i="6"/>
  <c r="D24" i="4"/>
  <c r="R20" i="5"/>
  <c r="R22" i="5"/>
  <c r="D24" i="6"/>
  <c r="D28" i="6"/>
  <c r="D20" i="4"/>
  <c r="D19" i="5"/>
  <c r="F19" i="5" s="1"/>
  <c r="D16" i="4"/>
  <c r="D26" i="5"/>
  <c r="F26" i="5" s="1"/>
  <c r="D21" i="5"/>
  <c r="F21" i="5" s="1"/>
  <c r="D22" i="4"/>
  <c r="D16" i="5"/>
  <c r="F16" i="5" s="1"/>
  <c r="D20" i="5"/>
  <c r="F20" i="5" s="1"/>
  <c r="D12" i="10"/>
  <c r="D15" i="14"/>
  <c r="D15" i="11"/>
  <c r="D14" i="14"/>
  <c r="F14" i="14" s="1"/>
  <c r="D16" i="13"/>
  <c r="D15" i="10"/>
  <c r="F15" i="10" s="1"/>
  <c r="D20" i="14"/>
  <c r="D25" i="11"/>
  <c r="F25" i="11" s="1"/>
  <c r="D12" i="14"/>
  <c r="D14" i="9"/>
  <c r="F14" i="9" s="1"/>
  <c r="D13" i="13"/>
  <c r="D28" i="11"/>
  <c r="F28" i="11" s="1"/>
  <c r="D18" i="9"/>
  <c r="F18" i="9" s="1"/>
  <c r="D23" i="9"/>
  <c r="F23" i="9" s="1"/>
  <c r="D18" i="10"/>
  <c r="F18" i="10" s="1"/>
  <c r="D21" i="9"/>
  <c r="F21" i="9" s="1"/>
  <c r="D19" i="8"/>
  <c r="F19" i="8" s="1"/>
  <c r="E9" i="10"/>
  <c r="E9" i="13"/>
  <c r="E9" i="11"/>
  <c r="E9" i="14"/>
  <c r="E9" i="8"/>
  <c r="E9" i="9"/>
  <c r="D21" i="10"/>
  <c r="F21" i="10" s="1"/>
  <c r="D20" i="11"/>
  <c r="F20" i="11" s="1"/>
  <c r="D22" i="13"/>
  <c r="F22" i="13" s="1"/>
  <c r="D13" i="10"/>
  <c r="F13" i="10" s="1"/>
  <c r="D14" i="11"/>
  <c r="D21" i="14"/>
  <c r="D23" i="10"/>
  <c r="F23" i="10" s="1"/>
  <c r="D32" i="14"/>
  <c r="F32" i="14" s="1"/>
  <c r="D16" i="11"/>
  <c r="D14" i="13"/>
  <c r="D16" i="10"/>
  <c r="D25" i="10"/>
  <c r="F25" i="10" s="1"/>
  <c r="D25" i="14"/>
  <c r="F25" i="14" s="1"/>
  <c r="D28" i="8"/>
  <c r="F28" i="8" s="1"/>
  <c r="M12" i="19"/>
  <c r="E17" i="9"/>
  <c r="E17" i="13"/>
  <c r="E17" i="10"/>
  <c r="E17" i="8"/>
  <c r="E17" i="14"/>
  <c r="E17" i="11"/>
  <c r="D21" i="13"/>
  <c r="F21" i="13" s="1"/>
  <c r="M6" i="19"/>
  <c r="E11" i="10"/>
  <c r="E11" i="13"/>
  <c r="E11" i="8"/>
  <c r="E11" i="14"/>
  <c r="E11" i="11"/>
  <c r="E11" i="9"/>
  <c r="D22" i="8"/>
  <c r="F22" i="8" s="1"/>
  <c r="D25" i="13"/>
  <c r="F25" i="13" s="1"/>
  <c r="D30" i="13"/>
  <c r="F30" i="13" s="1"/>
  <c r="D13" i="9"/>
  <c r="F13" i="9" s="1"/>
  <c r="D16" i="8"/>
  <c r="F16" i="8" s="1"/>
  <c r="D21" i="8"/>
  <c r="F21" i="8" s="1"/>
  <c r="D26" i="10"/>
  <c r="F26" i="10" s="1"/>
  <c r="D22" i="10"/>
  <c r="F22" i="10" s="1"/>
  <c r="D21" i="11"/>
  <c r="F21" i="11" s="1"/>
  <c r="D14" i="8"/>
  <c r="F14" i="8" s="1"/>
  <c r="D12" i="13"/>
  <c r="D24" i="8"/>
  <c r="F24" i="8" s="1"/>
  <c r="D12" i="8"/>
  <c r="F12" i="8" s="1"/>
  <c r="D32" i="8"/>
  <c r="F32" i="8" s="1"/>
  <c r="D28" i="9"/>
  <c r="F28" i="9" s="1"/>
  <c r="D15" i="13"/>
  <c r="F15" i="13" s="1"/>
  <c r="D16" i="14"/>
  <c r="D23" i="14"/>
  <c r="F23" i="14" s="1"/>
  <c r="D22" i="11"/>
  <c r="F22" i="11" s="1"/>
  <c r="D30" i="11"/>
  <c r="F30" i="11" s="1"/>
  <c r="D14" i="10"/>
  <c r="F14" i="10" s="1"/>
  <c r="D24" i="14"/>
  <c r="F24" i="14" s="1"/>
  <c r="D25" i="8"/>
  <c r="F25" i="8" s="1"/>
  <c r="D23" i="11"/>
  <c r="F23" i="11" s="1"/>
  <c r="Q44" i="20"/>
  <c r="Q44" i="22" s="1"/>
  <c r="Q37" i="20"/>
  <c r="Q37" i="22" s="1"/>
  <c r="Q72" i="20"/>
  <c r="Q72" i="22" s="1"/>
  <c r="Q75" i="20"/>
  <c r="Q75" i="22" s="1"/>
  <c r="R69" i="19"/>
  <c r="R69" i="20" s="1"/>
  <c r="R69" i="22" s="1"/>
  <c r="S69" i="19"/>
  <c r="S69" i="20" s="1"/>
  <c r="S69" i="22" s="1"/>
  <c r="T69" i="19"/>
  <c r="T69" i="20" s="1"/>
  <c r="T69" i="22" s="1"/>
  <c r="U69" i="19"/>
  <c r="U69" i="20" s="1"/>
  <c r="U69" i="22" s="1"/>
  <c r="V69" i="19"/>
  <c r="P69" i="19"/>
  <c r="Q69" i="19"/>
  <c r="Q69" i="20" s="1"/>
  <c r="Q69" i="22" s="1"/>
  <c r="S81" i="19"/>
  <c r="S81" i="20" s="1"/>
  <c r="S81" i="22" s="1"/>
  <c r="P81" i="19"/>
  <c r="Q81" i="19"/>
  <c r="Q81" i="20" s="1"/>
  <c r="Q81" i="22" s="1"/>
  <c r="R81" i="19"/>
  <c r="R81" i="20" s="1"/>
  <c r="R81" i="22" s="1"/>
  <c r="V81" i="19"/>
  <c r="V81" i="20" s="1"/>
  <c r="U81" i="21" s="1"/>
  <c r="T81" i="19"/>
  <c r="T81" i="20" s="1"/>
  <c r="T81" i="22" s="1"/>
  <c r="U81" i="19"/>
  <c r="U81" i="20" s="1"/>
  <c r="T81" i="21" s="1"/>
  <c r="P24" i="19"/>
  <c r="Q24" i="19"/>
  <c r="Q24" i="20" s="1"/>
  <c r="R24" i="19"/>
  <c r="R24" i="20" s="1"/>
  <c r="S24" i="19"/>
  <c r="S24" i="20" s="1"/>
  <c r="U24" i="19"/>
  <c r="U24" i="20" s="1"/>
  <c r="V24" i="19"/>
  <c r="V24" i="20" s="1"/>
  <c r="T24" i="19"/>
  <c r="T24" i="20" s="1"/>
  <c r="P31" i="19"/>
  <c r="Q31" i="19"/>
  <c r="Q31" i="20" s="1"/>
  <c r="T31" i="19"/>
  <c r="T31" i="20" s="1"/>
  <c r="R31" i="19"/>
  <c r="R31" i="20" s="1"/>
  <c r="S31" i="19"/>
  <c r="S31" i="20" s="1"/>
  <c r="V31" i="19"/>
  <c r="V31" i="20" s="1"/>
  <c r="U31" i="19"/>
  <c r="U31" i="20" s="1"/>
  <c r="S43" i="19"/>
  <c r="S43" i="20" s="1"/>
  <c r="U43" i="19"/>
  <c r="U43" i="20" s="1"/>
  <c r="T43" i="19"/>
  <c r="T43" i="20" s="1"/>
  <c r="V43" i="19"/>
  <c r="V43" i="20" s="1"/>
  <c r="P43" i="19"/>
  <c r="Q43" i="19"/>
  <c r="Q43" i="20" s="1"/>
  <c r="R43" i="19"/>
  <c r="R43" i="20" s="1"/>
  <c r="R89" i="19"/>
  <c r="R89" i="20" s="1"/>
  <c r="R89" i="22" s="1"/>
  <c r="S89" i="19"/>
  <c r="S89" i="20" s="1"/>
  <c r="S89" i="22" s="1"/>
  <c r="T89" i="19"/>
  <c r="T89" i="20" s="1"/>
  <c r="S89" i="21" s="1"/>
  <c r="V89" i="19"/>
  <c r="V89" i="20" s="1"/>
  <c r="U89" i="21" s="1"/>
  <c r="P89" i="19"/>
  <c r="Q89" i="19"/>
  <c r="Q89" i="20" s="1"/>
  <c r="Q89" i="22" s="1"/>
  <c r="U89" i="19"/>
  <c r="U89" i="20" s="1"/>
  <c r="T89" i="21" s="1"/>
  <c r="P39" i="19"/>
  <c r="R39" i="19"/>
  <c r="R39" i="20" s="1"/>
  <c r="S39" i="19"/>
  <c r="S39" i="20" s="1"/>
  <c r="T39" i="19"/>
  <c r="T39" i="20" s="1"/>
  <c r="U39" i="19"/>
  <c r="U39" i="20" s="1"/>
  <c r="V39" i="19"/>
  <c r="V39" i="20" s="1"/>
  <c r="Q39" i="19"/>
  <c r="Q39" i="20" s="1"/>
  <c r="P57" i="19"/>
  <c r="R57" i="19"/>
  <c r="R57" i="20" s="1"/>
  <c r="U57" i="19"/>
  <c r="U57" i="20" s="1"/>
  <c r="S57" i="19"/>
  <c r="S57" i="20" s="1"/>
  <c r="Q57" i="19"/>
  <c r="Q57" i="20" s="1"/>
  <c r="T57" i="19"/>
  <c r="T57" i="20" s="1"/>
  <c r="V57" i="19"/>
  <c r="V57" i="20" s="1"/>
  <c r="S33" i="19"/>
  <c r="S33" i="20" s="1"/>
  <c r="U33" i="19"/>
  <c r="U33" i="20" s="1"/>
  <c r="U33" i="22" s="1"/>
  <c r="T33" i="19"/>
  <c r="T33" i="20" s="1"/>
  <c r="T33" i="22" s="1"/>
  <c r="V33" i="19"/>
  <c r="V33" i="20" s="1"/>
  <c r="Q33" i="19"/>
  <c r="Q33" i="20" s="1"/>
  <c r="P33" i="19"/>
  <c r="R33" i="19"/>
  <c r="R33" i="20" s="1"/>
  <c r="R33" i="22" s="1"/>
  <c r="S73" i="19"/>
  <c r="S73" i="20" s="1"/>
  <c r="S73" i="22" s="1"/>
  <c r="T73" i="19"/>
  <c r="T73" i="20" s="1"/>
  <c r="T73" i="22" s="1"/>
  <c r="U73" i="19"/>
  <c r="U73" i="20" s="1"/>
  <c r="U73" i="22" s="1"/>
  <c r="V73" i="19"/>
  <c r="V73" i="20" s="1"/>
  <c r="U73" i="21" s="1"/>
  <c r="P73" i="19"/>
  <c r="Q73" i="19"/>
  <c r="Q73" i="20" s="1"/>
  <c r="Q73" i="22" s="1"/>
  <c r="R73" i="19"/>
  <c r="R73" i="20" s="1"/>
  <c r="R73" i="22" s="1"/>
  <c r="Q85" i="19"/>
  <c r="Q85" i="20" s="1"/>
  <c r="Q85" i="22" s="1"/>
  <c r="T85" i="19"/>
  <c r="T85" i="20" s="1"/>
  <c r="S85" i="21" s="1"/>
  <c r="P85" i="19"/>
  <c r="R85" i="19"/>
  <c r="R85" i="20" s="1"/>
  <c r="R85" i="22" s="1"/>
  <c r="S85" i="19"/>
  <c r="S85" i="20" s="1"/>
  <c r="S85" i="22" s="1"/>
  <c r="U85" i="19"/>
  <c r="U85" i="20" s="1"/>
  <c r="T85" i="21" s="1"/>
  <c r="V85" i="19"/>
  <c r="V85" i="20" s="1"/>
  <c r="U85" i="21" s="1"/>
  <c r="Q55" i="19"/>
  <c r="Q55" i="20" s="1"/>
  <c r="P55" i="19"/>
  <c r="S55" i="19"/>
  <c r="S55" i="20" s="1"/>
  <c r="T55" i="19"/>
  <c r="T55" i="20" s="1"/>
  <c r="R55" i="19"/>
  <c r="R55" i="20" s="1"/>
  <c r="U55" i="19"/>
  <c r="U55" i="20" s="1"/>
  <c r="V55" i="19"/>
  <c r="V55" i="20" s="1"/>
  <c r="R94" i="19"/>
  <c r="R94" i="20" s="1"/>
  <c r="R94" i="22" s="1"/>
  <c r="S94" i="19"/>
  <c r="S94" i="20" s="1"/>
  <c r="R94" i="21" s="1"/>
  <c r="T94" i="19"/>
  <c r="T94" i="20" s="1"/>
  <c r="S94" i="21" s="1"/>
  <c r="V94" i="19"/>
  <c r="V94" i="20" s="1"/>
  <c r="U94" i="21" s="1"/>
  <c r="Q94" i="19"/>
  <c r="Q94" i="20" s="1"/>
  <c r="Q94" i="22" s="1"/>
  <c r="P94" i="19"/>
  <c r="U94" i="19"/>
  <c r="U94" i="20" s="1"/>
  <c r="T94" i="21" s="1"/>
  <c r="P66" i="19"/>
  <c r="Q66" i="19"/>
  <c r="Q66" i="20" s="1"/>
  <c r="Q66" i="22" s="1"/>
  <c r="R66" i="19"/>
  <c r="R66" i="20" s="1"/>
  <c r="R66" i="22" s="1"/>
  <c r="S66" i="19"/>
  <c r="S66" i="20" s="1"/>
  <c r="S66" i="22" s="1"/>
  <c r="V66" i="19"/>
  <c r="V66" i="20" s="1"/>
  <c r="V66" i="22" s="1"/>
  <c r="U66" i="19"/>
  <c r="U66" i="20" s="1"/>
  <c r="U66" i="22" s="1"/>
  <c r="T66" i="19"/>
  <c r="T66" i="20" s="1"/>
  <c r="T66" i="22" s="1"/>
  <c r="R74" i="19"/>
  <c r="R74" i="20" s="1"/>
  <c r="R74" i="22" s="1"/>
  <c r="S74" i="19"/>
  <c r="S74" i="20" s="1"/>
  <c r="S74" i="22" s="1"/>
  <c r="T74" i="19"/>
  <c r="T74" i="20" s="1"/>
  <c r="T74" i="22" s="1"/>
  <c r="V74" i="19"/>
  <c r="V74" i="20" s="1"/>
  <c r="U74" i="21" s="1"/>
  <c r="U74" i="19"/>
  <c r="U74" i="20" s="1"/>
  <c r="U74" i="22" s="1"/>
  <c r="P74" i="19"/>
  <c r="Q74" i="19"/>
  <c r="Q74" i="20" s="1"/>
  <c r="Q74" i="22" s="1"/>
  <c r="Q50" i="19"/>
  <c r="Q50" i="20" s="1"/>
  <c r="T50" i="19"/>
  <c r="T50" i="20" s="1"/>
  <c r="V50" i="19"/>
  <c r="V50" i="20" s="1"/>
  <c r="P50" i="19"/>
  <c r="R50" i="19"/>
  <c r="R50" i="20" s="1"/>
  <c r="S50" i="19"/>
  <c r="S50" i="20" s="1"/>
  <c r="U50" i="19"/>
  <c r="U50" i="20" s="1"/>
  <c r="P77" i="19"/>
  <c r="R77" i="19"/>
  <c r="R77" i="20" s="1"/>
  <c r="R77" i="22" s="1"/>
  <c r="U77" i="19"/>
  <c r="U77" i="20" s="1"/>
  <c r="U77" i="22" s="1"/>
  <c r="T77" i="19"/>
  <c r="T77" i="20" s="1"/>
  <c r="T77" i="22" s="1"/>
  <c r="Q77" i="19"/>
  <c r="Q77" i="20" s="1"/>
  <c r="Q77" i="22" s="1"/>
  <c r="S77" i="19"/>
  <c r="S77" i="20" s="1"/>
  <c r="S77" i="22" s="1"/>
  <c r="V77" i="19"/>
  <c r="V77" i="20" s="1"/>
  <c r="U77" i="21" s="1"/>
  <c r="Q71" i="19"/>
  <c r="Q71" i="20" s="1"/>
  <c r="Q71" i="22" s="1"/>
  <c r="P71" i="19"/>
  <c r="R71" i="19"/>
  <c r="R71" i="20" s="1"/>
  <c r="R71" i="22" s="1"/>
  <c r="S71" i="19"/>
  <c r="S71" i="20" s="1"/>
  <c r="S71" i="22" s="1"/>
  <c r="V71" i="19"/>
  <c r="V71" i="20" s="1"/>
  <c r="U71" i="21" s="1"/>
  <c r="T71" i="19"/>
  <c r="T71" i="20" s="1"/>
  <c r="T71" i="22" s="1"/>
  <c r="U71" i="19"/>
  <c r="U71" i="20" s="1"/>
  <c r="U71" i="22" s="1"/>
  <c r="Q90" i="19"/>
  <c r="Q90" i="20" s="1"/>
  <c r="Q90" i="22" s="1"/>
  <c r="V90" i="19"/>
  <c r="V90" i="20" s="1"/>
  <c r="U90" i="21" s="1"/>
  <c r="T90" i="19"/>
  <c r="T90" i="20" s="1"/>
  <c r="S90" i="21" s="1"/>
  <c r="P90" i="19"/>
  <c r="U90" i="19"/>
  <c r="U90" i="20" s="1"/>
  <c r="T90" i="21" s="1"/>
  <c r="R90" i="19"/>
  <c r="R90" i="20" s="1"/>
  <c r="R90" i="22" s="1"/>
  <c r="S90" i="19"/>
  <c r="S90" i="20" s="1"/>
  <c r="S90" i="22" s="1"/>
  <c r="R7" i="19"/>
  <c r="R7" i="20" s="1"/>
  <c r="P7" i="19"/>
  <c r="Q7" i="19"/>
  <c r="Q7" i="20" s="1"/>
  <c r="P7" i="21" s="1"/>
  <c r="T7" i="19"/>
  <c r="T7" i="20" s="1"/>
  <c r="U7" i="19"/>
  <c r="U7" i="20" s="1"/>
  <c r="T7" i="21" s="1"/>
  <c r="V7" i="19"/>
  <c r="V7" i="20" s="1"/>
  <c r="S7" i="19"/>
  <c r="S7" i="20" s="1"/>
  <c r="Q30" i="19"/>
  <c r="Q30" i="20" s="1"/>
  <c r="V30" i="19"/>
  <c r="V30" i="20" s="1"/>
  <c r="P30" i="19"/>
  <c r="U30" i="19"/>
  <c r="U30" i="20" s="1"/>
  <c r="T30" i="19"/>
  <c r="T30" i="20" s="1"/>
  <c r="R30" i="19"/>
  <c r="R30" i="20" s="1"/>
  <c r="S30" i="19"/>
  <c r="S30" i="20" s="1"/>
  <c r="P87" i="19"/>
  <c r="R87" i="19"/>
  <c r="R87" i="20" s="1"/>
  <c r="R87" i="22" s="1"/>
  <c r="U87" i="19"/>
  <c r="U87" i="20" s="1"/>
  <c r="T87" i="21" s="1"/>
  <c r="V87" i="19"/>
  <c r="V87" i="20" s="1"/>
  <c r="U87" i="21" s="1"/>
  <c r="T87" i="19"/>
  <c r="T87" i="20" s="1"/>
  <c r="S87" i="21" s="1"/>
  <c r="Q87" i="19"/>
  <c r="Q87" i="20" s="1"/>
  <c r="Q87" i="22" s="1"/>
  <c r="S87" i="19"/>
  <c r="S87" i="20" s="1"/>
  <c r="S87" i="22" s="1"/>
  <c r="P96" i="19"/>
  <c r="Q96" i="19"/>
  <c r="Q96" i="20" s="1"/>
  <c r="Q96" i="22" s="1"/>
  <c r="R96" i="19"/>
  <c r="R96" i="20" s="1"/>
  <c r="R96" i="22" s="1"/>
  <c r="S96" i="19"/>
  <c r="S96" i="20" s="1"/>
  <c r="R96" i="21" s="1"/>
  <c r="V96" i="19"/>
  <c r="V96" i="20" s="1"/>
  <c r="U96" i="21" s="1"/>
  <c r="U96" i="19"/>
  <c r="U96" i="20" s="1"/>
  <c r="T96" i="21" s="1"/>
  <c r="T96" i="19"/>
  <c r="T96" i="20" s="1"/>
  <c r="S96" i="21" s="1"/>
  <c r="P82" i="19"/>
  <c r="R82" i="19"/>
  <c r="R82" i="20" s="1"/>
  <c r="R82" i="22" s="1"/>
  <c r="U82" i="19"/>
  <c r="U82" i="20" s="1"/>
  <c r="T82" i="21" s="1"/>
  <c r="V82" i="19"/>
  <c r="V82" i="20" s="1"/>
  <c r="U82" i="21" s="1"/>
  <c r="Q82" i="19"/>
  <c r="Q82" i="20" s="1"/>
  <c r="Q82" i="22" s="1"/>
  <c r="S82" i="19"/>
  <c r="S82" i="20" s="1"/>
  <c r="S82" i="22" s="1"/>
  <c r="T82" i="19"/>
  <c r="T82" i="20" s="1"/>
  <c r="S82" i="21" s="1"/>
  <c r="S51" i="19"/>
  <c r="S51" i="20" s="1"/>
  <c r="P51" i="19"/>
  <c r="Q51" i="19"/>
  <c r="Q51" i="20" s="1"/>
  <c r="R51" i="19"/>
  <c r="R51" i="20" s="1"/>
  <c r="V51" i="19"/>
  <c r="V51" i="20" s="1"/>
  <c r="T51" i="19"/>
  <c r="T51" i="20" s="1"/>
  <c r="U51" i="19"/>
  <c r="U51" i="20" s="1"/>
  <c r="S93" i="19"/>
  <c r="S93" i="20" s="1"/>
  <c r="R93" i="21" s="1"/>
  <c r="U93" i="19"/>
  <c r="U93" i="20" s="1"/>
  <c r="T93" i="21" s="1"/>
  <c r="V93" i="19"/>
  <c r="V93" i="20" s="1"/>
  <c r="U93" i="21" s="1"/>
  <c r="T93" i="19"/>
  <c r="T93" i="20" s="1"/>
  <c r="S93" i="21" s="1"/>
  <c r="P93" i="19"/>
  <c r="Q93" i="19"/>
  <c r="Q93" i="20" s="1"/>
  <c r="Q93" i="22" s="1"/>
  <c r="R93" i="19"/>
  <c r="R93" i="20" s="1"/>
  <c r="R93" i="22" s="1"/>
  <c r="R84" i="19"/>
  <c r="R84" i="20" s="1"/>
  <c r="R84" i="22" s="1"/>
  <c r="S84" i="19"/>
  <c r="S84" i="20" s="1"/>
  <c r="S84" i="22" s="1"/>
  <c r="T84" i="19"/>
  <c r="T84" i="20" s="1"/>
  <c r="S84" i="21" s="1"/>
  <c r="V84" i="19"/>
  <c r="V84" i="20" s="1"/>
  <c r="U84" i="21" s="1"/>
  <c r="P84" i="19"/>
  <c r="U84" i="19"/>
  <c r="U84" i="20" s="1"/>
  <c r="T84" i="21" s="1"/>
  <c r="Q84" i="19"/>
  <c r="Q84" i="20" s="1"/>
  <c r="Q84" i="22" s="1"/>
  <c r="Q101" i="19"/>
  <c r="Q101" i="20" s="1"/>
  <c r="R101" i="19"/>
  <c r="R101" i="20" s="1"/>
  <c r="Q101" i="21" s="1"/>
  <c r="P101" i="19"/>
  <c r="S101" i="19"/>
  <c r="S101" i="20" s="1"/>
  <c r="R101" i="21" s="1"/>
  <c r="V101" i="19"/>
  <c r="V101" i="20" s="1"/>
  <c r="U101" i="21" s="1"/>
  <c r="T101" i="19"/>
  <c r="T101" i="20" s="1"/>
  <c r="S101" i="21" s="1"/>
  <c r="U101" i="19"/>
  <c r="U101" i="20" s="1"/>
  <c r="T101" i="21" s="1"/>
  <c r="P14" i="19"/>
  <c r="Q14" i="19"/>
  <c r="Q14" i="20" s="1"/>
  <c r="R14" i="19"/>
  <c r="R14" i="20" s="1"/>
  <c r="S14" i="19"/>
  <c r="S14" i="20" s="1"/>
  <c r="U14" i="19"/>
  <c r="U14" i="20" s="1"/>
  <c r="V14" i="19"/>
  <c r="V14" i="20" s="1"/>
  <c r="T14" i="19"/>
  <c r="T14" i="20" s="1"/>
  <c r="R99" i="19"/>
  <c r="R99" i="20" s="1"/>
  <c r="Q99" i="21" s="1"/>
  <c r="S99" i="19"/>
  <c r="S99" i="20" s="1"/>
  <c r="R99" i="21" s="1"/>
  <c r="T99" i="19"/>
  <c r="T99" i="20" s="1"/>
  <c r="S99" i="21" s="1"/>
  <c r="V99" i="19"/>
  <c r="V99" i="20" s="1"/>
  <c r="U99" i="21" s="1"/>
  <c r="U99" i="19"/>
  <c r="U99" i="20" s="1"/>
  <c r="T99" i="21" s="1"/>
  <c r="Q99" i="19"/>
  <c r="Q99" i="20" s="1"/>
  <c r="P99" i="19"/>
  <c r="R79" i="19"/>
  <c r="R79" i="20" s="1"/>
  <c r="R79" i="22" s="1"/>
  <c r="S79" i="19"/>
  <c r="S79" i="20" s="1"/>
  <c r="S79" i="22" s="1"/>
  <c r="T79" i="19"/>
  <c r="T79" i="20" s="1"/>
  <c r="T79" i="22" s="1"/>
  <c r="V79" i="19"/>
  <c r="V79" i="20" s="1"/>
  <c r="U79" i="21" s="1"/>
  <c r="Q79" i="19"/>
  <c r="Q79" i="20" s="1"/>
  <c r="Q79" i="22" s="1"/>
  <c r="U79" i="19"/>
  <c r="U79" i="20" s="1"/>
  <c r="T79" i="21" s="1"/>
  <c r="P79" i="19"/>
  <c r="Q65" i="19"/>
  <c r="Q65" i="20" s="1"/>
  <c r="T65" i="19"/>
  <c r="T65" i="20" s="1"/>
  <c r="U65" i="19"/>
  <c r="U65" i="20" s="1"/>
  <c r="V65" i="19"/>
  <c r="V65" i="20" s="1"/>
  <c r="R65" i="19"/>
  <c r="R65" i="20" s="1"/>
  <c r="P65" i="19"/>
  <c r="S65" i="19"/>
  <c r="S65" i="20" s="1"/>
  <c r="S98" i="19"/>
  <c r="S98" i="20" s="1"/>
  <c r="R98" i="21" s="1"/>
  <c r="T98" i="19"/>
  <c r="T98" i="20" s="1"/>
  <c r="S98" i="21" s="1"/>
  <c r="U98" i="19"/>
  <c r="U98" i="20" s="1"/>
  <c r="T98" i="21" s="1"/>
  <c r="V98" i="19"/>
  <c r="V98" i="20" s="1"/>
  <c r="U98" i="21" s="1"/>
  <c r="R98" i="19"/>
  <c r="R98" i="20" s="1"/>
  <c r="Q98" i="21" s="1"/>
  <c r="P98" i="19"/>
  <c r="Q98" i="19"/>
  <c r="Q98" i="20" s="1"/>
  <c r="P76" i="19"/>
  <c r="Q76" i="19"/>
  <c r="Q76" i="20" s="1"/>
  <c r="Q76" i="22" s="1"/>
  <c r="R76" i="19"/>
  <c r="R76" i="20" s="1"/>
  <c r="R76" i="22" s="1"/>
  <c r="S76" i="19"/>
  <c r="S76" i="20" s="1"/>
  <c r="S76" i="22" s="1"/>
  <c r="V76" i="19"/>
  <c r="V76" i="20" s="1"/>
  <c r="U76" i="21" s="1"/>
  <c r="T76" i="19"/>
  <c r="T76" i="20" s="1"/>
  <c r="T76" i="22" s="1"/>
  <c r="U76" i="19"/>
  <c r="U76" i="20" s="1"/>
  <c r="U76" i="22" s="1"/>
  <c r="P61" i="19"/>
  <c r="Q61" i="19"/>
  <c r="Q61" i="20" s="1"/>
  <c r="S61" i="19"/>
  <c r="S61" i="20" s="1"/>
  <c r="R61" i="19"/>
  <c r="R61" i="20" s="1"/>
  <c r="V61" i="19"/>
  <c r="V61" i="20" s="1"/>
  <c r="U61" i="19"/>
  <c r="U61" i="20" s="1"/>
  <c r="T61" i="19"/>
  <c r="T61" i="20" s="1"/>
  <c r="S68" i="19"/>
  <c r="S68" i="20" s="1"/>
  <c r="S68" i="22" s="1"/>
  <c r="T68" i="19"/>
  <c r="T68" i="20" s="1"/>
  <c r="T68" i="22" s="1"/>
  <c r="U68" i="19"/>
  <c r="U68" i="20" s="1"/>
  <c r="U68" i="22" s="1"/>
  <c r="V68" i="19"/>
  <c r="V68" i="20" s="1"/>
  <c r="R68" i="19"/>
  <c r="R68" i="20" s="1"/>
  <c r="R68" i="22" s="1"/>
  <c r="P68" i="19"/>
  <c r="Q68" i="19"/>
  <c r="Q68" i="20" s="1"/>
  <c r="Q68" i="22" s="1"/>
  <c r="M4" i="20"/>
  <c r="M18" i="20" s="1"/>
  <c r="L18" i="21" s="1"/>
  <c r="H86" i="2"/>
  <c r="R16" i="21"/>
  <c r="R18" i="21"/>
  <c r="V42" i="20"/>
  <c r="V42" i="22" s="1"/>
  <c r="S25" i="21"/>
  <c r="S25" i="22"/>
  <c r="T13" i="22"/>
  <c r="K41" i="15"/>
  <c r="H41" i="15"/>
  <c r="K59" i="15"/>
  <c r="H59" i="15"/>
  <c r="K39" i="15"/>
  <c r="H39" i="15"/>
  <c r="K43" i="15"/>
  <c r="H43" i="15"/>
  <c r="K49" i="15"/>
  <c r="H49" i="15"/>
  <c r="H96" i="15"/>
  <c r="K47" i="15"/>
  <c r="H47" i="15"/>
  <c r="K63" i="15"/>
  <c r="H63" i="15"/>
  <c r="K52" i="15"/>
  <c r="H52" i="15"/>
  <c r="K61" i="15"/>
  <c r="H61" i="15"/>
  <c r="K50" i="15"/>
  <c r="H50" i="15"/>
  <c r="K51" i="15"/>
  <c r="H51" i="15"/>
  <c r="K69" i="15"/>
  <c r="H69" i="15"/>
  <c r="K67" i="15"/>
  <c r="H67" i="15"/>
  <c r="K53" i="15"/>
  <c r="H53" i="15"/>
  <c r="K57" i="15"/>
  <c r="H57" i="15"/>
  <c r="K45" i="15"/>
  <c r="H45" i="15"/>
  <c r="K22" i="15"/>
  <c r="H22" i="15"/>
  <c r="K13" i="15"/>
  <c r="H13" i="15"/>
  <c r="K23" i="15"/>
  <c r="H23" i="15"/>
  <c r="K15" i="15"/>
  <c r="H15" i="15"/>
  <c r="K30" i="15"/>
  <c r="H30" i="15"/>
  <c r="K14" i="15"/>
  <c r="H14" i="15"/>
  <c r="K21" i="15"/>
  <c r="H21" i="15"/>
  <c r="K28" i="15"/>
  <c r="H28" i="15"/>
  <c r="K33" i="15"/>
  <c r="H33" i="15"/>
  <c r="K20" i="15"/>
  <c r="H20" i="15"/>
  <c r="K25" i="15"/>
  <c r="H25" i="15"/>
  <c r="T18" i="22"/>
  <c r="S22" i="22"/>
  <c r="R15" i="21"/>
  <c r="K17" i="15"/>
  <c r="H17" i="15"/>
  <c r="K24" i="15"/>
  <c r="H24" i="15"/>
  <c r="K27" i="15"/>
  <c r="H27" i="15"/>
  <c r="K13" i="12"/>
  <c r="H13" i="12"/>
  <c r="K14" i="12"/>
  <c r="H14" i="12"/>
  <c r="K32" i="12"/>
  <c r="H32" i="12"/>
  <c r="K12" i="12"/>
  <c r="H12" i="12"/>
  <c r="K26" i="12"/>
  <c r="H26" i="12"/>
  <c r="K18" i="12"/>
  <c r="H18" i="12"/>
  <c r="K25" i="12"/>
  <c r="H25" i="12"/>
  <c r="K28" i="12"/>
  <c r="H28" i="12"/>
  <c r="K19" i="12"/>
  <c r="H19" i="12"/>
  <c r="K22" i="12"/>
  <c r="H22" i="12"/>
  <c r="K21" i="12"/>
  <c r="H21" i="12"/>
  <c r="K16" i="12"/>
  <c r="H16" i="12"/>
  <c r="K30" i="12"/>
  <c r="H30" i="12"/>
  <c r="K20" i="12"/>
  <c r="H20" i="12"/>
  <c r="K15" i="12"/>
  <c r="H15" i="12"/>
  <c r="S34" i="22"/>
  <c r="R34" i="21"/>
  <c r="D78" i="15"/>
  <c r="H78" i="15" s="1"/>
  <c r="D94" i="15"/>
  <c r="H94" i="15" s="1"/>
  <c r="D66" i="15"/>
  <c r="D89" i="15"/>
  <c r="H89" i="15" s="1"/>
  <c r="D38" i="15"/>
  <c r="H38" i="15" s="1"/>
  <c r="D48" i="15"/>
  <c r="D81" i="15"/>
  <c r="H81" i="15" s="1"/>
  <c r="D62" i="15"/>
  <c r="H62" i="15" s="1"/>
  <c r="D82" i="15"/>
  <c r="H82" i="15" s="1"/>
  <c r="D99" i="15"/>
  <c r="H99" i="15" s="1"/>
  <c r="D73" i="15"/>
  <c r="H73" i="15" s="1"/>
  <c r="D95" i="15"/>
  <c r="D60" i="15"/>
  <c r="D87" i="15"/>
  <c r="H87" i="15" s="1"/>
  <c r="D29" i="15"/>
  <c r="H29" i="15" s="1"/>
  <c r="D70" i="15"/>
  <c r="H70" i="15" s="1"/>
  <c r="D86" i="15"/>
  <c r="H86" i="15" s="1"/>
  <c r="D103" i="15"/>
  <c r="H103" i="15" s="1"/>
  <c r="D35" i="15"/>
  <c r="H35" i="15" s="1"/>
  <c r="D79" i="15"/>
  <c r="H79" i="15" s="1"/>
  <c r="D101" i="15"/>
  <c r="H101" i="15" s="1"/>
  <c r="D19" i="15"/>
  <c r="H19" i="15" s="1"/>
  <c r="D71" i="15"/>
  <c r="D92" i="15"/>
  <c r="H92" i="15" s="1"/>
  <c r="D44" i="15"/>
  <c r="H44" i="15" s="1"/>
  <c r="D74" i="15"/>
  <c r="H74" i="15" s="1"/>
  <c r="V69" i="20"/>
  <c r="D90" i="15"/>
  <c r="H90" i="15" s="1"/>
  <c r="D56" i="15"/>
  <c r="H56" i="15" s="1"/>
  <c r="D84" i="15"/>
  <c r="H84" i="15" s="1"/>
  <c r="D106" i="15"/>
  <c r="H106" i="15" s="1"/>
  <c r="D36" i="15"/>
  <c r="H36" i="15" s="1"/>
  <c r="D76" i="15"/>
  <c r="H76" i="15" s="1"/>
  <c r="D98" i="15"/>
  <c r="S12" i="22"/>
  <c r="R9" i="21"/>
  <c r="D104" i="15"/>
  <c r="H104" i="15" s="1"/>
  <c r="Q6" i="22"/>
  <c r="H26" i="2"/>
  <c r="H30" i="2"/>
  <c r="H28" i="2"/>
  <c r="H31" i="2"/>
  <c r="H25" i="2"/>
  <c r="H52" i="2"/>
  <c r="H74" i="2"/>
  <c r="H77" i="2"/>
  <c r="H41" i="2"/>
  <c r="H51" i="2"/>
  <c r="H64" i="2"/>
  <c r="H82" i="2"/>
  <c r="H45" i="2"/>
  <c r="H56" i="2"/>
  <c r="H85" i="2"/>
  <c r="H73" i="2"/>
  <c r="H68" i="2"/>
  <c r="H39" i="2"/>
  <c r="H94" i="2"/>
  <c r="H78" i="2"/>
  <c r="H55" i="2"/>
  <c r="H72" i="2"/>
  <c r="H95" i="2"/>
  <c r="H23" i="2"/>
  <c r="H29" i="2"/>
  <c r="H20" i="2"/>
  <c r="H27" i="2"/>
  <c r="H17" i="2"/>
  <c r="H91" i="2"/>
  <c r="H93" i="2"/>
  <c r="H38" i="2"/>
  <c r="H81" i="2"/>
  <c r="H43" i="2"/>
  <c r="H97" i="2"/>
  <c r="H57" i="2"/>
  <c r="H79" i="2"/>
  <c r="H34" i="2"/>
  <c r="H54" i="2"/>
  <c r="H89" i="2"/>
  <c r="H60" i="2"/>
  <c r="H58" i="2"/>
  <c r="H67" i="2"/>
  <c r="H99" i="2"/>
  <c r="H92" i="2"/>
  <c r="H71" i="2"/>
  <c r="H13" i="2"/>
  <c r="H19" i="2"/>
  <c r="H21" i="2"/>
  <c r="H14" i="2"/>
  <c r="H22" i="2"/>
  <c r="H24" i="2"/>
  <c r="H48" i="2"/>
  <c r="H75" i="2"/>
  <c r="H69" i="2"/>
  <c r="H100" i="2"/>
  <c r="H53" i="2"/>
  <c r="H49" i="2"/>
  <c r="H50" i="2"/>
  <c r="H35" i="2"/>
  <c r="H88" i="2"/>
  <c r="H66" i="2"/>
  <c r="H65" i="2"/>
  <c r="H33" i="2"/>
  <c r="H101" i="2"/>
  <c r="H63" i="2"/>
  <c r="H84" i="2"/>
  <c r="H36" i="2"/>
  <c r="H12" i="2"/>
  <c r="H15" i="2"/>
  <c r="H32" i="2"/>
  <c r="H10" i="2"/>
  <c r="H18" i="2"/>
  <c r="H16" i="2"/>
  <c r="H98" i="2"/>
  <c r="H44" i="2"/>
  <c r="H62" i="2"/>
  <c r="H76" i="2"/>
  <c r="H46" i="2"/>
  <c r="H83" i="2"/>
  <c r="H80" i="2"/>
  <c r="H37" i="2"/>
  <c r="H96" i="2"/>
  <c r="H90" i="2"/>
  <c r="H47" i="2"/>
  <c r="H87" i="2"/>
  <c r="H70" i="2"/>
  <c r="H40" i="2"/>
  <c r="H42" i="2"/>
  <c r="H11" i="2"/>
  <c r="H59" i="2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Q17" i="22"/>
  <c r="P16" i="21"/>
  <c r="S9" i="21"/>
  <c r="C8" i="20"/>
  <c r="C8" i="22" s="1"/>
  <c r="C9" i="20"/>
  <c r="C9" i="22" s="1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P15" i="21"/>
  <c r="R28" i="21"/>
  <c r="R10" i="21"/>
  <c r="R17" i="21"/>
  <c r="S17" i="21"/>
  <c r="S21" i="22"/>
  <c r="T10" i="22"/>
  <c r="P10" i="21"/>
  <c r="P19" i="21"/>
  <c r="P32" i="21"/>
  <c r="T36" i="22"/>
  <c r="T16" i="22"/>
  <c r="S15" i="21"/>
  <c r="R13" i="21"/>
  <c r="P21" i="21"/>
  <c r="S22" i="21"/>
  <c r="S28" i="21"/>
  <c r="Q13" i="22"/>
  <c r="Q18" i="22"/>
  <c r="P26" i="21"/>
  <c r="P28" i="21"/>
  <c r="S67" i="21"/>
  <c r="R26" i="21"/>
  <c r="R20" i="21"/>
  <c r="S26" i="21"/>
  <c r="T26" i="22"/>
  <c r="Q22" i="22"/>
  <c r="P56" i="21"/>
  <c r="Q25" i="22"/>
  <c r="M16" i="20"/>
  <c r="L16" i="21" s="1"/>
  <c r="L4" i="21"/>
  <c r="L5" i="21" s="1"/>
  <c r="M14" i="20"/>
  <c r="L14" i="21" s="1"/>
  <c r="M11" i="20"/>
  <c r="M11" i="22" s="1"/>
  <c r="T13" i="21"/>
  <c r="R25" i="20"/>
  <c r="R25" i="22" s="1"/>
  <c r="D94" i="17"/>
  <c r="D62" i="17"/>
  <c r="D21" i="17"/>
  <c r="D61" i="17"/>
  <c r="F61" i="17" s="1"/>
  <c r="D11" i="17"/>
  <c r="D15" i="17"/>
  <c r="R95" i="20"/>
  <c r="R95" i="22" s="1"/>
  <c r="H101" i="20"/>
  <c r="G101" i="21" s="1"/>
  <c r="Q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B30" i="19"/>
  <c r="B29" i="19"/>
  <c r="B28" i="19"/>
  <c r="B31" i="19"/>
  <c r="D12" i="15"/>
  <c r="H12" i="15" s="1"/>
  <c r="Q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R16" i="1"/>
  <c r="Q16" i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T26" i="2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AF17" i="1"/>
  <c r="AG17" i="1" s="1"/>
  <c r="T41" i="21"/>
  <c r="V34" i="20"/>
  <c r="V34" i="22" s="1"/>
  <c r="V86" i="20"/>
  <c r="U86" i="21" s="1"/>
  <c r="R38" i="20"/>
  <c r="Q38" i="21" s="1"/>
  <c r="V88" i="20"/>
  <c r="U88" i="21" s="1"/>
  <c r="T92" i="21"/>
  <c r="V41" i="20"/>
  <c r="V41" i="22" s="1"/>
  <c r="V16" i="1"/>
  <c r="D31" i="19"/>
  <c r="D69" i="19"/>
  <c r="W14" i="1"/>
  <c r="V15" i="1"/>
  <c r="E47" i="19"/>
  <c r="E77" i="19"/>
  <c r="W15" i="1"/>
  <c r="W16" i="1"/>
  <c r="R15" i="1"/>
  <c r="R22" i="1"/>
  <c r="R14" i="1"/>
  <c r="T45" i="22"/>
  <c r="P60" i="21"/>
  <c r="R92" i="21"/>
  <c r="R59" i="21"/>
  <c r="P35" i="21"/>
  <c r="S54" i="22"/>
  <c r="R52" i="21"/>
  <c r="R72" i="21"/>
  <c r="Q45" i="22"/>
  <c r="S59" i="21"/>
  <c r="R83" i="21"/>
  <c r="P59" i="21"/>
  <c r="P92" i="21"/>
  <c r="T38" i="22"/>
  <c r="T35" i="22"/>
  <c r="S35" i="21"/>
  <c r="S62" i="22"/>
  <c r="Q52" i="22"/>
  <c r="S72" i="21"/>
  <c r="R40" i="21"/>
  <c r="S45" i="22"/>
  <c r="Q62" i="22"/>
  <c r="S54" i="21"/>
  <c r="S47" i="21"/>
  <c r="Q38" i="22"/>
  <c r="T32" i="22"/>
  <c r="P47" i="21"/>
  <c r="T52" i="21"/>
  <c r="S60" i="21"/>
  <c r="P40" i="21"/>
  <c r="U48" i="21"/>
  <c r="V54" i="20"/>
  <c r="V54" i="22" s="1"/>
  <c r="P49" i="21"/>
  <c r="Q54" i="22"/>
  <c r="P54" i="21"/>
  <c r="R35" i="21"/>
  <c r="S60" i="22"/>
  <c r="R47" i="21"/>
  <c r="S53" i="21"/>
  <c r="R49" i="21"/>
  <c r="S32" i="22"/>
  <c r="R41" i="21"/>
  <c r="R67" i="21"/>
  <c r="S62" i="21"/>
  <c r="T62" i="22"/>
  <c r="T42" i="21"/>
  <c r="U42" i="22"/>
  <c r="R78" i="21"/>
  <c r="S78" i="22"/>
  <c r="D55" i="15"/>
  <c r="T52" i="22"/>
  <c r="R64" i="21"/>
  <c r="R86" i="21"/>
  <c r="P95" i="21"/>
  <c r="Q95" i="22"/>
  <c r="S38" i="22"/>
  <c r="T95" i="21"/>
  <c r="P34" i="21"/>
  <c r="T75" i="21"/>
  <c r="U75" i="22"/>
  <c r="Q48" i="22"/>
  <c r="P48" i="21"/>
  <c r="F29" i="5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R75" i="21"/>
  <c r="T100" i="21"/>
  <c r="T83" i="21"/>
  <c r="U17" i="21"/>
  <c r="V17" i="22"/>
  <c r="T54" i="21"/>
  <c r="D64" i="17"/>
  <c r="D33" i="17"/>
  <c r="F33" i="17" s="1"/>
  <c r="D101" i="17"/>
  <c r="D23" i="17"/>
  <c r="D28" i="17"/>
  <c r="D34" i="17"/>
  <c r="D12" i="17"/>
  <c r="D73" i="17"/>
  <c r="R92" i="20"/>
  <c r="R92" i="22" s="1"/>
  <c r="P64" i="21"/>
  <c r="R83" i="20"/>
  <c r="R83" i="22" s="1"/>
  <c r="T64" i="21"/>
  <c r="U13" i="22"/>
  <c r="T45" i="21"/>
  <c r="T20" i="21"/>
  <c r="R27" i="20"/>
  <c r="R27" i="22" s="1"/>
  <c r="T9" i="21"/>
  <c r="S56" i="21"/>
  <c r="T17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86" i="21"/>
  <c r="U41" i="22"/>
  <c r="T91" i="2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T12" i="21"/>
  <c r="T21" i="21"/>
  <c r="T18" i="21"/>
  <c r="R91" i="20"/>
  <c r="R91" i="22" s="1"/>
  <c r="R36" i="20"/>
  <c r="R36" i="22" s="1"/>
  <c r="R44" i="20"/>
  <c r="Q44" i="21" s="1"/>
  <c r="R58" i="20"/>
  <c r="R58" i="22" s="1"/>
  <c r="T35" i="21"/>
  <c r="T80" i="21"/>
  <c r="R80" i="20"/>
  <c r="R80" i="22" s="1"/>
  <c r="U26" i="22"/>
  <c r="R29" i="20"/>
  <c r="Q29" i="21" s="1"/>
  <c r="T60" i="21"/>
  <c r="T88" i="2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V5" i="20"/>
  <c r="T42" i="22"/>
  <c r="T38" i="21"/>
  <c r="T22" i="21"/>
  <c r="AC17" i="1"/>
  <c r="G4" i="20"/>
  <c r="G4" i="22"/>
  <c r="G5" i="22" s="1"/>
  <c r="F4" i="21"/>
  <c r="F5" i="21" s="1"/>
  <c r="N21" i="1"/>
  <c r="AT21" i="1"/>
  <c r="AU21" i="1" s="1"/>
  <c r="S63" i="22"/>
  <c r="R63" i="21"/>
  <c r="M21" i="1"/>
  <c r="AE21" i="1"/>
  <c r="T62" i="21"/>
  <c r="T72" i="21"/>
  <c r="T15" i="21"/>
  <c r="T10" i="21"/>
  <c r="T28" i="21"/>
  <c r="T47" i="21"/>
  <c r="T40" i="21"/>
  <c r="D4" i="21"/>
  <c r="D5" i="21" s="1"/>
  <c r="F4" i="20"/>
  <c r="E4" i="21"/>
  <c r="E5" i="21" s="1"/>
  <c r="F4" i="22"/>
  <c r="F5" i="22" s="1"/>
  <c r="E4" i="20"/>
  <c r="E4" i="22"/>
  <c r="E5" i="22" s="1"/>
  <c r="C4" i="21"/>
  <c r="C5" i="21" s="1"/>
  <c r="D4" i="22"/>
  <c r="D5" i="22" s="1"/>
  <c r="D4" i="20"/>
  <c r="O4" i="22"/>
  <c r="O5" i="22" s="1"/>
  <c r="N4" i="21"/>
  <c r="N5" i="21" s="1"/>
  <c r="O4" i="20"/>
  <c r="I4" i="22"/>
  <c r="I5" i="22" s="1"/>
  <c r="I4" i="20"/>
  <c r="H4" i="21"/>
  <c r="H5" i="21" s="1"/>
  <c r="J4" i="22"/>
  <c r="J5" i="22" s="1"/>
  <c r="J4" i="20"/>
  <c r="J11" i="20" s="1"/>
  <c r="I4" i="21"/>
  <c r="I5" i="21" s="1"/>
  <c r="K4" i="20"/>
  <c r="J4" i="21"/>
  <c r="J5" i="21" s="1"/>
  <c r="K4" i="22"/>
  <c r="K5" i="22" s="1"/>
  <c r="L4" i="22"/>
  <c r="L5" i="22" s="1"/>
  <c r="L4" i="20"/>
  <c r="K4" i="21"/>
  <c r="K5" i="21" s="1"/>
  <c r="P12" i="21"/>
  <c r="P41" i="21"/>
  <c r="T63" i="22"/>
  <c r="S63" i="21"/>
  <c r="U56" i="22"/>
  <c r="T56" i="21"/>
  <c r="P86" i="21"/>
  <c r="T41" i="22"/>
  <c r="S41" i="21"/>
  <c r="U63" i="22"/>
  <c r="T63" i="21"/>
  <c r="Q42" i="22"/>
  <c r="P42" i="21"/>
  <c r="T64" i="22"/>
  <c r="S64" i="21"/>
  <c r="Q63" i="22"/>
  <c r="P63" i="21"/>
  <c r="Q97" i="22"/>
  <c r="P97" i="21"/>
  <c r="T32" i="21"/>
  <c r="U32" i="22"/>
  <c r="T46" i="21"/>
  <c r="T78" i="21"/>
  <c r="U34" i="22"/>
  <c r="T34" i="21"/>
  <c r="P78" i="21"/>
  <c r="T34" i="22"/>
  <c r="S34" i="21"/>
  <c r="R88" i="21"/>
  <c r="T49" i="22"/>
  <c r="S49" i="21"/>
  <c r="U49" i="22"/>
  <c r="T49" i="21"/>
  <c r="P88" i="21"/>
  <c r="R48" i="21"/>
  <c r="S48" i="22"/>
  <c r="T48" i="22"/>
  <c r="T44" i="22"/>
  <c r="S44" i="21"/>
  <c r="P67" i="21"/>
  <c r="S12" i="21"/>
  <c r="N4" i="20"/>
  <c r="M4" i="21"/>
  <c r="M5" i="21" s="1"/>
  <c r="N4" i="22"/>
  <c r="N5" i="22" s="1"/>
  <c r="S11" i="22"/>
  <c r="R11" i="21"/>
  <c r="P91" i="21"/>
  <c r="S46" i="22"/>
  <c r="R46" i="21"/>
  <c r="R19" i="21"/>
  <c r="S19" i="22"/>
  <c r="P29" i="21"/>
  <c r="Q29" i="22"/>
  <c r="U44" i="22"/>
  <c r="T44" i="21"/>
  <c r="V58" i="22"/>
  <c r="U58" i="21"/>
  <c r="S53" i="22"/>
  <c r="R53" i="21"/>
  <c r="Q23" i="22"/>
  <c r="P23" i="21"/>
  <c r="Q11" i="22"/>
  <c r="P11" i="21"/>
  <c r="R70" i="21"/>
  <c r="S8" i="22"/>
  <c r="R8" i="21"/>
  <c r="T23" i="21"/>
  <c r="U23" i="22"/>
  <c r="R44" i="21"/>
  <c r="S44" i="22"/>
  <c r="U58" i="22"/>
  <c r="T58" i="21"/>
  <c r="P58" i="21"/>
  <c r="Q58" i="22"/>
  <c r="P80" i="21"/>
  <c r="U11" i="21"/>
  <c r="V11" i="22"/>
  <c r="P70" i="21"/>
  <c r="P8" i="21"/>
  <c r="Q8" i="22"/>
  <c r="S36" i="22"/>
  <c r="R36" i="21"/>
  <c r="R80" i="21"/>
  <c r="Q46" i="22"/>
  <c r="P46" i="21"/>
  <c r="T19" i="22"/>
  <c r="S19" i="21"/>
  <c r="Q36" i="22"/>
  <c r="P36" i="21"/>
  <c r="U11" i="22"/>
  <c r="T11" i="21"/>
  <c r="Q53" i="22"/>
  <c r="P53" i="21"/>
  <c r="S23" i="22"/>
  <c r="R23" i="21"/>
  <c r="T29" i="22"/>
  <c r="S29" i="21"/>
  <c r="U29" i="22"/>
  <c r="T29" i="21"/>
  <c r="T70" i="21"/>
  <c r="R91" i="21"/>
  <c r="S46" i="21"/>
  <c r="T46" i="22"/>
  <c r="U46" i="21"/>
  <c r="V46" i="22"/>
  <c r="U19" i="22"/>
  <c r="T19" i="21"/>
  <c r="U53" i="22"/>
  <c r="T53" i="21"/>
  <c r="T58" i="22"/>
  <c r="S58" i="21"/>
  <c r="S23" i="21"/>
  <c r="T23" i="22"/>
  <c r="S80" i="21"/>
  <c r="S29" i="22"/>
  <c r="R29" i="21"/>
  <c r="S70" i="21"/>
  <c r="T8" i="21"/>
  <c r="U8" i="22"/>
  <c r="T8" i="22"/>
  <c r="S8" i="21"/>
  <c r="K37" i="15"/>
  <c r="Q27" i="22"/>
  <c r="P27" i="21"/>
  <c r="K32" i="15"/>
  <c r="K64" i="15"/>
  <c r="K54" i="15"/>
  <c r="T27" i="21"/>
  <c r="U27" i="22"/>
  <c r="K93" i="15"/>
  <c r="K46" i="15"/>
  <c r="R37" i="21"/>
  <c r="T37" i="22"/>
  <c r="S37" i="21"/>
  <c r="S27" i="22"/>
  <c r="R27" i="21"/>
  <c r="K16" i="15"/>
  <c r="K40" i="15"/>
  <c r="K77" i="15"/>
  <c r="T37" i="21"/>
  <c r="U37" i="22"/>
  <c r="S27" i="21"/>
  <c r="T27" i="22"/>
  <c r="K65" i="15"/>
  <c r="K85" i="15"/>
  <c r="K18" i="15"/>
  <c r="T67" i="21"/>
  <c r="K68" i="15"/>
  <c r="K80" i="15"/>
  <c r="K58" i="15"/>
  <c r="K83" i="15"/>
  <c r="K34" i="15"/>
  <c r="P83" i="21"/>
  <c r="S75" i="21"/>
  <c r="K42" i="15"/>
  <c r="K26" i="15"/>
  <c r="K88" i="15"/>
  <c r="K72" i="15"/>
  <c r="K91" i="15"/>
  <c r="K75" i="15"/>
  <c r="O4" i="21"/>
  <c r="O5" i="21" s="1"/>
  <c r="P4" i="20"/>
  <c r="P4" i="22"/>
  <c r="P5" i="22" s="1"/>
  <c r="K31" i="15"/>
  <c r="D17" i="12"/>
  <c r="K33" i="12"/>
  <c r="K23" i="12"/>
  <c r="K31" i="12"/>
  <c r="K29" i="12"/>
  <c r="K27" i="12"/>
  <c r="K24" i="12"/>
  <c r="D11" i="12"/>
  <c r="P44" i="21" l="1"/>
  <c r="P75" i="21"/>
  <c r="P37" i="21"/>
  <c r="P72" i="21"/>
  <c r="J6" i="19"/>
  <c r="D11" i="9"/>
  <c r="L6" i="19"/>
  <c r="D11" i="11"/>
  <c r="I6" i="19"/>
  <c r="D11" i="8"/>
  <c r="F11" i="8" s="1"/>
  <c r="N6" i="19"/>
  <c r="D11" i="13"/>
  <c r="K6" i="19"/>
  <c r="D11" i="10"/>
  <c r="L12" i="19"/>
  <c r="L12" i="20" s="1"/>
  <c r="D17" i="11"/>
  <c r="O12" i="19"/>
  <c r="O12" i="20" s="1"/>
  <c r="D17" i="14"/>
  <c r="O6" i="19"/>
  <c r="D11" i="14"/>
  <c r="I12" i="19"/>
  <c r="I12" i="20" s="1"/>
  <c r="D17" i="8"/>
  <c r="F17" i="8" s="1"/>
  <c r="K12" i="19"/>
  <c r="K12" i="20" s="1"/>
  <c r="D17" i="10"/>
  <c r="N12" i="19"/>
  <c r="D17" i="13"/>
  <c r="J12" i="19"/>
  <c r="D17" i="9"/>
  <c r="D28" i="19"/>
  <c r="D28" i="20" s="1"/>
  <c r="E28" i="19"/>
  <c r="E28" i="20" s="1"/>
  <c r="M15" i="20"/>
  <c r="M15" i="22" s="1"/>
  <c r="M7" i="20"/>
  <c r="M7" i="22" s="1"/>
  <c r="M24" i="20"/>
  <c r="L24" i="21" s="1"/>
  <c r="M10" i="20"/>
  <c r="M10" i="22" s="1"/>
  <c r="M23" i="20"/>
  <c r="M23" i="22" s="1"/>
  <c r="M19" i="20"/>
  <c r="M19" i="22" s="1"/>
  <c r="M25" i="20"/>
  <c r="M25" i="22" s="1"/>
  <c r="M20" i="20"/>
  <c r="M20" i="22" s="1"/>
  <c r="M18" i="22"/>
  <c r="M28" i="20"/>
  <c r="L28" i="21" s="1"/>
  <c r="M13" i="20"/>
  <c r="M13" i="22" s="1"/>
  <c r="M5" i="20"/>
  <c r="M17" i="20"/>
  <c r="M17" i="22" s="1"/>
  <c r="M9" i="20"/>
  <c r="L9" i="21" s="1"/>
  <c r="M22" i="20"/>
  <c r="M22" i="22" s="1"/>
  <c r="M6" i="20"/>
  <c r="L6" i="21" s="1"/>
  <c r="M8" i="20"/>
  <c r="L8" i="21" s="1"/>
  <c r="M21" i="20"/>
  <c r="M21" i="22" s="1"/>
  <c r="M12" i="20"/>
  <c r="M12" i="22" s="1"/>
  <c r="M27" i="20"/>
  <c r="M27" i="22" s="1"/>
  <c r="M26" i="20"/>
  <c r="M26" i="22" s="1"/>
  <c r="E29" i="19"/>
  <c r="E29" i="20" s="1"/>
  <c r="D30" i="19"/>
  <c r="H98" i="15"/>
  <c r="K98" i="15"/>
  <c r="H95" i="15"/>
  <c r="K95" i="15"/>
  <c r="U32" i="21"/>
  <c r="U7" i="21"/>
  <c r="V7" i="22"/>
  <c r="V44" i="22"/>
  <c r="U6" i="21"/>
  <c r="V6" i="22"/>
  <c r="D33" i="28"/>
  <c r="B28" i="20"/>
  <c r="B28" i="22" s="1"/>
  <c r="D34" i="28"/>
  <c r="B29" i="20"/>
  <c r="B29" i="22" s="1"/>
  <c r="D35" i="28"/>
  <c r="B30" i="20"/>
  <c r="B30" i="22" s="1"/>
  <c r="D36" i="28"/>
  <c r="B31" i="20"/>
  <c r="B31" i="22" s="1"/>
  <c r="V19" i="22"/>
  <c r="U53" i="21"/>
  <c r="K36" i="15"/>
  <c r="U42" i="21"/>
  <c r="V36" i="22"/>
  <c r="K19" i="15"/>
  <c r="Q20" i="21"/>
  <c r="U23" i="21"/>
  <c r="K84" i="15"/>
  <c r="K76" i="15"/>
  <c r="K79" i="15"/>
  <c r="K92" i="15"/>
  <c r="K87" i="15"/>
  <c r="K56" i="15"/>
  <c r="K89" i="15"/>
  <c r="V56" i="22"/>
  <c r="K55" i="15"/>
  <c r="H55" i="15"/>
  <c r="K66" i="15"/>
  <c r="H66" i="15"/>
  <c r="K71" i="15"/>
  <c r="H71" i="15"/>
  <c r="K60" i="15"/>
  <c r="H60" i="15"/>
  <c r="V37" i="22"/>
  <c r="K48" i="15"/>
  <c r="H48" i="15"/>
  <c r="K81" i="15"/>
  <c r="K38" i="15"/>
  <c r="U12" i="21"/>
  <c r="U8" i="21"/>
  <c r="V26" i="22"/>
  <c r="K11" i="12"/>
  <c r="H11" i="12"/>
  <c r="K17" i="12"/>
  <c r="H17" i="12"/>
  <c r="R7" i="21"/>
  <c r="S7" i="22"/>
  <c r="U27" i="21"/>
  <c r="V16" i="22"/>
  <c r="V70" i="22"/>
  <c r="U29" i="21"/>
  <c r="U67" i="21"/>
  <c r="V18" i="22"/>
  <c r="R9" i="22"/>
  <c r="G17" i="21"/>
  <c r="V25" i="22"/>
  <c r="R23" i="22"/>
  <c r="U7" i="22"/>
  <c r="Q19" i="21"/>
  <c r="Q22" i="21"/>
  <c r="Q8" i="21"/>
  <c r="U41" i="21"/>
  <c r="E30" i="19"/>
  <c r="B8" i="21"/>
  <c r="B6" i="21"/>
  <c r="L11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M14" i="22"/>
  <c r="H84" i="22"/>
  <c r="H101" i="22"/>
  <c r="Q7" i="22"/>
  <c r="M16" i="22"/>
  <c r="B26" i="21"/>
  <c r="R12" i="22"/>
  <c r="Q25" i="21"/>
  <c r="U64" i="21"/>
  <c r="G48" i="19"/>
  <c r="L21" i="21"/>
  <c r="Q95" i="21"/>
  <c r="V52" i="22"/>
  <c r="U62" i="21"/>
  <c r="B73" i="21"/>
  <c r="B59" i="21"/>
  <c r="B44" i="21"/>
  <c r="E69" i="19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58" i="19"/>
  <c r="E76" i="19"/>
  <c r="B22" i="21"/>
  <c r="C11" i="22"/>
  <c r="E78" i="19"/>
  <c r="C95" i="22"/>
  <c r="B9" i="21"/>
  <c r="B64" i="21"/>
  <c r="B35" i="21"/>
  <c r="E51" i="19"/>
  <c r="E81" i="19"/>
  <c r="B71" i="21"/>
  <c r="E86" i="19"/>
  <c r="E79" i="19"/>
  <c r="B33" i="21"/>
  <c r="D36" i="19"/>
  <c r="B24" i="21"/>
  <c r="C66" i="22"/>
  <c r="E64" i="19"/>
  <c r="C13" i="22"/>
  <c r="C76" i="22"/>
  <c r="B62" i="21"/>
  <c r="B54" i="21"/>
  <c r="D48" i="19"/>
  <c r="B98" i="21"/>
  <c r="C50" i="22"/>
  <c r="B30" i="21"/>
  <c r="C52" i="22"/>
  <c r="B27" i="21"/>
  <c r="C49" i="22"/>
  <c r="B85" i="21"/>
  <c r="C16" i="22"/>
  <c r="B84" i="21"/>
  <c r="C42" i="22"/>
  <c r="C37" i="22"/>
  <c r="D42" i="19"/>
  <c r="B81" i="21"/>
  <c r="F96" i="19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D73" i="19"/>
  <c r="D46" i="19"/>
  <c r="D45" i="19"/>
  <c r="D32" i="19"/>
  <c r="D38" i="19"/>
  <c r="D44" i="19"/>
  <c r="D40" i="19"/>
  <c r="D49" i="19"/>
  <c r="D41" i="19"/>
  <c r="D34" i="19"/>
  <c r="E68" i="19"/>
  <c r="E96" i="19"/>
  <c r="E90" i="19"/>
  <c r="E101" i="19"/>
  <c r="D37" i="19"/>
  <c r="D47" i="19"/>
  <c r="D35" i="19"/>
  <c r="D33" i="3"/>
  <c r="V38" i="22"/>
  <c r="R38" i="22"/>
  <c r="D74" i="19"/>
  <c r="D72" i="19"/>
  <c r="Q47" i="21"/>
  <c r="R18" i="22"/>
  <c r="G100" i="21"/>
  <c r="G30" i="21"/>
  <c r="D63" i="19"/>
  <c r="D93" i="19"/>
  <c r="Q86" i="21"/>
  <c r="U22" i="21"/>
  <c r="U54" i="21"/>
  <c r="D50" i="19"/>
  <c r="D30" i="20"/>
  <c r="D35" i="3"/>
  <c r="H79" i="22"/>
  <c r="E100" i="19"/>
  <c r="E75" i="19"/>
  <c r="E94" i="19"/>
  <c r="E72" i="19"/>
  <c r="E99" i="19"/>
  <c r="E91" i="19"/>
  <c r="E89" i="19"/>
  <c r="E66" i="19"/>
  <c r="E98" i="19"/>
  <c r="E65" i="19"/>
  <c r="E71" i="19"/>
  <c r="E93" i="19"/>
  <c r="E61" i="19"/>
  <c r="E84" i="19"/>
  <c r="E52" i="19"/>
  <c r="E54" i="19"/>
  <c r="E73" i="19"/>
  <c r="E80" i="19"/>
  <c r="E83" i="19"/>
  <c r="E59" i="19"/>
  <c r="E57" i="19"/>
  <c r="E74" i="19"/>
  <c r="E95" i="19"/>
  <c r="E63" i="19"/>
  <c r="E85" i="19"/>
  <c r="E53" i="19"/>
  <c r="G3" i="28"/>
  <c r="G2" i="28"/>
  <c r="E92" i="19"/>
  <c r="E60" i="19"/>
  <c r="E70" i="19"/>
  <c r="E56" i="19"/>
  <c r="E88" i="19"/>
  <c r="E67" i="19"/>
  <c r="E62" i="19"/>
  <c r="E50" i="19"/>
  <c r="E82" i="19"/>
  <c r="E97" i="19"/>
  <c r="E87" i="19"/>
  <c r="E55" i="19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D51" i="19"/>
  <c r="D55" i="19"/>
  <c r="D97" i="19"/>
  <c r="D83" i="19"/>
  <c r="D66" i="19"/>
  <c r="D64" i="19"/>
  <c r="D85" i="19"/>
  <c r="Q17" i="21"/>
  <c r="R17" i="22"/>
  <c r="V15" i="22"/>
  <c r="U15" i="21"/>
  <c r="Q59" i="21"/>
  <c r="D58" i="19"/>
  <c r="D100" i="19"/>
  <c r="D71" i="19"/>
  <c r="D76" i="19"/>
  <c r="D54" i="19"/>
  <c r="D61" i="19"/>
  <c r="D33" i="19"/>
  <c r="V21" i="22"/>
  <c r="U21" i="21"/>
  <c r="R26" i="22"/>
  <c r="Q26" i="21"/>
  <c r="Q70" i="21"/>
  <c r="U34" i="21"/>
  <c r="D57" i="19"/>
  <c r="D68" i="19"/>
  <c r="D94" i="19"/>
  <c r="D60" i="19"/>
  <c r="D96" i="19"/>
  <c r="D70" i="19"/>
  <c r="D53" i="19"/>
  <c r="V13" i="22"/>
  <c r="U13" i="21"/>
  <c r="D89" i="19"/>
  <c r="D90" i="19"/>
  <c r="D91" i="19"/>
  <c r="D59" i="19"/>
  <c r="D81" i="19"/>
  <c r="D84" i="19"/>
  <c r="D78" i="19"/>
  <c r="D79" i="19"/>
  <c r="D82" i="19"/>
  <c r="D88" i="19"/>
  <c r="D56" i="19"/>
  <c r="D86" i="19"/>
  <c r="D77" i="19"/>
  <c r="D87" i="19"/>
  <c r="D67" i="19"/>
  <c r="D62" i="19"/>
  <c r="D75" i="19"/>
  <c r="D65" i="19"/>
  <c r="D52" i="19"/>
  <c r="D92" i="19"/>
  <c r="D95" i="19"/>
  <c r="D98" i="19"/>
  <c r="D80" i="19"/>
  <c r="D99" i="19"/>
  <c r="D101" i="19"/>
  <c r="E47" i="20"/>
  <c r="D52" i="4"/>
  <c r="E38" i="19"/>
  <c r="D33" i="4"/>
  <c r="E40" i="19"/>
  <c r="E33" i="19"/>
  <c r="E34" i="19"/>
  <c r="E39" i="19"/>
  <c r="E46" i="19"/>
  <c r="E36" i="19"/>
  <c r="E48" i="19"/>
  <c r="E42" i="19"/>
  <c r="E31" i="19"/>
  <c r="D43" i="19"/>
  <c r="E43" i="19"/>
  <c r="E45" i="19"/>
  <c r="E49" i="19"/>
  <c r="E44" i="19"/>
  <c r="D31" i="20"/>
  <c r="D36" i="3"/>
  <c r="D34" i="4"/>
  <c r="E35" i="19"/>
  <c r="E32" i="19"/>
  <c r="E41" i="19"/>
  <c r="E37" i="19"/>
  <c r="D39" i="19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5" i="20"/>
  <c r="O11" i="20"/>
  <c r="O6" i="20"/>
  <c r="O28" i="20"/>
  <c r="O21" i="20"/>
  <c r="O10" i="20"/>
  <c r="O13" i="20"/>
  <c r="O7" i="20"/>
  <c r="O20" i="20"/>
  <c r="O24" i="20"/>
  <c r="O25" i="20"/>
  <c r="O27" i="20"/>
  <c r="O15" i="20"/>
  <c r="O23" i="20"/>
  <c r="O17" i="20"/>
  <c r="O18" i="20"/>
  <c r="O9" i="20"/>
  <c r="O16" i="20"/>
  <c r="I7" i="20"/>
  <c r="I17" i="20"/>
  <c r="I9" i="20"/>
  <c r="I19" i="20"/>
  <c r="I13" i="20"/>
  <c r="I24" i="20"/>
  <c r="I5" i="20"/>
  <c r="I15" i="20"/>
  <c r="I28" i="20"/>
  <c r="I6" i="20"/>
  <c r="I20" i="20"/>
  <c r="I26" i="20"/>
  <c r="I21" i="20"/>
  <c r="I8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5" i="20"/>
  <c r="J12" i="20"/>
  <c r="J20" i="20"/>
  <c r="J26" i="20"/>
  <c r="J10" i="20"/>
  <c r="J7" i="20"/>
  <c r="J16" i="20"/>
  <c r="J22" i="20"/>
  <c r="J28" i="20"/>
  <c r="J19" i="20"/>
  <c r="J17" i="20"/>
  <c r="J24" i="20"/>
  <c r="K6" i="20"/>
  <c r="K14" i="20"/>
  <c r="K9" i="20"/>
  <c r="K10" i="20"/>
  <c r="K18" i="20"/>
  <c r="K5" i="20"/>
  <c r="K13" i="20"/>
  <c r="K17" i="20"/>
  <c r="K20" i="20"/>
  <c r="K26" i="20"/>
  <c r="K27" i="20"/>
  <c r="K25" i="20"/>
  <c r="K21" i="20"/>
  <c r="K8" i="20"/>
  <c r="K15" i="20"/>
  <c r="K11" i="20"/>
  <c r="K7" i="20"/>
  <c r="K19" i="20"/>
  <c r="K16" i="20"/>
  <c r="K24" i="20"/>
  <c r="K22" i="20"/>
  <c r="K28" i="20"/>
  <c r="K23" i="20"/>
  <c r="L5" i="20"/>
  <c r="L26" i="20"/>
  <c r="L21" i="20"/>
  <c r="L7" i="20"/>
  <c r="L8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2" i="20"/>
  <c r="N16" i="20"/>
  <c r="N20" i="20"/>
  <c r="N5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7" i="20"/>
  <c r="N23" i="20"/>
  <c r="N28" i="20"/>
  <c r="N11" i="20"/>
  <c r="N24" i="20"/>
  <c r="T33" i="21"/>
  <c r="S33" i="21"/>
  <c r="K12" i="15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K35" i="15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K73" i="15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K29" i="15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5" i="20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K70" i="15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K90" i="15"/>
  <c r="P85" i="21"/>
  <c r="K74" i="15"/>
  <c r="Q69" i="21"/>
  <c r="S39" i="22"/>
  <c r="R39" i="21"/>
  <c r="K44" i="15"/>
  <c r="P98" i="21"/>
  <c r="Q98" i="22"/>
  <c r="P65" i="21"/>
  <c r="Q65" i="22"/>
  <c r="U65" i="22"/>
  <c r="T65" i="21"/>
  <c r="Q24" i="21"/>
  <c r="R24" i="22"/>
  <c r="Q94" i="21"/>
  <c r="K82" i="15"/>
  <c r="S77" i="21"/>
  <c r="K62" i="15"/>
  <c r="Q57" i="22"/>
  <c r="P57" i="21"/>
  <c r="R73" i="21"/>
  <c r="S50" i="22"/>
  <c r="R50" i="21"/>
  <c r="S69" i="21"/>
  <c r="T69" i="21"/>
  <c r="R39" i="22"/>
  <c r="Q39" i="21"/>
  <c r="K86" i="15"/>
  <c r="R65" i="21"/>
  <c r="S65" i="22"/>
  <c r="V65" i="22"/>
  <c r="U65" i="21"/>
  <c r="Q24" i="22"/>
  <c r="P24" i="21"/>
  <c r="T77" i="21"/>
  <c r="R77" i="21"/>
  <c r="U57" i="22"/>
  <c r="T57" i="21"/>
  <c r="V57" i="22"/>
  <c r="U57" i="21"/>
  <c r="K94" i="15"/>
  <c r="S73" i="21"/>
  <c r="K78" i="15"/>
  <c r="R50" i="22"/>
  <c r="Q50" i="21"/>
  <c r="Q85" i="21"/>
  <c r="R85" i="21"/>
  <c r="R69" i="21"/>
  <c r="S39" i="21"/>
  <c r="T39" i="22"/>
  <c r="P39" i="21"/>
  <c r="Q39" i="22"/>
  <c r="L15" i="21" l="1"/>
  <c r="L7" i="21"/>
  <c r="M24" i="22"/>
  <c r="L13" i="21"/>
  <c r="L19" i="21"/>
  <c r="M28" i="22"/>
  <c r="L23" i="21"/>
  <c r="L10" i="21"/>
  <c r="D29" i="19"/>
  <c r="D29" i="20" s="1"/>
  <c r="C29" i="21" s="1"/>
  <c r="D34" i="3"/>
  <c r="M9" i="22"/>
  <c r="L20" i="21"/>
  <c r="M6" i="22"/>
  <c r="L22" i="21"/>
  <c r="L25" i="21"/>
  <c r="L27" i="21"/>
  <c r="L17" i="21"/>
  <c r="L12" i="21"/>
  <c r="M8" i="22"/>
  <c r="L26" i="21"/>
  <c r="F53" i="19"/>
  <c r="F53" i="20" s="1"/>
  <c r="G28" i="19"/>
  <c r="G28" i="20" s="1"/>
  <c r="G53" i="19"/>
  <c r="G53" i="20" s="1"/>
  <c r="F53" i="21" s="1"/>
  <c r="F101" i="19"/>
  <c r="F101" i="20" s="1"/>
  <c r="E101" i="21" s="1"/>
  <c r="D80" i="20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B34" i="19"/>
  <c r="B32" i="19"/>
  <c r="B33" i="19"/>
  <c r="F29" i="19"/>
  <c r="G29" i="19"/>
  <c r="G46" i="19"/>
  <c r="G32" i="19"/>
  <c r="G43" i="19"/>
  <c r="G49" i="19"/>
  <c r="G40" i="19"/>
  <c r="D53" i="6"/>
  <c r="G45" i="19"/>
  <c r="G42" i="19"/>
  <c r="G37" i="19"/>
  <c r="G44" i="19"/>
  <c r="G36" i="19"/>
  <c r="G39" i="19"/>
  <c r="G33" i="19"/>
  <c r="G31" i="19"/>
  <c r="G41" i="19"/>
  <c r="G38" i="19"/>
  <c r="G47" i="19"/>
  <c r="G34" i="19"/>
  <c r="G35" i="19"/>
  <c r="D91" i="4"/>
  <c r="D83" i="4"/>
  <c r="D68" i="4"/>
  <c r="D66" i="3"/>
  <c r="F52" i="19"/>
  <c r="F66" i="19"/>
  <c r="D101" i="5"/>
  <c r="D56" i="4"/>
  <c r="F47" i="19"/>
  <c r="F81" i="19"/>
  <c r="F84" i="19"/>
  <c r="F83" i="19"/>
  <c r="D86" i="4"/>
  <c r="G61" i="19"/>
  <c r="F44" i="19"/>
  <c r="F34" i="19"/>
  <c r="D46" i="3"/>
  <c r="F82" i="19"/>
  <c r="F69" i="19"/>
  <c r="D95" i="3"/>
  <c r="D66" i="4"/>
  <c r="D41" i="3"/>
  <c r="F36" i="19"/>
  <c r="F72" i="19"/>
  <c r="F56" i="19"/>
  <c r="F31" i="19"/>
  <c r="F79" i="19"/>
  <c r="F99" i="19"/>
  <c r="F94" i="19"/>
  <c r="D95" i="4"/>
  <c r="D64" i="4"/>
  <c r="D58" i="5"/>
  <c r="F58" i="5" s="1"/>
  <c r="D76" i="3"/>
  <c r="E72" i="20"/>
  <c r="E72" i="22" s="1"/>
  <c r="F33" i="19"/>
  <c r="D53" i="3"/>
  <c r="F45" i="19"/>
  <c r="D52" i="3"/>
  <c r="F39" i="19"/>
  <c r="F51" i="19"/>
  <c r="F68" i="19"/>
  <c r="F80" i="19"/>
  <c r="F71" i="19"/>
  <c r="F59" i="19"/>
  <c r="G91" i="19"/>
  <c r="D59" i="4"/>
  <c r="F43" i="19"/>
  <c r="D49" i="3"/>
  <c r="F78" i="19"/>
  <c r="F55" i="19"/>
  <c r="F62" i="19"/>
  <c r="F63" i="19"/>
  <c r="F73" i="19"/>
  <c r="F92" i="19"/>
  <c r="D106" i="3"/>
  <c r="D51" i="3"/>
  <c r="D45" i="20"/>
  <c r="C45" i="21" s="1"/>
  <c r="D58" i="3"/>
  <c r="G85" i="19"/>
  <c r="G90" i="19"/>
  <c r="F37" i="19"/>
  <c r="F49" i="19"/>
  <c r="F30" i="19"/>
  <c r="F40" i="19"/>
  <c r="F41" i="19"/>
  <c r="F76" i="19"/>
  <c r="F91" i="19"/>
  <c r="F89" i="19"/>
  <c r="F54" i="19"/>
  <c r="F87" i="19"/>
  <c r="F93" i="19"/>
  <c r="F88" i="19"/>
  <c r="F86" i="19"/>
  <c r="F58" i="19"/>
  <c r="F61" i="19"/>
  <c r="F64" i="19"/>
  <c r="F90" i="19"/>
  <c r="F77" i="19"/>
  <c r="D65" i="4"/>
  <c r="G88" i="19"/>
  <c r="F35" i="19"/>
  <c r="F46" i="19"/>
  <c r="F48" i="19"/>
  <c r="F38" i="19"/>
  <c r="F32" i="19"/>
  <c r="D39" i="3"/>
  <c r="F50" i="19"/>
  <c r="F67" i="19"/>
  <c r="F75" i="19"/>
  <c r="F85" i="19"/>
  <c r="F74" i="19"/>
  <c r="F98" i="19"/>
  <c r="F95" i="19"/>
  <c r="F100" i="19"/>
  <c r="F57" i="19"/>
  <c r="F70" i="19"/>
  <c r="F60" i="19"/>
  <c r="F97" i="19"/>
  <c r="F65" i="19"/>
  <c r="D43" i="3"/>
  <c r="D106" i="5"/>
  <c r="D98" i="3"/>
  <c r="D106" i="4"/>
  <c r="G73" i="19"/>
  <c r="G86" i="19"/>
  <c r="D55" i="20"/>
  <c r="D55" i="22" s="1"/>
  <c r="D92" i="3"/>
  <c r="G82" i="19"/>
  <c r="G92" i="19"/>
  <c r="G81" i="19"/>
  <c r="D37" i="3"/>
  <c r="D77" i="3"/>
  <c r="D93" i="3"/>
  <c r="D73" i="4"/>
  <c r="D89" i="4"/>
  <c r="D55" i="3"/>
  <c r="D84" i="3"/>
  <c r="D93" i="4"/>
  <c r="G94" i="19"/>
  <c r="G64" i="19"/>
  <c r="G74" i="19"/>
  <c r="D78" i="4"/>
  <c r="D69" i="3"/>
  <c r="D105" i="4"/>
  <c r="D100" i="3"/>
  <c r="G101" i="19"/>
  <c r="G71" i="19"/>
  <c r="G83" i="19"/>
  <c r="G89" i="19"/>
  <c r="G98" i="19"/>
  <c r="G96" i="19"/>
  <c r="G93" i="19"/>
  <c r="G59" i="19"/>
  <c r="G72" i="19"/>
  <c r="G63" i="19"/>
  <c r="G77" i="19"/>
  <c r="G95" i="19"/>
  <c r="G58" i="19"/>
  <c r="G80" i="19"/>
  <c r="G60" i="19"/>
  <c r="D62" i="4"/>
  <c r="D104" i="4"/>
  <c r="D80" i="3"/>
  <c r="D87" i="4"/>
  <c r="D97" i="4"/>
  <c r="D99" i="3"/>
  <c r="G62" i="19"/>
  <c r="G51" i="19"/>
  <c r="G76" i="19"/>
  <c r="G50" i="19"/>
  <c r="G79" i="19"/>
  <c r="G68" i="19"/>
  <c r="G70" i="19"/>
  <c r="G84" i="19"/>
  <c r="G65" i="19"/>
  <c r="G99" i="19"/>
  <c r="G87" i="19"/>
  <c r="G69" i="19"/>
  <c r="G78" i="19"/>
  <c r="G56" i="19"/>
  <c r="G57" i="19"/>
  <c r="G66" i="19"/>
  <c r="G75" i="19"/>
  <c r="G52" i="19"/>
  <c r="G55" i="19"/>
  <c r="G54" i="19"/>
  <c r="G97" i="19"/>
  <c r="G67" i="19"/>
  <c r="G100" i="19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B47" i="19"/>
  <c r="B43" i="19"/>
  <c r="B39" i="19"/>
  <c r="B35" i="19"/>
  <c r="B44" i="19"/>
  <c r="B46" i="19"/>
  <c r="B42" i="19"/>
  <c r="B38" i="19"/>
  <c r="B40" i="19"/>
  <c r="B45" i="19"/>
  <c r="B41" i="19"/>
  <c r="B37" i="19"/>
  <c r="B36" i="19"/>
  <c r="B99" i="19"/>
  <c r="B95" i="19"/>
  <c r="B91" i="19"/>
  <c r="B87" i="19"/>
  <c r="B83" i="19"/>
  <c r="B79" i="19"/>
  <c r="B75" i="19"/>
  <c r="B71" i="19"/>
  <c r="B67" i="19"/>
  <c r="B63" i="19"/>
  <c r="B59" i="19"/>
  <c r="B55" i="19"/>
  <c r="B51" i="19"/>
  <c r="B92" i="19"/>
  <c r="B80" i="19"/>
  <c r="B68" i="19"/>
  <c r="B56" i="19"/>
  <c r="B98" i="19"/>
  <c r="B94" i="19"/>
  <c r="B90" i="19"/>
  <c r="B86" i="19"/>
  <c r="B82" i="19"/>
  <c r="B78" i="19"/>
  <c r="B74" i="19"/>
  <c r="B70" i="19"/>
  <c r="B66" i="19"/>
  <c r="B62" i="19"/>
  <c r="B58" i="19"/>
  <c r="B54" i="19"/>
  <c r="B50" i="19"/>
  <c r="B100" i="19"/>
  <c r="B88" i="19"/>
  <c r="B76" i="19"/>
  <c r="B64" i="19"/>
  <c r="B52" i="19"/>
  <c r="B101" i="19"/>
  <c r="B97" i="19"/>
  <c r="B93" i="19"/>
  <c r="B89" i="19"/>
  <c r="B85" i="19"/>
  <c r="B81" i="19"/>
  <c r="B77" i="19"/>
  <c r="B73" i="19"/>
  <c r="B69" i="19"/>
  <c r="B65" i="19"/>
  <c r="B61" i="19"/>
  <c r="B57" i="19"/>
  <c r="B53" i="19"/>
  <c r="B49" i="19"/>
  <c r="B96" i="19"/>
  <c r="B84" i="19"/>
  <c r="B72" i="19"/>
  <c r="B60" i="19"/>
  <c r="B48" i="19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23" i="22"/>
  <c r="J23" i="21"/>
  <c r="K28" i="22"/>
  <c r="J28" i="21"/>
  <c r="J19" i="21"/>
  <c r="K19" i="22"/>
  <c r="K8" i="22"/>
  <c r="J8" i="21"/>
  <c r="K27" i="22"/>
  <c r="J27" i="21"/>
  <c r="K17" i="22"/>
  <c r="J17" i="21"/>
  <c r="J22" i="21"/>
  <c r="K22" i="22"/>
  <c r="K7" i="22"/>
  <c r="J7" i="21"/>
  <c r="J12" i="21"/>
  <c r="K12" i="22"/>
  <c r="K26" i="22"/>
  <c r="J26" i="21"/>
  <c r="K13" i="22"/>
  <c r="J13" i="21"/>
  <c r="K24" i="22"/>
  <c r="J24" i="21"/>
  <c r="K11" i="22"/>
  <c r="J11" i="21"/>
  <c r="K21" i="22"/>
  <c r="J21" i="21"/>
  <c r="K20" i="22"/>
  <c r="J20" i="21"/>
  <c r="K10" i="22"/>
  <c r="J10" i="21"/>
  <c r="K9" i="22"/>
  <c r="J9" i="21"/>
  <c r="K14" i="22"/>
  <c r="J14" i="21"/>
  <c r="J16" i="21"/>
  <c r="K16" i="22"/>
  <c r="K15" i="22"/>
  <c r="J15" i="21"/>
  <c r="J25" i="21"/>
  <c r="K25" i="22"/>
  <c r="K18" i="22"/>
  <c r="J18" i="21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D29" i="22" l="1"/>
  <c r="D58" i="6"/>
  <c r="D33" i="6"/>
  <c r="F28" i="19"/>
  <c r="F28" i="20" s="1"/>
  <c r="D33" i="5"/>
  <c r="F33" i="5" s="1"/>
  <c r="D47" i="5"/>
  <c r="F47" i="5" s="1"/>
  <c r="F42" i="19"/>
  <c r="F42" i="20" s="1"/>
  <c r="F42" i="22" s="1"/>
  <c r="D95" i="22"/>
  <c r="G30" i="19"/>
  <c r="G30" i="20" s="1"/>
  <c r="D41" i="22"/>
  <c r="C61" i="21"/>
  <c r="D59" i="21"/>
  <c r="D77" i="28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I46" i="28" s="1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G81" i="20"/>
  <c r="G81" i="22" s="1"/>
  <c r="D74" i="5"/>
  <c r="F74" i="5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F68" i="20"/>
  <c r="F68" i="22" s="1"/>
  <c r="D36" i="5"/>
  <c r="F36" i="5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F83" i="20"/>
  <c r="F83" i="22" s="1"/>
  <c r="D57" i="5"/>
  <c r="F57" i="5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F45" i="20"/>
  <c r="E45" i="21" s="1"/>
  <c r="D99" i="5"/>
  <c r="F94" i="20"/>
  <c r="F94" i="22" s="1"/>
  <c r="D61" i="5"/>
  <c r="F61" i="5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F70" i="20"/>
  <c r="E70" i="21" s="1"/>
  <c r="F98" i="20"/>
  <c r="F67" i="20"/>
  <c r="D40" i="5"/>
  <c r="F40" i="5" s="1"/>
  <c r="F35" i="20"/>
  <c r="E35" i="21" s="1"/>
  <c r="D91" i="5"/>
  <c r="F91" i="5" s="1"/>
  <c r="F86" i="20"/>
  <c r="F86" i="22" s="1"/>
  <c r="F54" i="20"/>
  <c r="D46" i="5"/>
  <c r="F46" i="5" s="1"/>
  <c r="F41" i="20"/>
  <c r="F41" i="22" s="1"/>
  <c r="D54" i="5"/>
  <c r="F54" i="5" s="1"/>
  <c r="F49" i="20"/>
  <c r="F49" i="22" s="1"/>
  <c r="F62" i="20"/>
  <c r="F43" i="20"/>
  <c r="F71" i="20"/>
  <c r="D104" i="5"/>
  <c r="F99" i="20"/>
  <c r="E99" i="21" s="1"/>
  <c r="F72" i="20"/>
  <c r="D86" i="5"/>
  <c r="F86" i="5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F80" i="20"/>
  <c r="F80" i="22" s="1"/>
  <c r="D44" i="5"/>
  <c r="F44" i="5" s="1"/>
  <c r="F39" i="20"/>
  <c r="E39" i="21" s="1"/>
  <c r="D38" i="5"/>
  <c r="F38" i="5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E58" i="22"/>
  <c r="D37" i="5"/>
  <c r="F37" i="5" s="1"/>
  <c r="D100" i="5"/>
  <c r="D52" i="5"/>
  <c r="F52" i="5" s="1"/>
  <c r="D41" i="5"/>
  <c r="F41" i="5" s="1"/>
  <c r="D69" i="21"/>
  <c r="D84" i="5"/>
  <c r="F84" i="5" s="1"/>
  <c r="D92" i="5"/>
  <c r="D81" i="5"/>
  <c r="F81" i="5" s="1"/>
  <c r="E96" i="22"/>
  <c r="D73" i="22"/>
  <c r="D71" i="5"/>
  <c r="F71" i="5" s="1"/>
  <c r="D97" i="5"/>
  <c r="D49" i="22"/>
  <c r="D45" i="22"/>
  <c r="D64" i="21"/>
  <c r="D35" i="22"/>
  <c r="D42" i="22"/>
  <c r="D72" i="21"/>
  <c r="D68" i="5"/>
  <c r="F68" i="5" s="1"/>
  <c r="C37" i="21"/>
  <c r="D94" i="6"/>
  <c r="D89" i="5"/>
  <c r="F89" i="5" s="1"/>
  <c r="D80" i="5"/>
  <c r="F80" i="5" s="1"/>
  <c r="D63" i="5"/>
  <c r="F63" i="5" s="1"/>
  <c r="D83" i="5"/>
  <c r="F83" i="5" s="1"/>
  <c r="D93" i="21"/>
  <c r="D96" i="6"/>
  <c r="D77" i="5"/>
  <c r="F77" i="5" s="1"/>
  <c r="D56" i="5"/>
  <c r="F56" i="5" s="1"/>
  <c r="D87" i="5"/>
  <c r="D65" i="6"/>
  <c r="C39" i="21"/>
  <c r="D66" i="6"/>
  <c r="D67" i="5"/>
  <c r="F67" i="5" s="1"/>
  <c r="D64" i="5"/>
  <c r="F64" i="5" s="1"/>
  <c r="D40" i="22"/>
  <c r="D48" i="5"/>
  <c r="F48" i="5" s="1"/>
  <c r="D87" i="6"/>
  <c r="D76" i="5"/>
  <c r="F76" i="5" s="1"/>
  <c r="D60" i="5"/>
  <c r="F60" i="5" s="1"/>
  <c r="D97" i="22"/>
  <c r="D95" i="21"/>
  <c r="D59" i="5"/>
  <c r="F59" i="5" s="1"/>
  <c r="D78" i="5"/>
  <c r="F78" i="5" s="1"/>
  <c r="D103" i="5"/>
  <c r="D72" i="5"/>
  <c r="F72" i="5" s="1"/>
  <c r="D69" i="6"/>
  <c r="E31" i="22"/>
  <c r="D95" i="6"/>
  <c r="D63" i="6"/>
  <c r="C55" i="21"/>
  <c r="D94" i="5"/>
  <c r="D55" i="5"/>
  <c r="F55" i="5" s="1"/>
  <c r="D79" i="5"/>
  <c r="F79" i="5" s="1"/>
  <c r="D35" i="5"/>
  <c r="F35" i="5" s="1"/>
  <c r="D53" i="5"/>
  <c r="F53" i="5" s="1"/>
  <c r="D45" i="5"/>
  <c r="F45" i="5" s="1"/>
  <c r="D43" i="5"/>
  <c r="F43" i="5" s="1"/>
  <c r="D42" i="5"/>
  <c r="F42" i="5" s="1"/>
  <c r="D71" i="6"/>
  <c r="D93" i="5"/>
  <c r="D96" i="5"/>
  <c r="D66" i="5"/>
  <c r="F66" i="5" s="1"/>
  <c r="D105" i="5"/>
  <c r="F60" i="20"/>
  <c r="D65" i="5"/>
  <c r="F65" i="5" s="1"/>
  <c r="F77" i="20"/>
  <c r="D82" i="5"/>
  <c r="F82" i="5" s="1"/>
  <c r="D69" i="5"/>
  <c r="F69" i="5" s="1"/>
  <c r="F64" i="20"/>
  <c r="D98" i="6"/>
  <c r="D98" i="5"/>
  <c r="D90" i="5"/>
  <c r="F90" i="5" s="1"/>
  <c r="D70" i="5"/>
  <c r="F70" i="5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AD21" i="1"/>
  <c r="AD20" i="1"/>
  <c r="Q20" i="1" s="1"/>
  <c r="AD19" i="1"/>
  <c r="AD22" i="1"/>
  <c r="AD18" i="1"/>
  <c r="F28" i="22" l="1"/>
  <c r="E28" i="21"/>
  <c r="G30" i="22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V23" i="1"/>
  <c r="AA19" i="1" s="1"/>
  <c r="AA22" i="1" l="1"/>
  <c r="V22" i="1" s="1"/>
  <c r="AA21" i="1"/>
  <c r="V21" i="1" s="1"/>
  <c r="AA23" i="1"/>
  <c r="AA25" i="1"/>
  <c r="AA26" i="1"/>
  <c r="AA24" i="1"/>
  <c r="I3" i="13" s="1"/>
  <c r="AA20" i="1"/>
  <c r="AA18" i="1"/>
  <c r="V19" i="1"/>
  <c r="V25" i="1" l="1"/>
  <c r="V24" i="1"/>
  <c r="V20" i="1"/>
  <c r="W23" i="1" l="1"/>
  <c r="E35" i="12" l="1"/>
  <c r="E34" i="12"/>
  <c r="AB18" i="1"/>
  <c r="AB24" i="1"/>
  <c r="I4" i="13" s="1"/>
  <c r="AB23" i="1"/>
  <c r="AB26" i="1"/>
  <c r="AB25" i="1"/>
  <c r="AB21" i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AB22" i="1"/>
  <c r="AB20" i="1"/>
  <c r="AB19" i="1"/>
  <c r="M36" i="19" l="1"/>
  <c r="E41" i="9"/>
  <c r="E41" i="13"/>
  <c r="E41" i="8"/>
  <c r="E41" i="14"/>
  <c r="E41" i="11"/>
  <c r="E41" i="10"/>
  <c r="K36" i="19" s="1"/>
  <c r="M44" i="19"/>
  <c r="M44" i="20" s="1"/>
  <c r="E49" i="14"/>
  <c r="E49" i="13"/>
  <c r="E49" i="8"/>
  <c r="E49" i="9"/>
  <c r="E49" i="11"/>
  <c r="E49" i="10"/>
  <c r="K44" i="19" s="1"/>
  <c r="M45" i="19"/>
  <c r="M45" i="20" s="1"/>
  <c r="E50" i="14"/>
  <c r="E50" i="13"/>
  <c r="E50" i="8"/>
  <c r="E50" i="9"/>
  <c r="E50" i="11"/>
  <c r="E50" i="10"/>
  <c r="M34" i="19"/>
  <c r="M34" i="20" s="1"/>
  <c r="E39" i="14"/>
  <c r="E39" i="13"/>
  <c r="E39" i="8"/>
  <c r="E39" i="9"/>
  <c r="E39" i="10"/>
  <c r="K34" i="19" s="1"/>
  <c r="E39" i="11"/>
  <c r="M33" i="19"/>
  <c r="M33" i="20" s="1"/>
  <c r="E38" i="8"/>
  <c r="E38" i="14"/>
  <c r="E38" i="9"/>
  <c r="E38" i="13"/>
  <c r="E38" i="11"/>
  <c r="E38" i="10"/>
  <c r="K33" i="19" s="1"/>
  <c r="M32" i="19"/>
  <c r="M32" i="20" s="1"/>
  <c r="E37" i="14"/>
  <c r="E37" i="9"/>
  <c r="E37" i="13"/>
  <c r="E37" i="11"/>
  <c r="E37" i="8"/>
  <c r="E37" i="10"/>
  <c r="K32" i="19" s="1"/>
  <c r="M37" i="19"/>
  <c r="M37" i="20" s="1"/>
  <c r="E42" i="9"/>
  <c r="E42" i="13"/>
  <c r="E42" i="8"/>
  <c r="E42" i="14"/>
  <c r="E42" i="11"/>
  <c r="E42" i="10"/>
  <c r="K37" i="19" s="1"/>
  <c r="M41" i="19"/>
  <c r="M41" i="20" s="1"/>
  <c r="E46" i="13"/>
  <c r="E46" i="14"/>
  <c r="E46" i="8"/>
  <c r="E46" i="10"/>
  <c r="K41" i="19" s="1"/>
  <c r="E46" i="9"/>
  <c r="E46" i="11"/>
  <c r="M42" i="19"/>
  <c r="M42" i="20" s="1"/>
  <c r="M42" i="22" s="1"/>
  <c r="E47" i="13"/>
  <c r="E47" i="8"/>
  <c r="E47" i="10"/>
  <c r="K42" i="19" s="1"/>
  <c r="E47" i="9"/>
  <c r="E47" i="14"/>
  <c r="E47" i="11"/>
  <c r="M31" i="19"/>
  <c r="M31" i="20" s="1"/>
  <c r="E36" i="14"/>
  <c r="E36" i="9"/>
  <c r="E36" i="13"/>
  <c r="E36" i="8"/>
  <c r="E36" i="10"/>
  <c r="K31" i="19" s="1"/>
  <c r="E36" i="11"/>
  <c r="M38" i="19"/>
  <c r="M38" i="20" s="1"/>
  <c r="L38" i="21" s="1"/>
  <c r="E43" i="14"/>
  <c r="E43" i="13"/>
  <c r="E43" i="10"/>
  <c r="K38" i="19" s="1"/>
  <c r="E43" i="8"/>
  <c r="E43" i="9"/>
  <c r="E43" i="11"/>
  <c r="M46" i="19"/>
  <c r="M46" i="20" s="1"/>
  <c r="M46" i="22" s="1"/>
  <c r="E51" i="14"/>
  <c r="E51" i="8"/>
  <c r="E51" i="9"/>
  <c r="E51" i="13"/>
  <c r="E51" i="11"/>
  <c r="E51" i="10"/>
  <c r="K46" i="19" s="1"/>
  <c r="M47" i="19"/>
  <c r="M47" i="20" s="1"/>
  <c r="E52" i="14"/>
  <c r="E52" i="8"/>
  <c r="E52" i="9"/>
  <c r="E52" i="13"/>
  <c r="E52" i="11"/>
  <c r="E52" i="10"/>
  <c r="K47" i="19" s="1"/>
  <c r="M43" i="19"/>
  <c r="M43" i="20" s="1"/>
  <c r="E48" i="13"/>
  <c r="E48" i="8"/>
  <c r="E48" i="10"/>
  <c r="K43" i="19" s="1"/>
  <c r="E48" i="9"/>
  <c r="E48" i="14"/>
  <c r="E48" i="11"/>
  <c r="M39" i="19"/>
  <c r="M39" i="20" s="1"/>
  <c r="E44" i="13"/>
  <c r="E44" i="14"/>
  <c r="E44" i="9"/>
  <c r="E44" i="11"/>
  <c r="E44" i="10"/>
  <c r="K39" i="19" s="1"/>
  <c r="E44" i="8"/>
  <c r="M40" i="19"/>
  <c r="M40" i="20" s="1"/>
  <c r="E45" i="14"/>
  <c r="E45" i="13"/>
  <c r="E45" i="8"/>
  <c r="E45" i="11"/>
  <c r="E45" i="10"/>
  <c r="K40" i="19" s="1"/>
  <c r="E45" i="9"/>
  <c r="M35" i="19"/>
  <c r="M35" i="20" s="1"/>
  <c r="E40" i="14"/>
  <c r="E40" i="13"/>
  <c r="E40" i="9"/>
  <c r="E40" i="8"/>
  <c r="E40" i="11"/>
  <c r="E40" i="10"/>
  <c r="K35" i="19" s="1"/>
  <c r="E34" i="13"/>
  <c r="E34" i="9"/>
  <c r="E34" i="14"/>
  <c r="E34" i="8"/>
  <c r="E34" i="10"/>
  <c r="E34" i="11"/>
  <c r="M48" i="19"/>
  <c r="M48" i="20" s="1"/>
  <c r="E53" i="8"/>
  <c r="E53" i="9"/>
  <c r="E53" i="13"/>
  <c r="E53" i="14"/>
  <c r="E53" i="10"/>
  <c r="K48" i="19" s="1"/>
  <c r="E53" i="11"/>
  <c r="M30" i="19"/>
  <c r="M30" i="20" s="1"/>
  <c r="M30" i="22" s="1"/>
  <c r="E35" i="13"/>
  <c r="E35" i="14"/>
  <c r="E35" i="9"/>
  <c r="E35" i="8"/>
  <c r="E35" i="11"/>
  <c r="E35" i="10"/>
  <c r="K30" i="19" s="1"/>
  <c r="K30" i="20" s="1"/>
  <c r="D35" i="12"/>
  <c r="K35" i="12" s="1"/>
  <c r="M29" i="19"/>
  <c r="M29" i="20" s="1"/>
  <c r="D34" i="12"/>
  <c r="D43" i="12"/>
  <c r="D39" i="12"/>
  <c r="D46" i="12"/>
  <c r="W21" i="1"/>
  <c r="K45" i="19"/>
  <c r="W22" i="1"/>
  <c r="W24" i="1"/>
  <c r="G3" i="13"/>
  <c r="G2" i="13"/>
  <c r="W25" i="1"/>
  <c r="D47" i="12"/>
  <c r="D51" i="12"/>
  <c r="D50" i="12"/>
  <c r="D38" i="12"/>
  <c r="D42" i="12"/>
  <c r="D52" i="12"/>
  <c r="M36" i="20"/>
  <c r="D41" i="12"/>
  <c r="D53" i="12"/>
  <c r="D44" i="12"/>
  <c r="D49" i="12"/>
  <c r="W20" i="1"/>
  <c r="D36" i="12"/>
  <c r="D48" i="12"/>
  <c r="D37" i="12"/>
  <c r="W19" i="1"/>
  <c r="D40" i="12"/>
  <c r="D45" i="12"/>
  <c r="D35" i="10" l="1"/>
  <c r="F35" i="10" s="1"/>
  <c r="H35" i="12"/>
  <c r="L30" i="21"/>
  <c r="O29" i="19"/>
  <c r="O29" i="20" s="1"/>
  <c r="D34" i="14"/>
  <c r="F34" i="14" s="1"/>
  <c r="D35" i="13"/>
  <c r="F35" i="13" s="1"/>
  <c r="O38" i="19"/>
  <c r="O38" i="20" s="1"/>
  <c r="L30" i="19"/>
  <c r="L30" i="20" s="1"/>
  <c r="K34" i="12"/>
  <c r="H34" i="12"/>
  <c r="M29" i="22"/>
  <c r="L29" i="21"/>
  <c r="J33" i="19"/>
  <c r="J33" i="20" s="1"/>
  <c r="K29" i="19"/>
  <c r="K29" i="20" s="1"/>
  <c r="D34" i="10"/>
  <c r="F34" i="10" s="1"/>
  <c r="L42" i="21"/>
  <c r="L46" i="21"/>
  <c r="K38" i="12"/>
  <c r="H38" i="12"/>
  <c r="K39" i="12"/>
  <c r="H39" i="12"/>
  <c r="K36" i="12"/>
  <c r="H36" i="12"/>
  <c r="K43" i="12"/>
  <c r="H43" i="12"/>
  <c r="K48" i="12"/>
  <c r="H48" i="12"/>
  <c r="K49" i="12"/>
  <c r="H49" i="12"/>
  <c r="K41" i="12"/>
  <c r="H41" i="12"/>
  <c r="K42" i="12"/>
  <c r="H42" i="12"/>
  <c r="K50" i="12"/>
  <c r="H50" i="12"/>
  <c r="K45" i="12"/>
  <c r="H45" i="12"/>
  <c r="K44" i="12"/>
  <c r="H44" i="12"/>
  <c r="K52" i="12"/>
  <c r="H52" i="12"/>
  <c r="K47" i="12"/>
  <c r="H47" i="12"/>
  <c r="K53" i="12"/>
  <c r="H53" i="12"/>
  <c r="K40" i="12"/>
  <c r="H40" i="12"/>
  <c r="K37" i="12"/>
  <c r="H37" i="12"/>
  <c r="K51" i="12"/>
  <c r="H51" i="12"/>
  <c r="K46" i="12"/>
  <c r="H46" i="12"/>
  <c r="O31" i="19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33" i="20"/>
  <c r="K46" i="20"/>
  <c r="K34" i="20"/>
  <c r="D53" i="10"/>
  <c r="F53" i="10" s="1"/>
  <c r="K48" i="20"/>
  <c r="K48" i="22" s="1"/>
  <c r="K42" i="20"/>
  <c r="K45" i="20"/>
  <c r="K37" i="20"/>
  <c r="D52" i="10"/>
  <c r="F52" i="10" s="1"/>
  <c r="K47" i="20"/>
  <c r="J47" i="21" s="1"/>
  <c r="K44" i="20"/>
  <c r="K43" i="20"/>
  <c r="D41" i="10"/>
  <c r="F41" i="10" s="1"/>
  <c r="K36" i="20"/>
  <c r="J36" i="21" s="1"/>
  <c r="D37" i="10"/>
  <c r="F37" i="10" s="1"/>
  <c r="K32" i="20"/>
  <c r="K32" i="22" s="1"/>
  <c r="K39" i="20"/>
  <c r="N36" i="19"/>
  <c r="N31" i="19"/>
  <c r="L31" i="19"/>
  <c r="J30" i="21"/>
  <c r="K30" i="22"/>
  <c r="O35" i="19"/>
  <c r="O34" i="19"/>
  <c r="N40" i="19"/>
  <c r="N42" i="19"/>
  <c r="N37" i="19"/>
  <c r="N45" i="19"/>
  <c r="N33" i="19"/>
  <c r="N43" i="19"/>
  <c r="L45" i="19"/>
  <c r="L47" i="19"/>
  <c r="L32" i="19"/>
  <c r="D44" i="10"/>
  <c r="F44" i="10" s="1"/>
  <c r="D43" i="10"/>
  <c r="F43" i="10" s="1"/>
  <c r="D45" i="10"/>
  <c r="F45" i="10" s="1"/>
  <c r="D48" i="10"/>
  <c r="F48" i="10" s="1"/>
  <c r="D36" i="10"/>
  <c r="F36" i="10" s="1"/>
  <c r="I37" i="19"/>
  <c r="I29" i="19"/>
  <c r="D49" i="10"/>
  <c r="F49" i="10" s="1"/>
  <c r="D50" i="10"/>
  <c r="F50" i="10" s="1"/>
  <c r="D42" i="10"/>
  <c r="F42" i="10" s="1"/>
  <c r="L41" i="19"/>
  <c r="L36" i="19"/>
  <c r="L43" i="19"/>
  <c r="D47" i="10"/>
  <c r="F47" i="10" s="1"/>
  <c r="L35" i="19"/>
  <c r="L46" i="19"/>
  <c r="L42" i="19"/>
  <c r="D38" i="10"/>
  <c r="F38" i="10" s="1"/>
  <c r="L33" i="19"/>
  <c r="L44" i="19"/>
  <c r="L34" i="19"/>
  <c r="D39" i="10"/>
  <c r="F39" i="10" s="1"/>
  <c r="O47" i="19"/>
  <c r="O46" i="19"/>
  <c r="O44" i="19"/>
  <c r="O41" i="19"/>
  <c r="O33" i="19"/>
  <c r="N48" i="19"/>
  <c r="N34" i="19"/>
  <c r="L40" i="19"/>
  <c r="O40" i="19"/>
  <c r="O43" i="19"/>
  <c r="N35" i="19"/>
  <c r="N38" i="19"/>
  <c r="L39" i="19"/>
  <c r="D43" i="14"/>
  <c r="F43" i="14" s="1"/>
  <c r="D51" i="10"/>
  <c r="F51" i="10" s="1"/>
  <c r="O36" i="19"/>
  <c r="O42" i="19"/>
  <c r="O45" i="19"/>
  <c r="N44" i="19"/>
  <c r="N47" i="19"/>
  <c r="L38" i="19"/>
  <c r="O37" i="19"/>
  <c r="O39" i="19"/>
  <c r="O32" i="19"/>
  <c r="O48" i="19"/>
  <c r="N39" i="19"/>
  <c r="N41" i="19"/>
  <c r="N32" i="19"/>
  <c r="N46" i="19"/>
  <c r="L48" i="19"/>
  <c r="L37" i="19"/>
  <c r="D46" i="10"/>
  <c r="F46" i="10" s="1"/>
  <c r="J47" i="19"/>
  <c r="M38" i="22"/>
  <c r="J44" i="19"/>
  <c r="I38" i="19"/>
  <c r="J42" i="19"/>
  <c r="I34" i="19"/>
  <c r="I30" i="19"/>
  <c r="I36" i="19"/>
  <c r="I33" i="19"/>
  <c r="J31" i="19"/>
  <c r="J35" i="19"/>
  <c r="J45" i="19"/>
  <c r="I46" i="19"/>
  <c r="I35" i="19"/>
  <c r="J30" i="19"/>
  <c r="I39" i="19"/>
  <c r="I48" i="19"/>
  <c r="I45" i="19"/>
  <c r="J39" i="19"/>
  <c r="J43" i="19"/>
  <c r="J32" i="19"/>
  <c r="M37" i="22"/>
  <c r="L37" i="21"/>
  <c r="I47" i="19"/>
  <c r="I43" i="19"/>
  <c r="I32" i="19"/>
  <c r="J34" i="19"/>
  <c r="J38" i="19"/>
  <c r="J48" i="19"/>
  <c r="J41" i="19"/>
  <c r="M31" i="22"/>
  <c r="L31" i="21"/>
  <c r="M48" i="22"/>
  <c r="L48" i="21"/>
  <c r="M44" i="22"/>
  <c r="L44" i="21"/>
  <c r="M47" i="22"/>
  <c r="L47" i="21"/>
  <c r="I42" i="19"/>
  <c r="I31" i="19"/>
  <c r="I44" i="19"/>
  <c r="I41" i="19"/>
  <c r="L32" i="21"/>
  <c r="M32" i="22"/>
  <c r="J40" i="19"/>
  <c r="J37" i="19"/>
  <c r="L35" i="21"/>
  <c r="M35" i="22"/>
  <c r="L40" i="21"/>
  <c r="M40" i="22"/>
  <c r="I40" i="19"/>
  <c r="L43" i="21"/>
  <c r="M43" i="22"/>
  <c r="J46" i="19"/>
  <c r="J36" i="19"/>
  <c r="M39" i="22"/>
  <c r="L39" i="21"/>
  <c r="M36" i="22"/>
  <c r="L36" i="21"/>
  <c r="N30" i="19" l="1"/>
  <c r="N30" i="20" s="1"/>
  <c r="N30" i="22" s="1"/>
  <c r="O29" i="22"/>
  <c r="N29" i="21"/>
  <c r="D35" i="11"/>
  <c r="F35" i="11" s="1"/>
  <c r="N29" i="19"/>
  <c r="N29" i="20" s="1"/>
  <c r="D34" i="13"/>
  <c r="F34" i="13" s="1"/>
  <c r="O30" i="19"/>
  <c r="O30" i="20" s="1"/>
  <c r="D35" i="14"/>
  <c r="F35" i="14" s="1"/>
  <c r="D38" i="9"/>
  <c r="F38" i="9" s="1"/>
  <c r="J29" i="19"/>
  <c r="J29" i="20" s="1"/>
  <c r="D34" i="9"/>
  <c r="F34" i="9" s="1"/>
  <c r="J29" i="21"/>
  <c r="K29" i="22"/>
  <c r="L29" i="19"/>
  <c r="L29" i="20" s="1"/>
  <c r="D34" i="11"/>
  <c r="F34" i="11" s="1"/>
  <c r="O31" i="20"/>
  <c r="D36" i="14"/>
  <c r="F36" i="14" s="1"/>
  <c r="N34" i="20"/>
  <c r="N43" i="20"/>
  <c r="O43" i="20"/>
  <c r="D53" i="13"/>
  <c r="F53" i="13" s="1"/>
  <c r="N48" i="20"/>
  <c r="N48" i="22" s="1"/>
  <c r="D51" i="14"/>
  <c r="F51" i="14" s="1"/>
  <c r="O46" i="20"/>
  <c r="N46" i="21" s="1"/>
  <c r="N33" i="20"/>
  <c r="N40" i="20"/>
  <c r="D41" i="13"/>
  <c r="F41" i="13" s="1"/>
  <c r="N36" i="20"/>
  <c r="M36" i="21" s="1"/>
  <c r="D49" i="14"/>
  <c r="F49" i="14" s="1"/>
  <c r="O44" i="20"/>
  <c r="O44" i="22" s="1"/>
  <c r="N42" i="20"/>
  <c r="D45" i="14"/>
  <c r="F45" i="14" s="1"/>
  <c r="O40" i="20"/>
  <c r="O40" i="22" s="1"/>
  <c r="D38" i="14"/>
  <c r="F38" i="14" s="1"/>
  <c r="O33" i="20"/>
  <c r="N33" i="21" s="1"/>
  <c r="O47" i="20"/>
  <c r="O47" i="22" s="1"/>
  <c r="N45" i="20"/>
  <c r="D39" i="14"/>
  <c r="F39" i="14" s="1"/>
  <c r="O34" i="20"/>
  <c r="N34" i="21" s="1"/>
  <c r="D40" i="13"/>
  <c r="F40" i="13" s="1"/>
  <c r="N35" i="20"/>
  <c r="N35" i="22" s="1"/>
  <c r="N38" i="20"/>
  <c r="D46" i="14"/>
  <c r="F46" i="14" s="1"/>
  <c r="O41" i="20"/>
  <c r="O41" i="22" s="1"/>
  <c r="N37" i="20"/>
  <c r="D40" i="14"/>
  <c r="F40" i="14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K41" i="22"/>
  <c r="J41" i="21"/>
  <c r="J42" i="21"/>
  <c r="K42" i="22"/>
  <c r="K34" i="22"/>
  <c r="J34" i="21"/>
  <c r="K31" i="22"/>
  <c r="J31" i="21"/>
  <c r="D39" i="9"/>
  <c r="F39" i="9" s="1"/>
  <c r="J34" i="20"/>
  <c r="J34" i="22" s="1"/>
  <c r="D44" i="9"/>
  <c r="F44" i="9" s="1"/>
  <c r="D35" i="9"/>
  <c r="F35" i="9" s="1"/>
  <c r="J30" i="20"/>
  <c r="I30" i="21" s="1"/>
  <c r="J45" i="20"/>
  <c r="D41" i="8"/>
  <c r="F41" i="8" s="1"/>
  <c r="I36" i="20"/>
  <c r="H36" i="21" s="1"/>
  <c r="I38" i="20"/>
  <c r="L34" i="20"/>
  <c r="L42" i="20"/>
  <c r="L41" i="20"/>
  <c r="L47" i="20"/>
  <c r="J41" i="20"/>
  <c r="D37" i="8"/>
  <c r="F37" i="8" s="1"/>
  <c r="I32" i="20"/>
  <c r="I32" i="22" s="1"/>
  <c r="I45" i="20"/>
  <c r="D40" i="9"/>
  <c r="F40" i="9" s="1"/>
  <c r="D35" i="8"/>
  <c r="F35" i="8" s="1"/>
  <c r="I30" i="20"/>
  <c r="I30" i="22" s="1"/>
  <c r="J44" i="20"/>
  <c r="L44" i="20"/>
  <c r="L46" i="20"/>
  <c r="D42" i="8"/>
  <c r="F42" i="8" s="1"/>
  <c r="I37" i="20"/>
  <c r="H37" i="21" s="1"/>
  <c r="L45" i="20"/>
  <c r="D53" i="9"/>
  <c r="F53" i="9" s="1"/>
  <c r="J48" i="20"/>
  <c r="J48" i="22" s="1"/>
  <c r="I43" i="20"/>
  <c r="J32" i="20"/>
  <c r="I48" i="20"/>
  <c r="D40" i="8"/>
  <c r="F40" i="8" s="1"/>
  <c r="I35" i="20"/>
  <c r="H35" i="21" s="1"/>
  <c r="J31" i="20"/>
  <c r="D39" i="8"/>
  <c r="F39" i="8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I46" i="20"/>
  <c r="H46" i="21" s="1"/>
  <c r="D38" i="8"/>
  <c r="F38" i="8" s="1"/>
  <c r="I33" i="20"/>
  <c r="H33" i="21" s="1"/>
  <c r="D47" i="9"/>
  <c r="F47" i="9" s="1"/>
  <c r="J42" i="20"/>
  <c r="J42" i="22" s="1"/>
  <c r="D52" i="9"/>
  <c r="F52" i="9" s="1"/>
  <c r="J47" i="20"/>
  <c r="I47" i="21" s="1"/>
  <c r="L40" i="20"/>
  <c r="L36" i="20"/>
  <c r="L32" i="20"/>
  <c r="L30" i="22"/>
  <c r="K30" i="21"/>
  <c r="N31" i="20"/>
  <c r="D36" i="13"/>
  <c r="F36" i="13" s="1"/>
  <c r="L31" i="20"/>
  <c r="D36" i="11"/>
  <c r="F36" i="11" s="1"/>
  <c r="D50" i="13"/>
  <c r="F50" i="13" s="1"/>
  <c r="D42" i="13"/>
  <c r="F42" i="13" s="1"/>
  <c r="D52" i="14"/>
  <c r="F52" i="14" s="1"/>
  <c r="D47" i="13"/>
  <c r="F47" i="13" s="1"/>
  <c r="D43" i="13"/>
  <c r="F43" i="13" s="1"/>
  <c r="D48" i="13"/>
  <c r="F48" i="13" s="1"/>
  <c r="D45" i="13"/>
  <c r="F45" i="13" s="1"/>
  <c r="D37" i="11"/>
  <c r="F37" i="11" s="1"/>
  <c r="D48" i="14"/>
  <c r="F48" i="14" s="1"/>
  <c r="D38" i="13"/>
  <c r="F38" i="13" s="1"/>
  <c r="K36" i="22"/>
  <c r="D52" i="11"/>
  <c r="F52" i="11" s="1"/>
  <c r="D50" i="11"/>
  <c r="F50" i="11" s="1"/>
  <c r="K47" i="22"/>
  <c r="J32" i="21"/>
  <c r="D46" i="11"/>
  <c r="F46" i="11" s="1"/>
  <c r="D43" i="8"/>
  <c r="F43" i="8" s="1"/>
  <c r="J35" i="21"/>
  <c r="D47" i="11"/>
  <c r="F47" i="11" s="1"/>
  <c r="D39" i="11"/>
  <c r="F39" i="11" s="1"/>
  <c r="D49" i="11"/>
  <c r="F49" i="11" s="1"/>
  <c r="D51" i="11"/>
  <c r="F51" i="11" s="1"/>
  <c r="J48" i="21"/>
  <c r="D48" i="11"/>
  <c r="F48" i="11" s="1"/>
  <c r="D40" i="11"/>
  <c r="F40" i="11" s="1"/>
  <c r="D41" i="11"/>
  <c r="F41" i="11" s="1"/>
  <c r="I29" i="20"/>
  <c r="D34" i="8"/>
  <c r="F34" i="8" s="1"/>
  <c r="D38" i="11"/>
  <c r="F38" i="11" s="1"/>
  <c r="D45" i="11"/>
  <c r="F45" i="11" s="1"/>
  <c r="D44" i="11"/>
  <c r="F44" i="11" s="1"/>
  <c r="D39" i="13"/>
  <c r="F39" i="13" s="1"/>
  <c r="L48" i="20"/>
  <c r="D53" i="11"/>
  <c r="F53" i="11" s="1"/>
  <c r="O37" i="20"/>
  <c r="D42" i="14"/>
  <c r="F42" i="14" s="1"/>
  <c r="O45" i="20"/>
  <c r="D50" i="14"/>
  <c r="F50" i="14" s="1"/>
  <c r="N38" i="21"/>
  <c r="O38" i="22"/>
  <c r="D51" i="13"/>
  <c r="F51" i="13" s="1"/>
  <c r="N46" i="20"/>
  <c r="O48" i="20"/>
  <c r="D53" i="14"/>
  <c r="F53" i="14" s="1"/>
  <c r="D47" i="14"/>
  <c r="F47" i="14" s="1"/>
  <c r="O42" i="20"/>
  <c r="N32" i="20"/>
  <c r="D37" i="13"/>
  <c r="F37" i="13" s="1"/>
  <c r="O32" i="20"/>
  <c r="D37" i="14"/>
  <c r="F37" i="14" s="1"/>
  <c r="N47" i="20"/>
  <c r="D52" i="13"/>
  <c r="F52" i="13" s="1"/>
  <c r="O36" i="20"/>
  <c r="D41" i="14"/>
  <c r="F41" i="14" s="1"/>
  <c r="D44" i="13"/>
  <c r="F44" i="13" s="1"/>
  <c r="N39" i="20"/>
  <c r="L37" i="20"/>
  <c r="D42" i="11"/>
  <c r="F42" i="11" s="1"/>
  <c r="N41" i="20"/>
  <c r="D46" i="13"/>
  <c r="F46" i="13" s="1"/>
  <c r="O39" i="20"/>
  <c r="D44" i="14"/>
  <c r="F44" i="14" s="1"/>
  <c r="L38" i="20"/>
  <c r="D43" i="11"/>
  <c r="F43" i="11" s="1"/>
  <c r="D49" i="13"/>
  <c r="F49" i="13" s="1"/>
  <c r="N44" i="20"/>
  <c r="D49" i="9"/>
  <c r="F49" i="9" s="1"/>
  <c r="D50" i="8"/>
  <c r="F50" i="8" s="1"/>
  <c r="J39" i="20"/>
  <c r="I39" i="21" s="1"/>
  <c r="D46" i="9"/>
  <c r="F46" i="9" s="1"/>
  <c r="J35" i="20"/>
  <c r="J35" i="22" s="1"/>
  <c r="D50" i="9"/>
  <c r="F50" i="9" s="1"/>
  <c r="D48" i="9"/>
  <c r="F48" i="9" s="1"/>
  <c r="D52" i="8"/>
  <c r="F52" i="8" s="1"/>
  <c r="D48" i="8"/>
  <c r="F48" i="8" s="1"/>
  <c r="D53" i="8"/>
  <c r="F53" i="8" s="1"/>
  <c r="D43" i="9"/>
  <c r="F43" i="9" s="1"/>
  <c r="D44" i="8"/>
  <c r="F44" i="8" s="1"/>
  <c r="D37" i="9"/>
  <c r="F37" i="9" s="1"/>
  <c r="D36" i="9"/>
  <c r="F36" i="9" s="1"/>
  <c r="D41" i="9"/>
  <c r="F41" i="9" s="1"/>
  <c r="J36" i="20"/>
  <c r="D36" i="8"/>
  <c r="F36" i="8" s="1"/>
  <c r="I31" i="20"/>
  <c r="J33" i="22"/>
  <c r="I33" i="21"/>
  <c r="D45" i="8"/>
  <c r="F45" i="8" s="1"/>
  <c r="I40" i="20"/>
  <c r="D45" i="9"/>
  <c r="F45" i="9" s="1"/>
  <c r="J40" i="20"/>
  <c r="D51" i="9"/>
  <c r="F51" i="9" s="1"/>
  <c r="J46" i="20"/>
  <c r="D47" i="8"/>
  <c r="F47" i="8" s="1"/>
  <c r="I42" i="20"/>
  <c r="J37" i="20"/>
  <c r="D42" i="9"/>
  <c r="F42" i="9" s="1"/>
  <c r="D46" i="8"/>
  <c r="F46" i="8" s="1"/>
  <c r="I41" i="20"/>
  <c r="D49" i="8"/>
  <c r="F49" i="8" s="1"/>
  <c r="I44" i="20"/>
  <c r="M30" i="21" l="1"/>
  <c r="M29" i="21"/>
  <c r="N29" i="22"/>
  <c r="O30" i="22"/>
  <c r="N30" i="21"/>
  <c r="L29" i="22"/>
  <c r="K29" i="21"/>
  <c r="J29" i="22"/>
  <c r="I2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98" i="19" l="1"/>
  <c r="E103" i="11"/>
  <c r="E103" i="8"/>
  <c r="E103" i="9"/>
  <c r="E103" i="14"/>
  <c r="E103" i="13"/>
  <c r="E103" i="10"/>
  <c r="M78" i="19"/>
  <c r="M78" i="20" s="1"/>
  <c r="E83" i="14"/>
  <c r="E83" i="9"/>
  <c r="E83" i="8"/>
  <c r="E83" i="13"/>
  <c r="E83" i="10"/>
  <c r="E83" i="11"/>
  <c r="M58" i="19"/>
  <c r="M58" i="20" s="1"/>
  <c r="E63" i="8"/>
  <c r="E63" i="14"/>
  <c r="E63" i="13"/>
  <c r="E63" i="9"/>
  <c r="E63" i="11"/>
  <c r="E63" i="10"/>
  <c r="M55" i="19"/>
  <c r="E60" i="14"/>
  <c r="E60" i="9"/>
  <c r="E60" i="13"/>
  <c r="E60" i="8"/>
  <c r="E60" i="11"/>
  <c r="E60" i="10"/>
  <c r="M74" i="19"/>
  <c r="M74" i="20" s="1"/>
  <c r="E79" i="8"/>
  <c r="E79" i="14"/>
  <c r="E79" i="13"/>
  <c r="E79" i="10"/>
  <c r="E79" i="11"/>
  <c r="E79" i="9"/>
  <c r="M93" i="19"/>
  <c r="M93" i="20" s="1"/>
  <c r="E98" i="13"/>
  <c r="E98" i="11"/>
  <c r="E98" i="9"/>
  <c r="E98" i="14"/>
  <c r="E98" i="10"/>
  <c r="E98" i="8"/>
  <c r="M71" i="19"/>
  <c r="M71" i="20" s="1"/>
  <c r="E76" i="13"/>
  <c r="E76" i="14"/>
  <c r="E76" i="9"/>
  <c r="E76" i="8"/>
  <c r="E76" i="11"/>
  <c r="E76" i="10"/>
  <c r="M79" i="19"/>
  <c r="M79" i="20" s="1"/>
  <c r="E84" i="14"/>
  <c r="E84" i="13"/>
  <c r="E84" i="9"/>
  <c r="E84" i="11"/>
  <c r="E84" i="10"/>
  <c r="E84" i="8"/>
  <c r="M72" i="19"/>
  <c r="M72" i="20" s="1"/>
  <c r="E77" i="14"/>
  <c r="E77" i="13"/>
  <c r="E77" i="11"/>
  <c r="E77" i="9"/>
  <c r="E77" i="8"/>
  <c r="E77" i="10"/>
  <c r="M91" i="19"/>
  <c r="M91" i="20" s="1"/>
  <c r="E96" i="14"/>
  <c r="E96" i="13"/>
  <c r="E96" i="8"/>
  <c r="E96" i="11"/>
  <c r="E96" i="9"/>
  <c r="E96" i="10"/>
  <c r="M51" i="19"/>
  <c r="M51" i="20" s="1"/>
  <c r="E56" i="9"/>
  <c r="E56" i="14"/>
  <c r="E56" i="13"/>
  <c r="E56" i="11"/>
  <c r="E56" i="8"/>
  <c r="E56" i="10"/>
  <c r="M90" i="19"/>
  <c r="M90" i="20" s="1"/>
  <c r="E95" i="14"/>
  <c r="E95" i="8"/>
  <c r="E95" i="13"/>
  <c r="E95" i="11"/>
  <c r="E95" i="9"/>
  <c r="E95" i="10"/>
  <c r="M70" i="19"/>
  <c r="M70" i="20" s="1"/>
  <c r="E75" i="13"/>
  <c r="E75" i="14"/>
  <c r="E75" i="8"/>
  <c r="E75" i="9"/>
  <c r="E75" i="10"/>
  <c r="E75" i="11"/>
  <c r="M50" i="19"/>
  <c r="M50" i="20" s="1"/>
  <c r="E55" i="13"/>
  <c r="E55" i="9"/>
  <c r="E55" i="14"/>
  <c r="E55" i="8"/>
  <c r="E55" i="11"/>
  <c r="E55" i="10"/>
  <c r="M99" i="19"/>
  <c r="M99" i="20" s="1"/>
  <c r="E104" i="13"/>
  <c r="E104" i="9"/>
  <c r="E104" i="14"/>
  <c r="E104" i="11"/>
  <c r="E104" i="8"/>
  <c r="E104" i="10"/>
  <c r="M76" i="19"/>
  <c r="M76" i="20" s="1"/>
  <c r="E81" i="8"/>
  <c r="E81" i="13"/>
  <c r="E81" i="9"/>
  <c r="E81" i="14"/>
  <c r="E81" i="11"/>
  <c r="E81" i="10"/>
  <c r="M75" i="19"/>
  <c r="M75" i="20" s="1"/>
  <c r="E80" i="8"/>
  <c r="E80" i="13"/>
  <c r="E80" i="9"/>
  <c r="E80" i="14"/>
  <c r="E80" i="11"/>
  <c r="E80" i="10"/>
  <c r="M52" i="19"/>
  <c r="M52" i="20" s="1"/>
  <c r="E57" i="9"/>
  <c r="E57" i="14"/>
  <c r="E57" i="13"/>
  <c r="E57" i="11"/>
  <c r="E57" i="8"/>
  <c r="E57" i="10"/>
  <c r="M89" i="19"/>
  <c r="M89" i="20" s="1"/>
  <c r="E94" i="9"/>
  <c r="E94" i="13"/>
  <c r="E94" i="8"/>
  <c r="E94" i="11"/>
  <c r="E94" i="14"/>
  <c r="E94" i="10"/>
  <c r="M69" i="19"/>
  <c r="M69" i="20" s="1"/>
  <c r="E74" i="14"/>
  <c r="E74" i="8"/>
  <c r="E74" i="13"/>
  <c r="E74" i="9"/>
  <c r="E74" i="11"/>
  <c r="E74" i="10"/>
  <c r="M49" i="19"/>
  <c r="M49" i="20" s="1"/>
  <c r="E54" i="13"/>
  <c r="E54" i="8"/>
  <c r="E54" i="9"/>
  <c r="E54" i="14"/>
  <c r="E54" i="10"/>
  <c r="E54" i="11"/>
  <c r="M53" i="19"/>
  <c r="M53" i="20" s="1"/>
  <c r="E58" i="9"/>
  <c r="E58" i="14"/>
  <c r="E58" i="8"/>
  <c r="E58" i="13"/>
  <c r="E58" i="10"/>
  <c r="E58" i="11"/>
  <c r="M96" i="19"/>
  <c r="M96" i="20" s="1"/>
  <c r="E101" i="9"/>
  <c r="E101" i="13"/>
  <c r="E101" i="8"/>
  <c r="E101" i="14"/>
  <c r="E101" i="11"/>
  <c r="E101" i="10"/>
  <c r="M95" i="19"/>
  <c r="M95" i="20" s="1"/>
  <c r="E100" i="13"/>
  <c r="E100" i="11"/>
  <c r="E100" i="8"/>
  <c r="E100" i="9"/>
  <c r="E100" i="14"/>
  <c r="E100" i="10"/>
  <c r="M86" i="19"/>
  <c r="M86" i="20" s="1"/>
  <c r="E91" i="14"/>
  <c r="E91" i="9"/>
  <c r="E91" i="13"/>
  <c r="E91" i="8"/>
  <c r="E91" i="11"/>
  <c r="E91" i="10"/>
  <c r="M97" i="19"/>
  <c r="M97" i="20" s="1"/>
  <c r="E102" i="13"/>
  <c r="E102" i="14"/>
  <c r="E102" i="9"/>
  <c r="E102" i="8"/>
  <c r="E102" i="11"/>
  <c r="E102" i="10"/>
  <c r="M56" i="19"/>
  <c r="M56" i="20" s="1"/>
  <c r="E61" i="8"/>
  <c r="E61" i="14"/>
  <c r="E61" i="13"/>
  <c r="E61" i="9"/>
  <c r="E61" i="11"/>
  <c r="E61" i="10"/>
  <c r="M54" i="19"/>
  <c r="M54" i="20" s="1"/>
  <c r="E59" i="9"/>
  <c r="E59" i="11"/>
  <c r="E59" i="14"/>
  <c r="E59" i="13"/>
  <c r="E59" i="8"/>
  <c r="E59" i="10"/>
  <c r="M92" i="19"/>
  <c r="M92" i="20" s="1"/>
  <c r="E97" i="11"/>
  <c r="E97" i="13"/>
  <c r="E97" i="8"/>
  <c r="E97" i="9"/>
  <c r="E97" i="14"/>
  <c r="E97" i="10"/>
  <c r="M68" i="19"/>
  <c r="M68" i="20" s="1"/>
  <c r="E73" i="9"/>
  <c r="E73" i="8"/>
  <c r="E73" i="14"/>
  <c r="E73" i="13"/>
  <c r="E73" i="11"/>
  <c r="E73" i="10"/>
  <c r="M67" i="19"/>
  <c r="M67" i="20" s="1"/>
  <c r="E72" i="9"/>
  <c r="E72" i="11"/>
  <c r="E72" i="14"/>
  <c r="E72" i="13"/>
  <c r="E72" i="8"/>
  <c r="E72" i="10"/>
  <c r="M66" i="19"/>
  <c r="M66" i="20" s="1"/>
  <c r="E71" i="9"/>
  <c r="E71" i="13"/>
  <c r="E71" i="8"/>
  <c r="E71" i="14"/>
  <c r="E71" i="10"/>
  <c r="E71" i="11"/>
  <c r="M85" i="19"/>
  <c r="M85" i="20" s="1"/>
  <c r="E90" i="14"/>
  <c r="E90" i="13"/>
  <c r="E90" i="11"/>
  <c r="E90" i="9"/>
  <c r="E90" i="10"/>
  <c r="E90" i="8"/>
  <c r="M65" i="19"/>
  <c r="M65" i="20" s="1"/>
  <c r="E70" i="13"/>
  <c r="E70" i="14"/>
  <c r="E70" i="8"/>
  <c r="E70" i="9"/>
  <c r="E70" i="10"/>
  <c r="E70" i="11"/>
  <c r="M88" i="19"/>
  <c r="M88" i="20" s="1"/>
  <c r="M88" i="22" s="1"/>
  <c r="E93" i="9"/>
  <c r="E93" i="13"/>
  <c r="E93" i="8"/>
  <c r="E93" i="11"/>
  <c r="E93" i="14"/>
  <c r="E93" i="10"/>
  <c r="M64" i="19"/>
  <c r="M64" i="20" s="1"/>
  <c r="E69" i="13"/>
  <c r="E69" i="14"/>
  <c r="E69" i="8"/>
  <c r="E69" i="9"/>
  <c r="E69" i="11"/>
  <c r="E69" i="10"/>
  <c r="M57" i="19"/>
  <c r="M57" i="20" s="1"/>
  <c r="E62" i="8"/>
  <c r="E62" i="14"/>
  <c r="E62" i="13"/>
  <c r="E62" i="9"/>
  <c r="E62" i="11"/>
  <c r="E62" i="10"/>
  <c r="M87" i="19"/>
  <c r="M87" i="20" s="1"/>
  <c r="E92" i="9"/>
  <c r="E92" i="8"/>
  <c r="E92" i="13"/>
  <c r="E92" i="11"/>
  <c r="E92" i="14"/>
  <c r="E92" i="10"/>
  <c r="M84" i="19"/>
  <c r="M84" i="20" s="1"/>
  <c r="E89" i="11"/>
  <c r="E89" i="9"/>
  <c r="E89" i="14"/>
  <c r="E89" i="10"/>
  <c r="E89" i="8"/>
  <c r="E89" i="13"/>
  <c r="M63" i="19"/>
  <c r="M63" i="20" s="1"/>
  <c r="M63" i="22" s="1"/>
  <c r="E68" i="10"/>
  <c r="E68" i="9"/>
  <c r="E68" i="14"/>
  <c r="E68" i="8"/>
  <c r="E68" i="13"/>
  <c r="E68" i="11"/>
  <c r="M59" i="19"/>
  <c r="M59" i="20" s="1"/>
  <c r="E64" i="13"/>
  <c r="E64" i="14"/>
  <c r="E64" i="9"/>
  <c r="E64" i="11"/>
  <c r="E64" i="8"/>
  <c r="E64" i="10"/>
  <c r="M77" i="19"/>
  <c r="M77" i="20" s="1"/>
  <c r="E82" i="14"/>
  <c r="E82" i="8"/>
  <c r="E82" i="13"/>
  <c r="E82" i="9"/>
  <c r="E82" i="11"/>
  <c r="E82" i="10"/>
  <c r="M94" i="19"/>
  <c r="M94" i="20" s="1"/>
  <c r="E99" i="13"/>
  <c r="E99" i="8"/>
  <c r="E99" i="11"/>
  <c r="E99" i="9"/>
  <c r="E99" i="14"/>
  <c r="E99" i="10"/>
  <c r="M73" i="19"/>
  <c r="M73" i="20" s="1"/>
  <c r="E78" i="8"/>
  <c r="E78" i="14"/>
  <c r="E78" i="13"/>
  <c r="E78" i="10"/>
  <c r="E78" i="9"/>
  <c r="E78" i="11"/>
  <c r="M83" i="19"/>
  <c r="M83" i="20" s="1"/>
  <c r="E88" i="8"/>
  <c r="E88" i="11"/>
  <c r="E88" i="13"/>
  <c r="E88" i="14"/>
  <c r="E88" i="10"/>
  <c r="E88" i="9"/>
  <c r="M82" i="19"/>
  <c r="M82" i="20" s="1"/>
  <c r="E87" i="13"/>
  <c r="E87" i="11"/>
  <c r="E87" i="8"/>
  <c r="E87" i="9"/>
  <c r="E87" i="10"/>
  <c r="E87" i="14"/>
  <c r="M62" i="19"/>
  <c r="M62" i="20" s="1"/>
  <c r="E67" i="9"/>
  <c r="E67" i="10"/>
  <c r="E67" i="13"/>
  <c r="E67" i="14"/>
  <c r="E67" i="8"/>
  <c r="E67" i="11"/>
  <c r="M101" i="19"/>
  <c r="M101" i="20" s="1"/>
  <c r="E106" i="8"/>
  <c r="E106" i="14"/>
  <c r="E106" i="13"/>
  <c r="E106" i="9"/>
  <c r="E106" i="11"/>
  <c r="E106" i="10"/>
  <c r="M81" i="19"/>
  <c r="M81" i="20" s="1"/>
  <c r="E86" i="9"/>
  <c r="E86" i="14"/>
  <c r="E86" i="13"/>
  <c r="E86" i="10"/>
  <c r="E86" i="11"/>
  <c r="D86" i="11" s="1"/>
  <c r="M61" i="19"/>
  <c r="M61" i="20" s="1"/>
  <c r="E66" i="9"/>
  <c r="E66" i="13"/>
  <c r="E66" i="14"/>
  <c r="E66" i="8"/>
  <c r="E66" i="10"/>
  <c r="E66" i="11"/>
  <c r="M100" i="19"/>
  <c r="M100" i="20" s="1"/>
  <c r="E105" i="9"/>
  <c r="E105" i="11"/>
  <c r="E105" i="8"/>
  <c r="E105" i="14"/>
  <c r="E105" i="13"/>
  <c r="E105" i="10"/>
  <c r="M80" i="19"/>
  <c r="M80" i="20" s="1"/>
  <c r="E85" i="9"/>
  <c r="E85" i="13"/>
  <c r="E85" i="14"/>
  <c r="E85" i="10"/>
  <c r="E85" i="8"/>
  <c r="E85" i="11"/>
  <c r="M60" i="19"/>
  <c r="M60" i="20" s="1"/>
  <c r="E65" i="14"/>
  <c r="E65" i="13"/>
  <c r="E65" i="11"/>
  <c r="E65" i="9"/>
  <c r="E65" i="8"/>
  <c r="E65" i="10"/>
  <c r="M55" i="20"/>
  <c r="D98" i="12"/>
  <c r="D68" i="12"/>
  <c r="D93" i="12"/>
  <c r="AC23" i="1"/>
  <c r="AC25" i="1"/>
  <c r="D76" i="12"/>
  <c r="D59" i="12"/>
  <c r="D95" i="12"/>
  <c r="D56" i="12"/>
  <c r="D79" i="12"/>
  <c r="D72" i="12"/>
  <c r="D96" i="12"/>
  <c r="D94" i="12"/>
  <c r="D67" i="12"/>
  <c r="D65" i="12"/>
  <c r="D87" i="12"/>
  <c r="D63" i="12"/>
  <c r="D60" i="12"/>
  <c r="D101" i="12"/>
  <c r="D91" i="12"/>
  <c r="D88" i="12"/>
  <c r="D83" i="12"/>
  <c r="D75" i="12"/>
  <c r="D73" i="12"/>
  <c r="D71" i="12"/>
  <c r="D55" i="12"/>
  <c r="AC21" i="1"/>
  <c r="AC20" i="1"/>
  <c r="AC24" i="1"/>
  <c r="I5" i="13" s="1"/>
  <c r="AC18" i="1"/>
  <c r="AC22" i="1"/>
  <c r="D104" i="12"/>
  <c r="H104" i="12" s="1"/>
  <c r="D66" i="12"/>
  <c r="M98" i="20"/>
  <c r="D103" i="12"/>
  <c r="H103" i="12" s="1"/>
  <c r="D64" i="12"/>
  <c r="AC26" i="1"/>
  <c r="AC19" i="1"/>
  <c r="D106" i="12"/>
  <c r="H106" i="12" s="1"/>
  <c r="D85" i="12"/>
  <c r="D69" i="12"/>
  <c r="D90" i="12"/>
  <c r="D77" i="12"/>
  <c r="D61" i="12"/>
  <c r="D99" i="12"/>
  <c r="D97" i="12"/>
  <c r="D82" i="12"/>
  <c r="D80" i="12"/>
  <c r="D74" i="12"/>
  <c r="D58" i="12"/>
  <c r="D100" i="12"/>
  <c r="D86" i="12"/>
  <c r="D78" i="12"/>
  <c r="D70" i="12"/>
  <c r="D62" i="12"/>
  <c r="D57" i="12"/>
  <c r="D54" i="12"/>
  <c r="D105" i="12"/>
  <c r="H105" i="12" s="1"/>
  <c r="D102" i="12"/>
  <c r="H102" i="12" s="1"/>
  <c r="D92" i="12"/>
  <c r="K92" i="12" s="1"/>
  <c r="D89" i="12"/>
  <c r="D84" i="12"/>
  <c r="D81" i="12"/>
  <c r="D54" i="11" l="1"/>
  <c r="F54" i="11" s="1"/>
  <c r="L49" i="19"/>
  <c r="L49" i="20" s="1"/>
  <c r="K49" i="19"/>
  <c r="K49" i="20" s="1"/>
  <c r="D54" i="10"/>
  <c r="F54" i="10" s="1"/>
  <c r="J49" i="19"/>
  <c r="J49" i="20" s="1"/>
  <c r="D54" i="9"/>
  <c r="F54" i="9" s="1"/>
  <c r="I49" i="19"/>
  <c r="I49" i="20" s="1"/>
  <c r="D54" i="8"/>
  <c r="F54" i="8" s="1"/>
  <c r="H98" i="12"/>
  <c r="H96" i="12"/>
  <c r="H101" i="12"/>
  <c r="H95" i="12"/>
  <c r="H94" i="12"/>
  <c r="H100" i="12"/>
  <c r="H97" i="12"/>
  <c r="H92" i="12"/>
  <c r="K77" i="12"/>
  <c r="H77" i="12"/>
  <c r="K66" i="12"/>
  <c r="H66" i="12"/>
  <c r="K75" i="12"/>
  <c r="H75" i="12"/>
  <c r="K65" i="12"/>
  <c r="H65" i="12"/>
  <c r="K81" i="12"/>
  <c r="H81" i="12"/>
  <c r="K70" i="12"/>
  <c r="H70" i="12"/>
  <c r="K80" i="12"/>
  <c r="H80" i="12"/>
  <c r="K55" i="12"/>
  <c r="H55" i="12"/>
  <c r="K83" i="12"/>
  <c r="H83" i="12"/>
  <c r="K60" i="12"/>
  <c r="H60" i="12"/>
  <c r="K67" i="12"/>
  <c r="H67" i="12"/>
  <c r="K59" i="12"/>
  <c r="H59" i="12"/>
  <c r="K84" i="12"/>
  <c r="H84" i="12"/>
  <c r="K57" i="12"/>
  <c r="H57" i="12"/>
  <c r="K61" i="12"/>
  <c r="H61" i="12"/>
  <c r="K90" i="12"/>
  <c r="H90" i="12"/>
  <c r="K71" i="12"/>
  <c r="H71" i="12"/>
  <c r="K88" i="12"/>
  <c r="H88" i="12"/>
  <c r="K63" i="12"/>
  <c r="H63" i="12"/>
  <c r="K79" i="12"/>
  <c r="H79" i="12"/>
  <c r="K76" i="12"/>
  <c r="H76" i="12"/>
  <c r="K54" i="12"/>
  <c r="H54" i="12"/>
  <c r="K85" i="12"/>
  <c r="H85" i="12"/>
  <c r="K72" i="12"/>
  <c r="H72" i="12"/>
  <c r="K86" i="12"/>
  <c r="H86" i="12"/>
  <c r="K58" i="12"/>
  <c r="H58" i="12"/>
  <c r="K99" i="12"/>
  <c r="H99" i="12"/>
  <c r="K64" i="12"/>
  <c r="H64" i="12"/>
  <c r="K93" i="12"/>
  <c r="H93" i="12"/>
  <c r="K89" i="12"/>
  <c r="H89" i="12"/>
  <c r="K62" i="12"/>
  <c r="H62" i="12"/>
  <c r="K78" i="12"/>
  <c r="H78" i="12"/>
  <c r="K74" i="12"/>
  <c r="H74" i="12"/>
  <c r="K82" i="12"/>
  <c r="H82" i="12"/>
  <c r="K69" i="12"/>
  <c r="H69" i="12"/>
  <c r="K73" i="12"/>
  <c r="H73" i="12"/>
  <c r="K91" i="12"/>
  <c r="H91" i="12"/>
  <c r="K87" i="12"/>
  <c r="H87" i="12"/>
  <c r="K56" i="12"/>
  <c r="H56" i="12"/>
  <c r="K68" i="12"/>
  <c r="H68" i="12"/>
  <c r="M52" i="22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O65" i="19"/>
  <c r="O87" i="19"/>
  <c r="O66" i="19"/>
  <c r="O51" i="19"/>
  <c r="O77" i="19"/>
  <c r="O61" i="19"/>
  <c r="O92" i="19"/>
  <c r="O62" i="19"/>
  <c r="O72" i="19"/>
  <c r="O56" i="19"/>
  <c r="O81" i="19"/>
  <c r="O89" i="19"/>
  <c r="O93" i="19"/>
  <c r="O101" i="19"/>
  <c r="O49" i="19"/>
  <c r="O82" i="19"/>
  <c r="O88" i="19"/>
  <c r="O80" i="19"/>
  <c r="O94" i="19"/>
  <c r="O60" i="19"/>
  <c r="O90" i="19"/>
  <c r="O69" i="19"/>
  <c r="O91" i="19"/>
  <c r="O84" i="19"/>
  <c r="O54" i="19"/>
  <c r="O97" i="19"/>
  <c r="O55" i="19"/>
  <c r="O98" i="19"/>
  <c r="O68" i="19"/>
  <c r="O78" i="19"/>
  <c r="O85" i="19"/>
  <c r="O71" i="19"/>
  <c r="O70" i="19"/>
  <c r="O100" i="19"/>
  <c r="O57" i="19"/>
  <c r="O73" i="19"/>
  <c r="O59" i="19"/>
  <c r="O83" i="19"/>
  <c r="O58" i="19"/>
  <c r="O52" i="19"/>
  <c r="O99" i="19"/>
  <c r="O64" i="19"/>
  <c r="O95" i="19"/>
  <c r="O63" i="19"/>
  <c r="O53" i="19"/>
  <c r="O86" i="19"/>
  <c r="O67" i="19"/>
  <c r="O76" i="19"/>
  <c r="O96" i="19"/>
  <c r="O74" i="19"/>
  <c r="O75" i="19"/>
  <c r="O50" i="19"/>
  <c r="O79" i="19"/>
  <c r="L88" i="21"/>
  <c r="X21" i="1"/>
  <c r="K51" i="19"/>
  <c r="K67" i="19"/>
  <c r="K83" i="19"/>
  <c r="K99" i="19"/>
  <c r="K64" i="19"/>
  <c r="K80" i="19"/>
  <c r="K96" i="19"/>
  <c r="K73" i="19"/>
  <c r="K53" i="19"/>
  <c r="K62" i="19"/>
  <c r="K58" i="19"/>
  <c r="K90" i="19"/>
  <c r="K101" i="19"/>
  <c r="K59" i="19"/>
  <c r="K91" i="19"/>
  <c r="K72" i="19"/>
  <c r="K57" i="19"/>
  <c r="K77" i="19"/>
  <c r="K74" i="19"/>
  <c r="K70" i="19"/>
  <c r="K55" i="19"/>
  <c r="K71" i="19"/>
  <c r="K87" i="19"/>
  <c r="K52" i="19"/>
  <c r="K68" i="19"/>
  <c r="K84" i="19"/>
  <c r="K100" i="19"/>
  <c r="K81" i="19"/>
  <c r="K69" i="19"/>
  <c r="K78" i="19"/>
  <c r="K66" i="19"/>
  <c r="K98" i="19"/>
  <c r="K54" i="19"/>
  <c r="K75" i="19"/>
  <c r="K56" i="19"/>
  <c r="K88" i="19"/>
  <c r="K89" i="19"/>
  <c r="K86" i="19"/>
  <c r="K61" i="19"/>
  <c r="K60" i="19"/>
  <c r="K97" i="19"/>
  <c r="K85" i="19"/>
  <c r="K79" i="19"/>
  <c r="K50" i="19"/>
  <c r="K95" i="19"/>
  <c r="K82" i="19"/>
  <c r="K63" i="19"/>
  <c r="K76" i="19"/>
  <c r="K93" i="19"/>
  <c r="K94" i="19"/>
  <c r="K92" i="19"/>
  <c r="K65" i="19"/>
  <c r="X22" i="1"/>
  <c r="L63" i="19"/>
  <c r="L79" i="19"/>
  <c r="L95" i="19"/>
  <c r="L60" i="19"/>
  <c r="L76" i="19"/>
  <c r="L92" i="19"/>
  <c r="L53" i="19"/>
  <c r="L85" i="19"/>
  <c r="L58" i="19"/>
  <c r="L62" i="19"/>
  <c r="L94" i="19"/>
  <c r="L81" i="19"/>
  <c r="L82" i="19"/>
  <c r="L55" i="19"/>
  <c r="L71" i="19"/>
  <c r="L52" i="19"/>
  <c r="L84" i="19"/>
  <c r="L69" i="19"/>
  <c r="L90" i="19"/>
  <c r="L57" i="19"/>
  <c r="L59" i="19"/>
  <c r="L91" i="19"/>
  <c r="L72" i="19"/>
  <c r="L89" i="19"/>
  <c r="L86" i="19"/>
  <c r="L66" i="19"/>
  <c r="L51" i="19"/>
  <c r="L67" i="19"/>
  <c r="L83" i="19"/>
  <c r="L100" i="19"/>
  <c r="L64" i="19"/>
  <c r="L80" i="19"/>
  <c r="L96" i="19"/>
  <c r="L61" i="19"/>
  <c r="L93" i="19"/>
  <c r="L74" i="19"/>
  <c r="L70" i="19"/>
  <c r="L99" i="19"/>
  <c r="L97" i="19"/>
  <c r="L98" i="19"/>
  <c r="L87" i="19"/>
  <c r="L68" i="19"/>
  <c r="L101" i="19"/>
  <c r="L65" i="19"/>
  <c r="L78" i="19"/>
  <c r="L50" i="19"/>
  <c r="L75" i="19"/>
  <c r="L56" i="19"/>
  <c r="L88" i="19"/>
  <c r="L77" i="19"/>
  <c r="L54" i="19"/>
  <c r="L73" i="19"/>
  <c r="X24" i="1"/>
  <c r="N52" i="19"/>
  <c r="N64" i="19"/>
  <c r="N69" i="19"/>
  <c r="N63" i="19"/>
  <c r="N85" i="19"/>
  <c r="N55" i="19"/>
  <c r="N73" i="19"/>
  <c r="N54" i="19"/>
  <c r="N95" i="19"/>
  <c r="N79" i="19"/>
  <c r="N101" i="19"/>
  <c r="N80" i="19"/>
  <c r="N75" i="19"/>
  <c r="N77" i="19"/>
  <c r="N94" i="19"/>
  <c r="N87" i="19"/>
  <c r="N50" i="19"/>
  <c r="N59" i="19"/>
  <c r="N57" i="19"/>
  <c r="N82" i="19"/>
  <c r="N98" i="19"/>
  <c r="N81" i="19"/>
  <c r="N90" i="19"/>
  <c r="N93" i="19"/>
  <c r="N78" i="19"/>
  <c r="N65" i="19"/>
  <c r="N49" i="19"/>
  <c r="N51" i="19"/>
  <c r="N71" i="19"/>
  <c r="N62" i="19"/>
  <c r="N92" i="19"/>
  <c r="N56" i="19"/>
  <c r="N66" i="19"/>
  <c r="N96" i="19"/>
  <c r="N68" i="19"/>
  <c r="N72" i="19"/>
  <c r="N58" i="19"/>
  <c r="N84" i="19"/>
  <c r="N53" i="19"/>
  <c r="N76" i="19"/>
  <c r="N67" i="19"/>
  <c r="N91" i="19"/>
  <c r="N89" i="19"/>
  <c r="N74" i="19"/>
  <c r="N100" i="19"/>
  <c r="N99" i="19"/>
  <c r="N70" i="19"/>
  <c r="N88" i="19"/>
  <c r="N86" i="19"/>
  <c r="N83" i="19"/>
  <c r="N97" i="19"/>
  <c r="N61" i="19"/>
  <c r="N60" i="19"/>
  <c r="L63" i="21"/>
  <c r="M93" i="22"/>
  <c r="L93" i="21"/>
  <c r="M65" i="22"/>
  <c r="L65" i="21"/>
  <c r="M77" i="22"/>
  <c r="L77" i="21"/>
  <c r="I52" i="19"/>
  <c r="I56" i="19"/>
  <c r="I60" i="19"/>
  <c r="I64" i="19"/>
  <c r="I68" i="19"/>
  <c r="I72" i="19"/>
  <c r="I76" i="19"/>
  <c r="I80" i="19"/>
  <c r="I87" i="19"/>
  <c r="I89" i="19"/>
  <c r="I91" i="19"/>
  <c r="I93" i="19"/>
  <c r="I95" i="19"/>
  <c r="I97" i="19"/>
  <c r="I99" i="19"/>
  <c r="I101" i="19"/>
  <c r="I51" i="19"/>
  <c r="I55" i="19"/>
  <c r="I59" i="19"/>
  <c r="I63" i="19"/>
  <c r="I67" i="19"/>
  <c r="I71" i="19"/>
  <c r="I75" i="19"/>
  <c r="I79" i="19"/>
  <c r="I82" i="19"/>
  <c r="I84" i="19"/>
  <c r="I50" i="19"/>
  <c r="I58" i="19"/>
  <c r="I66" i="19"/>
  <c r="I74" i="19"/>
  <c r="I86" i="19"/>
  <c r="I90" i="19"/>
  <c r="I94" i="19"/>
  <c r="I98" i="19"/>
  <c r="I53" i="19"/>
  <c r="I61" i="19"/>
  <c r="I69" i="19"/>
  <c r="I77" i="19"/>
  <c r="I83" i="19"/>
  <c r="I62" i="19"/>
  <c r="I78" i="19"/>
  <c r="I92" i="19"/>
  <c r="I100" i="19"/>
  <c r="I57" i="19"/>
  <c r="I73" i="19"/>
  <c r="I85" i="19"/>
  <c r="X19" i="1"/>
  <c r="I54" i="19"/>
  <c r="I88" i="19"/>
  <c r="I96" i="19"/>
  <c r="I65" i="19"/>
  <c r="I70" i="19"/>
  <c r="I81" i="19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J53" i="19"/>
  <c r="J57" i="19"/>
  <c r="J61" i="19"/>
  <c r="J65" i="19"/>
  <c r="J69" i="19"/>
  <c r="J73" i="19"/>
  <c r="J77" i="19"/>
  <c r="J81" i="19"/>
  <c r="J84" i="19"/>
  <c r="J52" i="19"/>
  <c r="J56" i="19"/>
  <c r="J60" i="19"/>
  <c r="J64" i="19"/>
  <c r="J68" i="19"/>
  <c r="J72" i="19"/>
  <c r="J76" i="19"/>
  <c r="J80" i="19"/>
  <c r="J86" i="19"/>
  <c r="J88" i="19"/>
  <c r="J90" i="19"/>
  <c r="J92" i="19"/>
  <c r="J94" i="19"/>
  <c r="J96" i="19"/>
  <c r="J98" i="19"/>
  <c r="J100" i="19"/>
  <c r="J55" i="19"/>
  <c r="J63" i="19"/>
  <c r="J71" i="19"/>
  <c r="J79" i="19"/>
  <c r="J50" i="19"/>
  <c r="J58" i="19"/>
  <c r="J66" i="19"/>
  <c r="J74" i="19"/>
  <c r="J82" i="19"/>
  <c r="J85" i="19"/>
  <c r="J89" i="19"/>
  <c r="J93" i="19"/>
  <c r="J97" i="19"/>
  <c r="J101" i="19"/>
  <c r="J59" i="19"/>
  <c r="J75" i="19"/>
  <c r="J54" i="19"/>
  <c r="J70" i="19"/>
  <c r="J87" i="19"/>
  <c r="J95" i="19"/>
  <c r="J51" i="19"/>
  <c r="J83" i="19"/>
  <c r="J67" i="19"/>
  <c r="J62" i="19"/>
  <c r="J99" i="19"/>
  <c r="X20" i="1"/>
  <c r="J91" i="19"/>
  <c r="J78" i="19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I49" i="22" l="1"/>
  <c r="H49" i="21"/>
  <c r="J49" i="22"/>
  <c r="I49" i="21"/>
  <c r="J49" i="21"/>
  <c r="K49" i="22"/>
  <c r="L49" i="22"/>
  <c r="K49" i="21"/>
  <c r="D72" i="14"/>
  <c r="F72" i="14" s="1"/>
  <c r="O67" i="20"/>
  <c r="D63" i="14"/>
  <c r="F63" i="14" s="1"/>
  <c r="O58" i="20"/>
  <c r="O85" i="20"/>
  <c r="D90" i="14"/>
  <c r="O91" i="20"/>
  <c r="D96" i="14"/>
  <c r="D54" i="14"/>
  <c r="F54" i="14" s="1"/>
  <c r="O49" i="20"/>
  <c r="D97" i="14"/>
  <c r="O92" i="20"/>
  <c r="D91" i="14"/>
  <c r="O86" i="20"/>
  <c r="D88" i="14"/>
  <c r="O83" i="20"/>
  <c r="O78" i="20"/>
  <c r="D83" i="14"/>
  <c r="F83" i="14" s="1"/>
  <c r="O69" i="20"/>
  <c r="D74" i="14"/>
  <c r="F74" i="14" s="1"/>
  <c r="O101" i="20"/>
  <c r="D106" i="14"/>
  <c r="O61" i="20"/>
  <c r="D66" i="14"/>
  <c r="F66" i="14" s="1"/>
  <c r="O79" i="20"/>
  <c r="D84" i="14"/>
  <c r="D101" i="14"/>
  <c r="O96" i="20"/>
  <c r="O53" i="20"/>
  <c r="D58" i="14"/>
  <c r="F58" i="14" s="1"/>
  <c r="D104" i="14"/>
  <c r="O99" i="20"/>
  <c r="O59" i="20"/>
  <c r="D64" i="14"/>
  <c r="F64" i="14" s="1"/>
  <c r="O70" i="20"/>
  <c r="D75" i="14"/>
  <c r="F75" i="14" s="1"/>
  <c r="O68" i="20"/>
  <c r="D73" i="14"/>
  <c r="F73" i="14" s="1"/>
  <c r="O54" i="20"/>
  <c r="D59" i="14"/>
  <c r="F59" i="14" s="1"/>
  <c r="D95" i="14"/>
  <c r="O90" i="20"/>
  <c r="D93" i="14"/>
  <c r="O88" i="20"/>
  <c r="O93" i="20"/>
  <c r="D98" i="14"/>
  <c r="D77" i="14"/>
  <c r="F77" i="14" s="1"/>
  <c r="O72" i="20"/>
  <c r="O77" i="20"/>
  <c r="D82" i="14"/>
  <c r="D70" i="14"/>
  <c r="F70" i="14" s="1"/>
  <c r="O65" i="20"/>
  <c r="D80" i="14"/>
  <c r="F80" i="14" s="1"/>
  <c r="O75" i="20"/>
  <c r="D100" i="14"/>
  <c r="O95" i="20"/>
  <c r="O57" i="20"/>
  <c r="D62" i="14"/>
  <c r="F62" i="14" s="1"/>
  <c r="O55" i="20"/>
  <c r="D60" i="14"/>
  <c r="F60" i="14" s="1"/>
  <c r="O94" i="20"/>
  <c r="D99" i="14"/>
  <c r="D86" i="14"/>
  <c r="O81" i="20"/>
  <c r="D71" i="14"/>
  <c r="F71" i="14" s="1"/>
  <c r="O66" i="20"/>
  <c r="D79" i="14"/>
  <c r="F79" i="14" s="1"/>
  <c r="O74" i="20"/>
  <c r="O64" i="20"/>
  <c r="D69" i="14"/>
  <c r="F69" i="14" s="1"/>
  <c r="D105" i="14"/>
  <c r="O100" i="20"/>
  <c r="O97" i="20"/>
  <c r="D102" i="14"/>
  <c r="O80" i="20"/>
  <c r="D85" i="14"/>
  <c r="O56" i="20"/>
  <c r="D61" i="14"/>
  <c r="F61" i="14" s="1"/>
  <c r="O87" i="20"/>
  <c r="D92" i="14"/>
  <c r="O50" i="20"/>
  <c r="D55" i="14"/>
  <c r="F55" i="14" s="1"/>
  <c r="O76" i="20"/>
  <c r="D81" i="14"/>
  <c r="F81" i="14" s="1"/>
  <c r="D68" i="14"/>
  <c r="F68" i="14" s="1"/>
  <c r="O63" i="20"/>
  <c r="O52" i="20"/>
  <c r="D57" i="14"/>
  <c r="F57" i="14" s="1"/>
  <c r="O73" i="20"/>
  <c r="D78" i="14"/>
  <c r="F78" i="14" s="1"/>
  <c r="D76" i="14"/>
  <c r="F76" i="14" s="1"/>
  <c r="O71" i="20"/>
  <c r="O98" i="20"/>
  <c r="D103" i="14"/>
  <c r="D89" i="14"/>
  <c r="O84" i="20"/>
  <c r="O60" i="20"/>
  <c r="D65" i="14"/>
  <c r="F65" i="14" s="1"/>
  <c r="O82" i="20"/>
  <c r="D87" i="14"/>
  <c r="D94" i="14"/>
  <c r="O89" i="20"/>
  <c r="D67" i="14"/>
  <c r="F67" i="14" s="1"/>
  <c r="O62" i="20"/>
  <c r="D56" i="14"/>
  <c r="F56" i="14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L58" i="20"/>
  <c r="D68" i="11"/>
  <c r="F68" i="11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L56" i="20"/>
  <c r="D61" i="11"/>
  <c r="F61" i="11" s="1"/>
  <c r="L65" i="20"/>
  <c r="D70" i="11"/>
  <c r="F70" i="11" s="1"/>
  <c r="L98" i="20"/>
  <c r="D103" i="11"/>
  <c r="D79" i="11"/>
  <c r="F79" i="11" s="1"/>
  <c r="L74" i="20"/>
  <c r="L80" i="20"/>
  <c r="D85" i="11"/>
  <c r="L67" i="20"/>
  <c r="D72" i="11"/>
  <c r="F72" i="11" s="1"/>
  <c r="L89" i="20"/>
  <c r="D94" i="11"/>
  <c r="D62" i="11"/>
  <c r="F62" i="11" s="1"/>
  <c r="L57" i="20"/>
  <c r="L52" i="20"/>
  <c r="D57" i="11"/>
  <c r="F57" i="11" s="1"/>
  <c r="L81" i="20"/>
  <c r="F86" i="11"/>
  <c r="L85" i="20"/>
  <c r="D90" i="11"/>
  <c r="D65" i="11"/>
  <c r="F65" i="11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D73" i="11"/>
  <c r="F73" i="11" s="1"/>
  <c r="L68" i="20"/>
  <c r="L61" i="20"/>
  <c r="D66" i="11"/>
  <c r="F66" i="11" s="1"/>
  <c r="L66" i="20"/>
  <c r="D71" i="11"/>
  <c r="F71" i="11" s="1"/>
  <c r="L69" i="20"/>
  <c r="D74" i="11"/>
  <c r="F74" i="11" s="1"/>
  <c r="L62" i="20"/>
  <c r="D67" i="11"/>
  <c r="F67" i="11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L83" i="20"/>
  <c r="D88" i="11"/>
  <c r="L59" i="20"/>
  <c r="D64" i="11"/>
  <c r="F64" i="11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L75" i="20"/>
  <c r="D80" i="11"/>
  <c r="F80" i="11" s="1"/>
  <c r="L101" i="20"/>
  <c r="D106" i="11"/>
  <c r="L97" i="20"/>
  <c r="D102" i="11"/>
  <c r="L93" i="20"/>
  <c r="D98" i="11"/>
  <c r="D69" i="11"/>
  <c r="F69" i="11" s="1"/>
  <c r="L64" i="20"/>
  <c r="L51" i="20"/>
  <c r="D56" i="11"/>
  <c r="F56" i="11" s="1"/>
  <c r="L72" i="20"/>
  <c r="D77" i="11"/>
  <c r="F77" i="11" s="1"/>
  <c r="L90" i="20"/>
  <c r="D95" i="11"/>
  <c r="L71" i="20"/>
  <c r="D76" i="11"/>
  <c r="F76" i="11" s="1"/>
  <c r="D99" i="11"/>
  <c r="L94" i="20"/>
  <c r="D58" i="11"/>
  <c r="F58" i="11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K90" i="20"/>
  <c r="D78" i="10"/>
  <c r="F78" i="10" s="1"/>
  <c r="K73" i="20"/>
  <c r="D104" i="10"/>
  <c r="K99" i="20"/>
  <c r="N97" i="20"/>
  <c r="D102" i="13"/>
  <c r="N70" i="20"/>
  <c r="D75" i="13"/>
  <c r="F75" i="13" s="1"/>
  <c r="N89" i="20"/>
  <c r="D94" i="13"/>
  <c r="N53" i="20"/>
  <c r="D58" i="13"/>
  <c r="F58" i="13" s="1"/>
  <c r="N68" i="20"/>
  <c r="D73" i="13"/>
  <c r="F73" i="13" s="1"/>
  <c r="N92" i="20"/>
  <c r="D97" i="13"/>
  <c r="N49" i="20"/>
  <c r="D54" i="13"/>
  <c r="F54" i="13" s="1"/>
  <c r="N90" i="20"/>
  <c r="D95" i="13"/>
  <c r="N57" i="20"/>
  <c r="D62" i="13"/>
  <c r="F62" i="13" s="1"/>
  <c r="N94" i="20"/>
  <c r="D99" i="13"/>
  <c r="N101" i="20"/>
  <c r="D106" i="13"/>
  <c r="N73" i="20"/>
  <c r="D78" i="13"/>
  <c r="F78" i="13" s="1"/>
  <c r="N69" i="20"/>
  <c r="D74" i="13"/>
  <c r="F74" i="1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N65" i="20"/>
  <c r="D70" i="13"/>
  <c r="F70" i="13" s="1"/>
  <c r="N81" i="20"/>
  <c r="D86" i="13"/>
  <c r="N59" i="20"/>
  <c r="D64" i="13"/>
  <c r="F64" i="13" s="1"/>
  <c r="N77" i="20"/>
  <c r="D82" i="13"/>
  <c r="N79" i="20"/>
  <c r="D84" i="13"/>
  <c r="D60" i="13"/>
  <c r="F60" i="13" s="1"/>
  <c r="N55" i="20"/>
  <c r="N64" i="20"/>
  <c r="D69" i="13"/>
  <c r="F69" i="13" s="1"/>
  <c r="N60" i="20"/>
  <c r="D65" i="13"/>
  <c r="F65" i="13" s="1"/>
  <c r="N86" i="20"/>
  <c r="D91" i="13"/>
  <c r="N100" i="20"/>
  <c r="D105" i="13"/>
  <c r="N67" i="20"/>
  <c r="D72" i="13"/>
  <c r="F72" i="13" s="1"/>
  <c r="N58" i="20"/>
  <c r="D63" i="13"/>
  <c r="F63" i="13" s="1"/>
  <c r="D71" i="13"/>
  <c r="F71" i="13" s="1"/>
  <c r="N66" i="20"/>
  <c r="N71" i="20"/>
  <c r="D76" i="13"/>
  <c r="F76" i="13" s="1"/>
  <c r="N78" i="20"/>
  <c r="D83" i="13"/>
  <c r="F83" i="13" s="1"/>
  <c r="N98" i="20"/>
  <c r="D103" i="13"/>
  <c r="N50" i="20"/>
  <c r="D55" i="13"/>
  <c r="F55" i="13" s="1"/>
  <c r="D80" i="13"/>
  <c r="F80" i="13" s="1"/>
  <c r="N75" i="20"/>
  <c r="N95" i="20"/>
  <c r="D100" i="13"/>
  <c r="D90" i="13"/>
  <c r="N85" i="20"/>
  <c r="D57" i="13"/>
  <c r="F57" i="13" s="1"/>
  <c r="N52" i="20"/>
  <c r="N61" i="20"/>
  <c r="D66" i="13"/>
  <c r="F66" i="13" s="1"/>
  <c r="N88" i="20"/>
  <c r="D93" i="13"/>
  <c r="N74" i="20"/>
  <c r="D79" i="13"/>
  <c r="F79" i="13" s="1"/>
  <c r="N76" i="20"/>
  <c r="D81" i="13"/>
  <c r="F81" i="13" s="1"/>
  <c r="N72" i="20"/>
  <c r="D77" i="13"/>
  <c r="F77" i="13" s="1"/>
  <c r="N56" i="20"/>
  <c r="D61" i="13"/>
  <c r="F61" i="13" s="1"/>
  <c r="N51" i="20"/>
  <c r="D56" i="13"/>
  <c r="F56" i="13" s="1"/>
  <c r="N93" i="20"/>
  <c r="D98" i="13"/>
  <c r="N82" i="20"/>
  <c r="D87" i="13"/>
  <c r="N87" i="20"/>
  <c r="D92" i="13"/>
  <c r="N80" i="20"/>
  <c r="D85" i="13"/>
  <c r="F85" i="13" s="1"/>
  <c r="N54" i="20"/>
  <c r="D59" i="13"/>
  <c r="F59" i="13" s="1"/>
  <c r="N63" i="20"/>
  <c r="D68" i="13"/>
  <c r="F68" i="13" s="1"/>
  <c r="J62" i="20"/>
  <c r="D67" i="9"/>
  <c r="F67" i="9" s="1"/>
  <c r="D80" i="9"/>
  <c r="F80" i="9" s="1"/>
  <c r="J75" i="20"/>
  <c r="D79" i="9"/>
  <c r="F79" i="9" s="1"/>
  <c r="J74" i="20"/>
  <c r="D105" i="9"/>
  <c r="J100" i="20"/>
  <c r="D85" i="9"/>
  <c r="F85" i="9" s="1"/>
  <c r="J80" i="20"/>
  <c r="J84" i="20"/>
  <c r="D89" i="9"/>
  <c r="F89" i="9" s="1"/>
  <c r="D58" i="9"/>
  <c r="F58" i="9" s="1"/>
  <c r="J53" i="20"/>
  <c r="D59" i="8"/>
  <c r="F59" i="8" s="1"/>
  <c r="I54" i="20"/>
  <c r="D67" i="8"/>
  <c r="F67" i="8" s="1"/>
  <c r="I62" i="20"/>
  <c r="D95" i="8"/>
  <c r="I90" i="20"/>
  <c r="D84" i="8"/>
  <c r="I79" i="20"/>
  <c r="I101" i="20"/>
  <c r="D106" i="8"/>
  <c r="D69" i="8"/>
  <c r="F69" i="8" s="1"/>
  <c r="I64" i="20"/>
  <c r="J91" i="20"/>
  <c r="D96" i="9"/>
  <c r="D92" i="9"/>
  <c r="J87" i="20"/>
  <c r="D94" i="9"/>
  <c r="J89" i="20"/>
  <c r="D76" i="9"/>
  <c r="F76" i="9" s="1"/>
  <c r="J71" i="20"/>
  <c r="D95" i="9"/>
  <c r="J90" i="20"/>
  <c r="D65" i="9"/>
  <c r="F65" i="9" s="1"/>
  <c r="J60" i="20"/>
  <c r="J65" i="20"/>
  <c r="D70" i="9"/>
  <c r="F70" i="9" s="1"/>
  <c r="D105" i="8"/>
  <c r="I100" i="20"/>
  <c r="D58" i="8"/>
  <c r="F58" i="8" s="1"/>
  <c r="I53" i="20"/>
  <c r="D55" i="8"/>
  <c r="F55" i="8" s="1"/>
  <c r="I50" i="20"/>
  <c r="D64" i="8"/>
  <c r="F64" i="8" s="1"/>
  <c r="I59" i="20"/>
  <c r="D96" i="8"/>
  <c r="I91" i="20"/>
  <c r="I76" i="20"/>
  <c r="D81" i="8"/>
  <c r="F81" i="8" s="1"/>
  <c r="I60" i="20"/>
  <c r="D65" i="8"/>
  <c r="F65" i="8" s="1"/>
  <c r="D88" i="9"/>
  <c r="J83" i="20"/>
  <c r="J70" i="20"/>
  <c r="D75" i="9"/>
  <c r="F75" i="9" s="1"/>
  <c r="D106" i="9"/>
  <c r="J101" i="20"/>
  <c r="D90" i="9"/>
  <c r="J85" i="20"/>
  <c r="D63" i="9"/>
  <c r="F63" i="9" s="1"/>
  <c r="J58" i="20"/>
  <c r="D68" i="9"/>
  <c r="F68" i="9" s="1"/>
  <c r="J63" i="20"/>
  <c r="D101" i="9"/>
  <c r="J96" i="20"/>
  <c r="D93" i="9"/>
  <c r="J88" i="20"/>
  <c r="D77" i="9"/>
  <c r="F77" i="9" s="1"/>
  <c r="J72" i="20"/>
  <c r="D61" i="9"/>
  <c r="F61" i="9" s="1"/>
  <c r="J56" i="20"/>
  <c r="D82" i="9"/>
  <c r="F82" i="9" s="1"/>
  <c r="J77" i="20"/>
  <c r="D66" i="9"/>
  <c r="F66" i="9" s="1"/>
  <c r="J61" i="20"/>
  <c r="D101" i="8"/>
  <c r="I96" i="20"/>
  <c r="I85" i="20"/>
  <c r="D90" i="8"/>
  <c r="F90" i="8" s="1"/>
  <c r="D97" i="8"/>
  <c r="I92" i="20"/>
  <c r="D82" i="8"/>
  <c r="F82" i="8" s="1"/>
  <c r="I77" i="20"/>
  <c r="D103" i="8"/>
  <c r="I98" i="20"/>
  <c r="D79" i="8"/>
  <c r="F79" i="8" s="1"/>
  <c r="I74" i="20"/>
  <c r="D89" i="8"/>
  <c r="I84" i="20"/>
  <c r="D76" i="8"/>
  <c r="F76" i="8" s="1"/>
  <c r="I71" i="20"/>
  <c r="D60" i="8"/>
  <c r="F60" i="8" s="1"/>
  <c r="I55" i="20"/>
  <c r="I97" i="20"/>
  <c r="D102" i="8"/>
  <c r="I89" i="20"/>
  <c r="D94" i="8"/>
  <c r="D77" i="8"/>
  <c r="F77" i="8" s="1"/>
  <c r="I72" i="20"/>
  <c r="D61" i="8"/>
  <c r="F61" i="8" s="1"/>
  <c r="I56" i="20"/>
  <c r="J78" i="20"/>
  <c r="D83" i="9"/>
  <c r="F83" i="9" s="1"/>
  <c r="D100" i="9"/>
  <c r="J95" i="20"/>
  <c r="D98" i="9"/>
  <c r="J93" i="20"/>
  <c r="D84" i="9"/>
  <c r="F84" i="9" s="1"/>
  <c r="J79" i="20"/>
  <c r="D97" i="9"/>
  <c r="J92" i="20"/>
  <c r="D69" i="9"/>
  <c r="F69" i="9" s="1"/>
  <c r="J64" i="20"/>
  <c r="D74" i="9"/>
  <c r="F74" i="9" s="1"/>
  <c r="J69" i="20"/>
  <c r="D75" i="8"/>
  <c r="F75" i="8" s="1"/>
  <c r="I70" i="20"/>
  <c r="I57" i="20"/>
  <c r="D62" i="8"/>
  <c r="F62" i="8" s="1"/>
  <c r="D66" i="8"/>
  <c r="F66" i="8" s="1"/>
  <c r="I61" i="20"/>
  <c r="D63" i="8"/>
  <c r="F63" i="8" s="1"/>
  <c r="I58" i="20"/>
  <c r="D68" i="8"/>
  <c r="F68" i="8" s="1"/>
  <c r="I63" i="20"/>
  <c r="I93" i="20"/>
  <c r="D98" i="8"/>
  <c r="D85" i="8"/>
  <c r="I80" i="20"/>
  <c r="D72" i="9"/>
  <c r="F72" i="9" s="1"/>
  <c r="J67" i="20"/>
  <c r="D64" i="9"/>
  <c r="F64" i="9" s="1"/>
  <c r="J59" i="20"/>
  <c r="D71" i="9"/>
  <c r="F71" i="9" s="1"/>
  <c r="J66" i="20"/>
  <c r="D103" i="9"/>
  <c r="J98" i="20"/>
  <c r="D81" i="9"/>
  <c r="F81" i="9" s="1"/>
  <c r="J76" i="20"/>
  <c r="J81" i="20"/>
  <c r="D86" i="9"/>
  <c r="F86" i="9" s="1"/>
  <c r="I65" i="20"/>
  <c r="D70" i="8"/>
  <c r="F70" i="8" s="1"/>
  <c r="D88" i="8"/>
  <c r="I83" i="20"/>
  <c r="D91" i="8"/>
  <c r="I86" i="20"/>
  <c r="D80" i="8"/>
  <c r="F80" i="8" s="1"/>
  <c r="I75" i="20"/>
  <c r="D104" i="8"/>
  <c r="I99" i="20"/>
  <c r="D104" i="9"/>
  <c r="J99" i="20"/>
  <c r="D56" i="9"/>
  <c r="F56" i="9" s="1"/>
  <c r="J51" i="20"/>
  <c r="J54" i="20"/>
  <c r="D59" i="9"/>
  <c r="F59" i="9" s="1"/>
  <c r="D102" i="9"/>
  <c r="J97" i="20"/>
  <c r="D87" i="9"/>
  <c r="F87" i="9" s="1"/>
  <c r="J82" i="20"/>
  <c r="D55" i="9"/>
  <c r="F55" i="9" s="1"/>
  <c r="J50" i="20"/>
  <c r="D60" i="9"/>
  <c r="F60" i="9" s="1"/>
  <c r="J55" i="20"/>
  <c r="D99" i="9"/>
  <c r="J94" i="20"/>
  <c r="D91" i="9"/>
  <c r="J86" i="20"/>
  <c r="D73" i="9"/>
  <c r="F73" i="9" s="1"/>
  <c r="J68" i="20"/>
  <c r="D57" i="9"/>
  <c r="F57" i="9" s="1"/>
  <c r="J52" i="20"/>
  <c r="J73" i="20"/>
  <c r="D78" i="9"/>
  <c r="F78" i="9" s="1"/>
  <c r="J57" i="20"/>
  <c r="D62" i="9"/>
  <c r="F62" i="9" s="1"/>
  <c r="I81" i="20"/>
  <c r="D86" i="8"/>
  <c r="D93" i="8"/>
  <c r="I88" i="20"/>
  <c r="I73" i="20"/>
  <c r="D78" i="8"/>
  <c r="F78" i="8" s="1"/>
  <c r="D83" i="8"/>
  <c r="F83" i="8" s="1"/>
  <c r="I78" i="20"/>
  <c r="D74" i="8"/>
  <c r="F74" i="8" s="1"/>
  <c r="I69" i="20"/>
  <c r="D99" i="8"/>
  <c r="I94" i="20"/>
  <c r="D71" i="8"/>
  <c r="F71" i="8" s="1"/>
  <c r="I66" i="20"/>
  <c r="D87" i="8"/>
  <c r="I82" i="20"/>
  <c r="D72" i="8"/>
  <c r="F72" i="8" s="1"/>
  <c r="I67" i="20"/>
  <c r="D56" i="8"/>
  <c r="F56" i="8" s="1"/>
  <c r="I51" i="20"/>
  <c r="D100" i="8"/>
  <c r="I95" i="20"/>
  <c r="D92" i="8"/>
  <c r="I87" i="20"/>
  <c r="I68" i="20"/>
  <c r="D73" i="8"/>
  <c r="F73" i="8" s="1"/>
  <c r="I52" i="20"/>
  <c r="D57" i="8"/>
  <c r="F57" i="8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<sst xmlns="http://schemas.openxmlformats.org/spreadsheetml/2006/main" count="5788" uniqueCount="2385">
  <si>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</si>
  <si>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</si>
  <si>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</si>
  <si>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</si>
  <si>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</si>
  <si>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</si>
  <si>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</si>
  <si>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</si>
  <si>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</si>
  <si>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</si>
  <si>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</si>
  <si>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</si>
  <si>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</si>
  <si>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</si>
  <si>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</si>
  <si>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</si>
  <si>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</si>
  <si>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</si>
  <si>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</si>
  <si>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</si>
  <si>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</si>
  <si>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</si>
  <si>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</si>
  <si>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</si>
  <si>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</si>
  <si>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</si>
  <si>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</si>
  <si>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</si>
  <si>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</si>
  <si>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</si>
  <si>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</si>
  <si>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</si>
  <si>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</si>
  <si>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</si>
  <si>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</si>
  <si>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</si>
  <si>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</si>
  <si>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</si>
  <si>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</si>
  <si>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</si>
  <si>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</si>
  <si>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</si>
  <si>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</si>
  <si>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</si>
  <si>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</si>
  <si>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</si>
  <si>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</si>
  <si>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</si>
  <si>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</si>
  <si>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</si>
  <si>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</si>
  <si>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</si>
  <si>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</si>
  <si>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</si>
  <si>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</si>
  <si>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</si>
  <si>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</si>
  <si>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</si>
  <si>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</si>
  <si>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</si>
  <si>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</si>
  <si>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</si>
  <si>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</si>
  <si>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</si>
  <si>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</si>
  <si>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</si>
  <si>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</si>
  <si>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</si>
  <si>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</si>
  <si>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</si>
  <si>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</si>
  <si>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</si>
  <si>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</si>
  <si>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</si>
  <si>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</si>
  <si>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</si>
  <si>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</si>
  <si>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</si>
  <si>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</si>
  <si>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</si>
  <si>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</si>
  <si>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</si>
  <si>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</si>
  <si>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</si>
  <si>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</si>
  <si>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</si>
  <si>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</si>
  <si>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</si>
  <si>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</si>
  <si>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</si>
  <si>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</si>
  <si>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</si>
  <si>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</si>
  <si>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</si>
  <si>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</si>
  <si>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</si>
  <si>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</si>
  <si>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</si>
  <si>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</si>
  <si>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</si>
  <si>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</si>
  <si>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</si>
  <si>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</si>
  <si>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</si>
  <si>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</si>
  <si>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</si>
  <si>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</si>
  <si>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</si>
  <si>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</si>
  <si>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</si>
  <si>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</si>
  <si>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</si>
  <si>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</si>
  <si>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</si>
  <si>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</si>
  <si>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</si>
  <si>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</si>
  <si>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</si>
  <si>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</si>
  <si>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</si>
  <si>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</si>
  <si>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</si>
  <si>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</si>
  <si>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</si>
  <si>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</si>
  <si>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</si>
  <si>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</si>
  <si>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</si>
  <si>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</si>
  <si>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</si>
  <si>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</si>
  <si>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</si>
  <si>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</si>
  <si>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</si>
  <si>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</si>
  <si>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</si>
  <si>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</si>
  <si>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</si>
  <si>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</si>
  <si>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</si>
  <si>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</si>
  <si>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</si>
  <si>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</si>
  <si>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</si>
  <si>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</si>
  <si>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Proposed Standards</t>
  </si>
  <si>
    <t>World Record</t>
  </si>
  <si>
    <t>Proposed standard</t>
  </si>
  <si>
    <t>Perf factor %</t>
  </si>
  <si>
    <t>Proposed factors</t>
  </si>
  <si>
    <t>Proprosed factor</t>
  </si>
  <si>
    <t>Proposed factor</t>
  </si>
  <si>
    <t>Performance factor %</t>
  </si>
  <si>
    <t>Age Factors</t>
  </si>
  <si>
    <t>D</t>
  </si>
  <si>
    <t>Interpolated</t>
  </si>
  <si>
    <t>Time (s)</t>
  </si>
  <si>
    <t>Time(min)</t>
  </si>
  <si>
    <t>2020 Bernhard Single Age Bests</t>
  </si>
  <si>
    <t>Proposed 2020 Age factor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</si>
  <si>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</si>
  <si>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</si>
  <si>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</si>
  <si>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</si>
  <si>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</si>
  <si>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</si>
  <si>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</si>
  <si>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</si>
  <si>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</si>
  <si>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</si>
  <si>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</si>
  <si>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</si>
  <si>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</si>
  <si>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</si>
  <si>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</si>
  <si>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14:58</t>
  </si>
  <si>
    <t>14:48</t>
  </si>
  <si>
    <t>14:57</t>
  </si>
  <si>
    <t>15:10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</si>
  <si>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</si>
  <si>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</si>
  <si>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</si>
  <si>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</si>
  <si>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</si>
  <si>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</si>
  <si>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</si>
  <si>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</si>
  <si>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</si>
  <si>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</si>
  <si>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</si>
  <si>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</si>
  <si>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</si>
  <si>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</si>
  <si>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</si>
  <si>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</si>
  <si>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</si>
  <si>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</si>
  <si>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</si>
  <si>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</si>
  <si>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</si>
  <si>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</si>
  <si>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</si>
  <si>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</si>
  <si>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</si>
  <si>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</si>
  <si>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</si>
  <si>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</si>
  <si>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</si>
  <si>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</si>
  <si>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</si>
  <si>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</si>
  <si>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</si>
  <si>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</si>
  <si>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</si>
  <si>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</si>
  <si>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</si>
  <si>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</si>
  <si>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</si>
  <si>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</si>
  <si>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</si>
  <si>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</si>
  <si>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</si>
  <si>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</si>
  <si>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</si>
  <si>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</si>
  <si>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</si>
  <si>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</si>
  <si>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</si>
  <si>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</si>
  <si>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</si>
  <si>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</si>
  <si>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</si>
  <si>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</si>
  <si>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</si>
  <si>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</si>
  <si>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</si>
  <si>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</si>
  <si>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</si>
  <si>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48:55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</si>
  <si>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</si>
  <si>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</si>
  <si>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</si>
  <si>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</si>
  <si>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</si>
  <si>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</si>
  <si>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</si>
  <si>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</si>
  <si>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</si>
  <si>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</si>
  <si>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</si>
  <si>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</si>
  <si>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</si>
  <si>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</si>
  <si>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</si>
  <si>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</si>
  <si>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</si>
  <si>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</si>
  <si>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</si>
  <si>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</si>
  <si>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</si>
  <si>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</si>
  <si>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</si>
  <si>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</si>
  <si>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</si>
  <si>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</si>
  <si>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</si>
  <si>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</si>
  <si>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</si>
  <si>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</si>
  <si>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</si>
  <si>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</si>
  <si>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</si>
  <si>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</si>
  <si>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</si>
  <si>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</si>
  <si>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</si>
  <si>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</si>
  <si>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</si>
  <si>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</si>
  <si>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</si>
  <si>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Genzebe</t>
  </si>
  <si>
    <t>Dibaba Kenini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</si>
  <si>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</si>
  <si>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</si>
  <si>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</si>
  <si>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</si>
  <si>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</si>
  <si>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</si>
  <si>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</si>
  <si>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</si>
  <si>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</si>
  <si>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</si>
  <si>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</si>
  <si>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</si>
  <si>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</si>
  <si>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</si>
  <si>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</si>
  <si>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</si>
  <si>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</si>
  <si>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</si>
  <si>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</si>
  <si>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</si>
  <si>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</si>
  <si>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</si>
  <si>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</si>
  <si>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</si>
  <si>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</si>
  <si>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</si>
  <si>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</si>
  <si>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</si>
  <si>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</si>
  <si>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</si>
  <si>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</si>
  <si>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</si>
  <si>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</si>
  <si>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</si>
  <si>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</si>
  <si>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</si>
  <si>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</si>
  <si>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</si>
  <si>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</si>
  <si>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</si>
  <si>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</si>
  <si>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</si>
  <si>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</si>
  <si>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</si>
  <si>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</si>
  <si>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</si>
  <si>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</si>
  <si>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</si>
  <si>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</si>
  <si>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</si>
  <si>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</si>
  <si>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</si>
  <si>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</si>
  <si>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</si>
  <si>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</si>
  <si>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</si>
  <si>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</si>
  <si>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</si>
  <si>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</si>
  <si>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</si>
  <si>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</si>
  <si>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</si>
  <si>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</si>
  <si>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</si>
  <si>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</si>
  <si>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</si>
  <si>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</si>
  <si>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</si>
  <si>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</si>
  <si>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</si>
  <si>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</si>
  <si>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</si>
  <si>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</si>
  <si>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</si>
  <si>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</si>
  <si>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</si>
  <si>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</si>
  <si>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</si>
  <si>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</si>
  <si>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</si>
  <si>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</si>
  <si>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</si>
  <si>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</si>
  <si>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</si>
  <si>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</si>
  <si>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</si>
  <si>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</si>
  <si>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</si>
  <si>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</si>
  <si>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</si>
  <si>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</si>
  <si>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</si>
  <si>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</si>
  <si>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</si>
  <si>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</si>
  <si>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</si>
  <si>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</si>
  <si>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Jan</t>
  </si>
  <si>
    <t>Holmquist</t>
  </si>
  <si>
    <t>Evans Run 5K</t>
  </si>
  <si>
    <t>Jeannie</t>
  </si>
  <si>
    <t>Rice</t>
  </si>
  <si>
    <t>John Clay 5K</t>
  </si>
  <si>
    <t>Naples, FL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</si>
  <si>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</si>
  <si>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</si>
  <si>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</si>
  <si>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</si>
  <si>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</si>
  <si>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</si>
  <si>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</si>
  <si>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</si>
  <si>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Freihofer's Run for Women</t>
  </si>
  <si>
    <t>Firekracker 5K</t>
  </si>
  <si>
    <t>Ft. Collins, CO</t>
  </si>
  <si>
    <t>official F80-84 AR</t>
  </si>
  <si>
    <t>Lenore</t>
  </si>
  <si>
    <t>Montgomery</t>
  </si>
  <si>
    <t>CAN</t>
  </si>
  <si>
    <t>Vancouver BC CAN</t>
  </si>
  <si>
    <t>Anne</t>
  </si>
  <si>
    <t>Clarke</t>
  </si>
  <si>
    <t>IL</t>
  </si>
  <si>
    <t>Park Ridge Charity Classic</t>
  </si>
  <si>
    <t>Park Ridge, IL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</si>
  <si>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</si>
  <si>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</si>
  <si>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</si>
  <si>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</si>
  <si>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</si>
  <si>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</si>
  <si>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</si>
  <si>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</si>
  <si>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</si>
  <si>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</si>
  <si>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</si>
  <si>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</si>
  <si>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cert ran out in 2011, but they still use the same course</t>
  </si>
  <si>
    <t>CPCC Charlotte Skyline 5K</t>
  </si>
  <si>
    <t>Run! Ballantyne 5K</t>
  </si>
  <si>
    <t>Evelyn</t>
  </si>
  <si>
    <t>Tripp</t>
  </si>
  <si>
    <t>Get to the Green 5K</t>
  </si>
  <si>
    <t>Columbia, SC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</si>
  <si>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</si>
  <si>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</si>
  <si>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</si>
  <si>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</si>
  <si>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</si>
  <si>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</si>
  <si>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</si>
  <si>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</si>
  <si>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</si>
  <si>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</si>
  <si>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</si>
  <si>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</si>
  <si>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</si>
  <si>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</si>
  <si>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</si>
  <si>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</si>
  <si>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</si>
  <si>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</si>
  <si>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</si>
  <si>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</si>
  <si>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</si>
  <si>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</si>
  <si>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</si>
  <si>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</si>
  <si>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</si>
  <si>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</si>
  <si>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30:39</t>
  </si>
  <si>
    <t>30:25</t>
  </si>
  <si>
    <t>30:47</t>
  </si>
  <si>
    <t>30:30</t>
  </si>
  <si>
    <t>30:21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</si>
  <si>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</si>
  <si>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</si>
  <si>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</si>
  <si>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</si>
  <si>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</si>
  <si>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</si>
  <si>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</si>
  <si>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</si>
  <si>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</si>
  <si>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</si>
  <si>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</si>
  <si>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</si>
  <si>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</si>
  <si>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</si>
  <si>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</si>
  <si>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</si>
  <si>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</si>
  <si>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</si>
  <si>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</si>
  <si>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</si>
  <si>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</si>
  <si>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</si>
  <si>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</si>
  <si>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</si>
  <si>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</si>
  <si>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</si>
  <si>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</si>
  <si>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</si>
  <si>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</si>
  <si>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</si>
  <si>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</si>
  <si>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</si>
  <si>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</si>
  <si>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</si>
  <si>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</si>
  <si>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</si>
  <si>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</si>
  <si>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</si>
  <si>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</si>
  <si>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50:02</t>
  </si>
  <si>
    <t>51:23</t>
  </si>
  <si>
    <t>53:38</t>
  </si>
  <si>
    <t>54:54</t>
  </si>
  <si>
    <t>55:05</t>
  </si>
  <si>
    <t>53:16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</si>
  <si>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</si>
  <si>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</si>
  <si>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</si>
  <si>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</si>
  <si>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</si>
  <si>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</si>
  <si>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</si>
  <si>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</si>
  <si>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</si>
  <si>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</si>
  <si>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</si>
  <si>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</si>
  <si>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</si>
  <si>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</si>
  <si>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</si>
  <si>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</si>
  <si>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</si>
  <si>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</si>
  <si>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</si>
  <si>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</si>
  <si>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</si>
  <si>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</si>
  <si>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</si>
  <si>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</si>
  <si>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</si>
  <si>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</si>
  <si>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</si>
  <si>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</si>
  <si>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</si>
  <si>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</si>
  <si>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</si>
  <si>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</si>
  <si>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</si>
  <si>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</si>
  <si>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</si>
  <si>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</si>
  <si>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</si>
  <si>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</si>
  <si>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</si>
  <si>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</si>
  <si>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</si>
  <si>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</si>
  <si>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</si>
  <si>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</si>
  <si>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</si>
  <si>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</si>
  <si>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</si>
  <si>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</si>
  <si>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</si>
  <si>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</si>
  <si>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</si>
  <si>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</si>
  <si>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</si>
  <si>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</si>
  <si>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</si>
  <si>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</si>
  <si>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</si>
  <si>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</si>
  <si>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</si>
  <si>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</si>
  <si>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</si>
  <si>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</si>
  <si>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</si>
  <si>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</si>
  <si>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</si>
  <si>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</si>
  <si>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</si>
  <si>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</si>
  <si>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</si>
  <si>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</si>
  <si>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</si>
  <si>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</si>
  <si>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</si>
  <si>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</si>
  <si>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</si>
  <si>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</si>
  <si>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</si>
  <si>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</si>
  <si>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</si>
  <si>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</si>
  <si>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</si>
  <si>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</si>
  <si>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</si>
  <si>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</si>
  <si>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</si>
  <si>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</si>
  <si>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</si>
  <si>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</si>
  <si>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Firaya</t>
  </si>
  <si>
    <t>Sultanova-Zhadanova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</si>
  <si>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</si>
  <si>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</si>
  <si>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</si>
  <si>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</si>
  <si>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</si>
  <si>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</si>
  <si>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</si>
  <si>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</si>
  <si>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</si>
  <si>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</si>
  <si>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</si>
  <si>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</si>
  <si>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</si>
  <si>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</si>
  <si>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</si>
  <si>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</si>
  <si>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</si>
  <si>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</si>
  <si>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</si>
  <si>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</si>
  <si>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</si>
  <si>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</si>
  <si>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</si>
  <si>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</si>
  <si>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</si>
  <si>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</si>
  <si>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</si>
  <si>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</si>
  <si>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</si>
  <si>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</si>
  <si>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</si>
  <si>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</si>
  <si>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</si>
  <si>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</si>
  <si>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</si>
  <si>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</si>
  <si>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</si>
  <si>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</si>
  <si>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</si>
  <si>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</si>
  <si>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</si>
  <si>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</si>
  <si>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</si>
  <si>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</si>
  <si>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</si>
  <si>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</si>
  <si>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</si>
  <si>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</si>
  <si>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</si>
  <si>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</si>
  <si>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</si>
  <si>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</si>
  <si>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</si>
  <si>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</si>
  <si>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</si>
  <si>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</si>
  <si>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</si>
  <si>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</si>
  <si>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</si>
  <si>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</si>
  <si>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</si>
  <si>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</si>
  <si>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</si>
  <si>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</si>
  <si>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</si>
  <si>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</si>
  <si>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</si>
  <si>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</si>
  <si>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</si>
  <si>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</si>
  <si>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</si>
  <si>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</si>
  <si>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</si>
  <si>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Ruth</t>
  </si>
  <si>
    <t>Rothfarb</t>
  </si>
  <si>
    <t>Tufts Health Plan 10K for Women</t>
  </si>
  <si>
    <t>Boston, MA</t>
  </si>
  <si>
    <t>Charlotte Racefest 10K</t>
  </si>
  <si>
    <t>Tush</t>
  </si>
  <si>
    <t>Metcalf</t>
  </si>
  <si>
    <t>Ukrops Monument Ave 10K</t>
  </si>
  <si>
    <t xml:space="preserve">Richmond, VA 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</si>
  <si>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</si>
  <si>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</si>
  <si>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</si>
  <si>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</si>
  <si>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</si>
  <si>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</si>
  <si>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</si>
  <si>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</si>
  <si>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</si>
  <si>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</si>
  <si>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</si>
  <si>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</si>
  <si>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</si>
  <si>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</si>
  <si>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</si>
  <si>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1:06:49</t>
  </si>
  <si>
    <t>1:06:11</t>
  </si>
  <si>
    <t>1:05:51</t>
  </si>
  <si>
    <t>1:05:09</t>
  </si>
  <si>
    <t>1:05:52</t>
  </si>
  <si>
    <t>1:06:02</t>
  </si>
  <si>
    <t>1:07:26</t>
  </si>
  <si>
    <t>1:05:13</t>
  </si>
  <si>
    <t>1:08:55</t>
  </si>
  <si>
    <t>1:08:48</t>
  </si>
  <si>
    <t>1:09:56</t>
  </si>
  <si>
    <t>1:09:37</t>
  </si>
  <si>
    <t>1:09:58</t>
  </si>
  <si>
    <t>1:11:54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</si>
  <si>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</si>
  <si>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</si>
  <si>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</si>
  <si>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</si>
  <si>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</si>
  <si>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</si>
  <si>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</si>
  <si>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</si>
  <si>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</si>
  <si>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</si>
  <si>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1:24:54</t>
  </si>
  <si>
    <t>1:26:53</t>
  </si>
  <si>
    <t>1:27:57</t>
  </si>
  <si>
    <t>1:30:27</t>
  </si>
  <si>
    <t>1:32:56</t>
  </si>
  <si>
    <t>1:34:44</t>
  </si>
  <si>
    <t>1:33:43</t>
  </si>
  <si>
    <t>1:35:12</t>
  </si>
  <si>
    <t>1:37:38</t>
  </si>
  <si>
    <t>1:37:01</t>
  </si>
  <si>
    <t>1:45:42</t>
  </si>
  <si>
    <t>1:49:58</t>
  </si>
  <si>
    <t>1:58:06</t>
  </si>
  <si>
    <t>1:56:48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</si>
  <si>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</si>
  <si>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</si>
  <si>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</si>
  <si>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</si>
  <si>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</si>
  <si>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</si>
  <si>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</si>
  <si>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</si>
  <si>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</si>
  <si>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</si>
  <si>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</si>
  <si>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</si>
  <si>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</si>
  <si>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</si>
  <si>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</si>
  <si>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</si>
  <si>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</si>
  <si>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</si>
  <si>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</si>
  <si>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</si>
  <si>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</si>
  <si>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</si>
  <si>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</si>
  <si>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</si>
  <si>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</si>
  <si>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</si>
  <si>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</si>
  <si>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</si>
  <si>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</si>
  <si>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</si>
  <si>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</si>
  <si>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</si>
  <si>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</si>
  <si>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</si>
  <si>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</si>
  <si>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</si>
  <si>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</si>
  <si>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</si>
  <si>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</si>
  <si>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</si>
  <si>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</si>
  <si>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</si>
  <si>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</si>
  <si>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</si>
  <si>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</si>
  <si>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</si>
  <si>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</si>
  <si>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</si>
  <si>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</si>
  <si>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</si>
  <si>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</si>
  <si>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</si>
  <si>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</si>
  <si>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</si>
  <si>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</si>
  <si>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</si>
  <si>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</si>
  <si>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</si>
  <si>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</si>
  <si>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</si>
  <si>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</si>
  <si>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</si>
  <si>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</si>
  <si>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</si>
  <si>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</si>
  <si>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</si>
  <si>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</si>
  <si>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</si>
  <si>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</si>
  <si>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</si>
  <si>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</si>
  <si>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</si>
  <si>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</si>
  <si>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</si>
  <si>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</si>
  <si>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</si>
  <si>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</si>
  <si>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</si>
  <si>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</si>
  <si>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</si>
  <si>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</si>
  <si>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</si>
  <si>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</si>
  <si>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</si>
  <si>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</si>
  <si>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</si>
  <si>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</si>
  <si>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</si>
  <si>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</si>
  <si>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</si>
  <si>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</si>
  <si>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</si>
  <si>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Heidrun</t>
  </si>
  <si>
    <t>Besler</t>
  </si>
  <si>
    <t>Kempton GER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</si>
  <si>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</si>
  <si>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</si>
  <si>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</si>
  <si>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</si>
  <si>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</si>
  <si>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</si>
  <si>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</si>
  <si>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</si>
  <si>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</si>
  <si>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</si>
  <si>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</si>
  <si>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</si>
  <si>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</si>
  <si>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</si>
  <si>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</si>
  <si>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</si>
  <si>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</si>
  <si>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</si>
  <si>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</si>
  <si>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</si>
  <si>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</si>
  <si>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</si>
  <si>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</si>
  <si>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</si>
  <si>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</si>
  <si>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</si>
  <si>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</si>
  <si>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</si>
  <si>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</si>
  <si>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</si>
  <si>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</si>
  <si>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</si>
  <si>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</si>
  <si>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</si>
  <si>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</si>
  <si>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</si>
  <si>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</si>
  <si>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</si>
  <si>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</si>
  <si>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</si>
  <si>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</si>
  <si>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</si>
  <si>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</si>
  <si>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</si>
  <si>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</si>
  <si>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</si>
  <si>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</si>
  <si>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</si>
  <si>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</si>
  <si>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</si>
  <si>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</si>
  <si>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</si>
  <si>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</si>
  <si>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</si>
  <si>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</si>
  <si>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</si>
  <si>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</si>
  <si>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</si>
  <si>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</si>
  <si>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</si>
  <si>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</si>
  <si>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</si>
  <si>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</si>
  <si>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</si>
  <si>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</si>
  <si>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</si>
  <si>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</si>
  <si>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</si>
  <si>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</si>
  <si>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</si>
  <si>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</si>
  <si>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</si>
  <si>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</si>
  <si>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</si>
  <si>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</si>
  <si>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</si>
  <si>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</si>
  <si>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</si>
  <si>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</si>
  <si>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</si>
  <si>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</si>
  <si>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</si>
  <si>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</si>
  <si>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</si>
  <si>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</si>
  <si>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</si>
  <si>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</si>
  <si>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</si>
  <si>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</si>
  <si>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</si>
  <si>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</si>
  <si>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</si>
  <si>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</si>
  <si>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Jung-Ok</t>
  </si>
  <si>
    <t xml:space="preserve">Kim 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</si>
  <si>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</si>
  <si>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</si>
  <si>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</si>
  <si>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</si>
  <si>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</si>
  <si>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</si>
  <si>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</si>
  <si>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</si>
  <si>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</si>
  <si>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</si>
  <si>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</si>
  <si>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</si>
  <si>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</si>
  <si>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</si>
  <si>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</si>
  <si>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</si>
  <si>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</si>
  <si>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</si>
  <si>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Sylvia</t>
  </si>
  <si>
    <t xml:space="preserve">Quinn </t>
  </si>
  <si>
    <t>Coeur D'Alene Marathon</t>
  </si>
  <si>
    <t>Coeur d'Alene ID USA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</si>
  <si>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</si>
  <si>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</si>
  <si>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</si>
  <si>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</si>
  <si>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</si>
  <si>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</si>
  <si>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</si>
  <si>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</si>
  <si>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</si>
  <si>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</si>
  <si>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</si>
  <si>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</si>
  <si>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</si>
  <si>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</si>
  <si>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</si>
  <si>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</si>
  <si>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</si>
  <si>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tlbernhard2@gmail.com</t>
  </si>
  <si>
    <t>1 Mile</t>
  </si>
  <si>
    <t>Percent change</t>
  </si>
  <si>
    <t>2020 Age-Grade Standards</t>
  </si>
  <si>
    <t>https://github.com/AlanLyttonJones/Age-Grade-Tables</t>
  </si>
  <si>
    <t>Men2020 Age-Grade Standards</t>
  </si>
  <si>
    <t>Men normalized</t>
  </si>
  <si>
    <t>Women Normalized</t>
  </si>
  <si>
    <t>2025 Bernard Single Age Bests</t>
  </si>
  <si>
    <t>28:46</t>
  </si>
  <si>
    <t>28:57</t>
  </si>
  <si>
    <t>30:01</t>
  </si>
  <si>
    <t>29:38</t>
  </si>
  <si>
    <t>32:09</t>
  </si>
  <si>
    <t>49:14</t>
  </si>
  <si>
    <t>54:17</t>
  </si>
  <si>
    <t>Agnes</t>
  </si>
  <si>
    <t>Ngetich</t>
  </si>
  <si>
    <t>Valencia Ibercaja 10K</t>
  </si>
  <si>
    <t>Valencia, ESP</t>
  </si>
  <si>
    <t>WR</t>
  </si>
  <si>
    <t>Emmaculate</t>
  </si>
  <si>
    <t>Achholi</t>
  </si>
  <si>
    <t>Tirop</t>
  </si>
  <si>
    <t>Adizero Road to Records</t>
  </si>
  <si>
    <t>Herzogenaurach, Ger</t>
  </si>
  <si>
    <t>Kalkidan</t>
  </si>
  <si>
    <t>Gezahegne</t>
  </si>
  <si>
    <t>The Giants Geneva 10K</t>
  </si>
  <si>
    <t>Geneva, SWI</t>
  </si>
  <si>
    <t>BAA 10K</t>
  </si>
  <si>
    <t>Chicago Marathon (10K split)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</si>
  <si>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</si>
  <si>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</si>
  <si>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</si>
  <si>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</si>
  <si>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</si>
  <si>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14:40</t>
  </si>
  <si>
    <t>14:38</t>
  </si>
  <si>
    <t>14:19</t>
  </si>
  <si>
    <t>14:13</t>
  </si>
  <si>
    <t>14:39</t>
  </si>
  <si>
    <t>14:29</t>
  </si>
  <si>
    <t>14:43</t>
  </si>
  <si>
    <t>55:47</t>
  </si>
  <si>
    <t xml:space="preserve">59:04 </t>
  </si>
  <si>
    <t>Mendina</t>
  </si>
  <si>
    <t>Eisa</t>
  </si>
  <si>
    <t>Cursa dels Nassos in Barcelona 5K</t>
  </si>
  <si>
    <t>Barcelona SPN</t>
  </si>
  <si>
    <t>Medina</t>
  </si>
  <si>
    <t>adizero Road to Record</t>
  </si>
  <si>
    <t>Ejegayehu</t>
  </si>
  <si>
    <t>Taye</t>
  </si>
  <si>
    <t>10K Valencia Ibercaja
Valencia (ESP)</t>
  </si>
  <si>
    <t>Valencia (ESP)</t>
  </si>
  <si>
    <t>WR (5K split)</t>
  </si>
  <si>
    <t xml:space="preserve">Beatrice </t>
  </si>
  <si>
    <t>Chebet</t>
  </si>
  <si>
    <t>Dawit</t>
  </si>
  <si>
    <t>Seyaum</t>
  </si>
  <si>
    <t>Urban Trail Lille, 5K</t>
  </si>
  <si>
    <t xml:space="preserve">Senbere </t>
  </si>
  <si>
    <t>Tefer</t>
  </si>
  <si>
    <t>Chepkoech</t>
  </si>
  <si>
    <t>Herculis Monaco Run 5K</t>
  </si>
  <si>
    <t>Monaco</t>
  </si>
  <si>
    <t>Lindberg</t>
  </si>
  <si>
    <t xml:space="preserve">     </t>
  </si>
  <si>
    <t>Proposed 2025 Age factor</t>
  </si>
  <si>
    <t>1:03:51</t>
  </si>
  <si>
    <t>1:02:52</t>
  </si>
  <si>
    <t>1:04:02</t>
  </si>
  <si>
    <t>1:05:18</t>
  </si>
  <si>
    <t>1:04:48</t>
  </si>
  <si>
    <t>1:07:15</t>
  </si>
  <si>
    <t>1:09:46</t>
  </si>
  <si>
    <t>1:24:19</t>
  </si>
  <si>
    <t>1:23:39</t>
  </si>
  <si>
    <t>1:22:33</t>
  </si>
  <si>
    <t>1:31:38</t>
  </si>
  <si>
    <t>1:43:09</t>
  </si>
  <si>
    <t>RAK Half Marathon</t>
  </si>
  <si>
    <t>Girmawit</t>
  </si>
  <si>
    <t>Gebrzihair</t>
  </si>
  <si>
    <t>Yalemzerf</t>
  </si>
  <si>
    <t>Yehualaw</t>
  </si>
  <si>
    <t>Medio Maraton Valencia Trinidad Alfonso EDP</t>
  </si>
  <si>
    <t>Letesenbet</t>
  </si>
  <si>
    <t>Gidey</t>
  </si>
  <si>
    <t>Chepngetich</t>
  </si>
  <si>
    <t>N Kolay Istanbul Half Marathon</t>
  </si>
  <si>
    <t>Istanbul TUK</t>
  </si>
  <si>
    <t>Medio Maratón Valencia Trinidad Alfonso EDP</t>
  </si>
  <si>
    <t>Oberi</t>
  </si>
  <si>
    <t>3/27/2022</t>
  </si>
  <si>
    <t>Sara</t>
  </si>
  <si>
    <t>Hall</t>
  </si>
  <si>
    <t>Houston Marathon, H Mar</t>
  </si>
  <si>
    <t>Jenny</t>
  </si>
  <si>
    <t>Hitchings</t>
  </si>
  <si>
    <t>Urban Cow H Mar</t>
  </si>
  <si>
    <t>Sacramento, CA</t>
  </si>
  <si>
    <t xml:space="preserve">F55-59 AR </t>
  </si>
  <si>
    <t>Chicago Marathon, H Mar split</t>
  </si>
  <si>
    <t>Maria</t>
  </si>
  <si>
    <t>Del Carmen Ruiz Vazquez</t>
  </si>
  <si>
    <t>MEX</t>
  </si>
  <si>
    <t>WMA World Indoor Championships, H Mar</t>
  </si>
  <si>
    <t>Torun POL</t>
  </si>
  <si>
    <t>Proposed 2025 Age-Grade Standards</t>
  </si>
  <si>
    <t>Performance 2025 data vs 2020 standards</t>
  </si>
  <si>
    <t xml:space="preserve">       </t>
  </si>
  <si>
    <t>2020 Barnard Single Age Bests</t>
  </si>
  <si>
    <t>4:27:32</t>
  </si>
  <si>
    <t>3:57:42</t>
  </si>
  <si>
    <t>3:13:24</t>
  </si>
  <si>
    <t>2:49:21</t>
  </si>
  <si>
    <t>2:29:41</t>
  </si>
  <si>
    <t>2:31:51</t>
  </si>
  <si>
    <t>2:23:37</t>
  </si>
  <si>
    <t>2:22:38</t>
  </si>
  <si>
    <t>2:20:59</t>
  </si>
  <si>
    <t>2:19:17</t>
  </si>
  <si>
    <t>2:20:51</t>
  </si>
  <si>
    <t>2:19:52</t>
  </si>
  <si>
    <t>2:20:13</t>
  </si>
  <si>
    <t>2:14:04</t>
  </si>
  <si>
    <t>2:19:12</t>
  </si>
  <si>
    <t>2:17:18</t>
  </si>
  <si>
    <t>2:15:25</t>
  </si>
  <si>
    <t>2:13:44</t>
  </si>
  <si>
    <t>2:17:42</t>
  </si>
  <si>
    <t>2:18:31</t>
  </si>
  <si>
    <t>2:18:35</t>
  </si>
  <si>
    <t>2:19:19</t>
  </si>
  <si>
    <t>2:21:18</t>
  </si>
  <si>
    <t>2:22:12</t>
  </si>
  <si>
    <t>2:23:31</t>
  </si>
  <si>
    <t>2:22:11</t>
  </si>
  <si>
    <t>2:24:11</t>
  </si>
  <si>
    <t>2:29:25</t>
  </si>
  <si>
    <t>2:29:43</t>
  </si>
  <si>
    <t>2:21:34</t>
  </si>
  <si>
    <t>2:30:26</t>
  </si>
  <si>
    <t>2:28:60</t>
  </si>
  <si>
    <t>2:37:46</t>
  </si>
  <si>
    <t>2:30:17</t>
  </si>
  <si>
    <t>2:35:46</t>
  </si>
  <si>
    <t>2:48:47</t>
  </si>
  <si>
    <t>2:47:50</t>
  </si>
  <si>
    <t>2:53:49</t>
  </si>
  <si>
    <t>2:52:14</t>
  </si>
  <si>
    <t>2:48:06</t>
  </si>
  <si>
    <t>2:54:29</t>
  </si>
  <si>
    <t>2:58:15</t>
  </si>
  <si>
    <t>2:45:27</t>
  </si>
  <si>
    <t>2:49:43</t>
  </si>
  <si>
    <t>2:56:54</t>
  </si>
  <si>
    <t>2:52:15</t>
  </si>
  <si>
    <t>3:19:18</t>
  </si>
  <si>
    <t>3:12:57</t>
  </si>
  <si>
    <t>3:25:51</t>
  </si>
  <si>
    <t>3:24:54</t>
  </si>
  <si>
    <t>3:29:41</t>
  </si>
  <si>
    <t>3:27:50</t>
  </si>
  <si>
    <t>3:24:48</t>
  </si>
  <si>
    <t>3:35:29</t>
  </si>
  <si>
    <t>3:42:19</t>
  </si>
  <si>
    <t>3:31:51</t>
  </si>
  <si>
    <t>3:34:32</t>
  </si>
  <si>
    <t>3:33:27</t>
  </si>
  <si>
    <t>4:24:28</t>
  </si>
  <si>
    <t>4:19:52</t>
  </si>
  <si>
    <t>4:11:50</t>
  </si>
  <si>
    <t>4:12:44</t>
  </si>
  <si>
    <t>4:51:24</t>
  </si>
  <si>
    <t>5:44:22</t>
  </si>
  <si>
    <t>6:31:42</t>
  </si>
  <si>
    <t>6:31:32</t>
  </si>
  <si>
    <t>6:47:31</t>
  </si>
  <si>
    <t>9:53:48</t>
  </si>
  <si>
    <t>3:11:01</t>
  </si>
  <si>
    <t>2:58:01</t>
  </si>
  <si>
    <t>2:54:03</t>
  </si>
  <si>
    <t>2:44:03</t>
  </si>
  <si>
    <t>2:33:08</t>
  </si>
  <si>
    <t>2:17:08</t>
  </si>
  <si>
    <t>2:17:01</t>
  </si>
  <si>
    <t>2:31:05</t>
  </si>
  <si>
    <t>3:06:36</t>
  </si>
  <si>
    <t>3:07:48</t>
  </si>
  <si>
    <t>3:19:05</t>
  </si>
  <si>
    <t>4:07:31</t>
  </si>
  <si>
    <t>4:34:04</t>
  </si>
  <si>
    <t>5:12:03</t>
  </si>
  <si>
    <t>7:06:48</t>
  </si>
  <si>
    <t>8:09:23</t>
  </si>
  <si>
    <t>Suffan</t>
  </si>
  <si>
    <t>Hassan</t>
  </si>
  <si>
    <t>Keira</t>
  </si>
  <si>
    <t>D’Amato</t>
  </si>
  <si>
    <t>Houston Marathon</t>
  </si>
  <si>
    <t>Valencia Marathon Trinidad Alfonso</t>
  </si>
  <si>
    <t>Valencia</t>
  </si>
  <si>
    <t>Krisha</t>
  </si>
  <si>
    <t>Stanton</t>
  </si>
  <si>
    <t>London, GBR</t>
  </si>
  <si>
    <t>Mariko</t>
  </si>
  <si>
    <t>Yugeta</t>
  </si>
  <si>
    <t>May-1958</t>
  </si>
  <si>
    <t>Tokyo, Marathon</t>
  </si>
  <si>
    <t>Saitama International Marathon</t>
  </si>
  <si>
    <t>Shimonkai, JPN</t>
  </si>
  <si>
    <t>Osaka International Women’s Marathon</t>
  </si>
  <si>
    <t>Osaka, JPN</t>
  </si>
  <si>
    <t>2020 Barnhard Single Age Bests</t>
  </si>
  <si>
    <t>2:09:56</t>
  </si>
  <si>
    <t>Chepgnetich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</si>
  <si>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</si>
  <si>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</si>
  <si>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</si>
  <si>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</si>
  <si>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</si>
  <si>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</si>
  <si>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</si>
  <si>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</si>
  <si>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</si>
  <si>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</si>
  <si>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</si>
  <si>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</si>
  <si>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</si>
  <si>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</si>
  <si>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</si>
  <si>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</si>
  <si>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</si>
  <si>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</si>
  <si>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</si>
  <si>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</si>
  <si>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</si>
  <si>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</si>
  <si>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</si>
  <si>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</si>
  <si>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</si>
  <si>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</si>
  <si>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</si>
  <si>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</si>
  <si>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</si>
  <si>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</si>
  <si>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</si>
  <si>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</si>
  <si>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</si>
  <si>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</si>
  <si>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</si>
  <si>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</si>
  <si>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</si>
  <si>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</si>
  <si>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</si>
  <si>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</si>
  <si>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</si>
  <si>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</si>
  <si>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</si>
  <si>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</si>
  <si>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</si>
  <si>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</si>
  <si>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</si>
  <si>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</si>
  <si>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</si>
  <si>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</si>
  <si>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</si>
  <si>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</si>
  <si>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</si>
  <si>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</si>
  <si>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</si>
  <si>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</si>
  <si>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</si>
  <si>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</si>
  <si>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</si>
  <si>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</si>
  <si>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</si>
  <si>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</si>
  <si>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</si>
  <si>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</si>
  <si>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</si>
  <si>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</si>
  <si>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</si>
  <si>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</si>
  <si>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</si>
  <si>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</si>
  <si>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</si>
  <si>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</si>
  <si>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</si>
  <si>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</si>
  <si>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</si>
  <si>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</si>
  <si>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</si>
  <si>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</si>
  <si>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</si>
  <si>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</si>
  <si>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</si>
  <si>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</si>
  <si>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</si>
  <si>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</si>
  <si>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</si>
  <si>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</si>
  <si>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</si>
  <si>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</si>
  <si>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</si>
  <si>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</si>
  <si>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</si>
  <si>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</si>
  <si>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</si>
  <si>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</si>
  <si>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</si>
  <si>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</si>
  <si>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</si>
  <si>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</si>
  <si>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</si>
  <si>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</si>
  <si>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</si>
  <si>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</si>
  <si>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</si>
  <si>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</si>
  <si>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</si>
  <si>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</si>
  <si>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</si>
  <si>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</si>
  <si>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</si>
  <si>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</si>
  <si>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</si>
  <si>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</si>
  <si>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</si>
  <si>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</si>
  <si>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</si>
  <si>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</si>
  <si>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</si>
  <si>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</si>
  <si>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</si>
  <si>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</si>
  <si>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</si>
  <si>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</si>
  <si>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</si>
  <si>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</si>
  <si>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</si>
  <si>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</si>
  <si>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</si>
  <si>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</si>
  <si>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</si>
  <si>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</si>
  <si>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</si>
  <si>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</si>
  <si>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</si>
  <si>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</si>
  <si>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</si>
  <si>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</si>
  <si>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</si>
  <si>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</si>
  <si>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</si>
  <si>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</si>
  <si>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</si>
  <si>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</si>
  <si>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</si>
  <si>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</si>
  <si>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</si>
  <si>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</si>
  <si>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</si>
  <si>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</si>
  <si>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</si>
  <si>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</si>
  <si>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</si>
  <si>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</si>
  <si>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</si>
  <si>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</si>
  <si>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</si>
  <si>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</si>
  <si>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</si>
  <si>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</si>
  <si>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</si>
  <si>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</si>
  <si>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</si>
  <si>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</si>
  <si>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</si>
  <si>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</si>
  <si>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</si>
  <si>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</si>
  <si>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</si>
  <si>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</si>
  <si>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</si>
  <si>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</si>
  <si>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</si>
  <si>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</si>
  <si>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</si>
  <si>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</si>
  <si>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</si>
  <si>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</si>
  <si>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</si>
  <si>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</si>
  <si>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</si>
  <si>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</si>
  <si>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</si>
  <si>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</si>
  <si>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</si>
  <si>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</si>
  <si>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</si>
  <si>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</si>
  <si>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</si>
  <si>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</si>
  <si>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</si>
  <si>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</si>
  <si>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</si>
  <si>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</si>
  <si>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</si>
  <si>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</si>
  <si>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</si>
  <si>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</si>
  <si>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</si>
  <si>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</si>
  <si>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</si>
  <si>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</si>
  <si>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</si>
  <si>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</si>
  <si>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</si>
  <si>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</si>
  <si>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</si>
  <si>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</si>
  <si>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</si>
  <si>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</si>
  <si>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</si>
  <si>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</si>
  <si>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</si>
  <si>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</si>
  <si>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</si>
  <si>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</si>
  <si>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</si>
  <si>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</si>
  <si>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</si>
  <si>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</si>
  <si>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</si>
  <si>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</si>
  <si>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</si>
  <si>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</si>
  <si>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</si>
  <si>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</si>
  <si>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</si>
  <si>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</si>
  <si>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</si>
  <si>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</si>
  <si>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</si>
  <si>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</si>
  <si>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</si>
  <si>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</si>
  <si>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</si>
  <si>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</si>
  <si>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</si>
  <si>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</si>
  <si>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</si>
  <si>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</si>
  <si>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</si>
  <si>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</si>
  <si>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</si>
  <si>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</si>
  <si>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</si>
  <si>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</si>
  <si>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</si>
  <si>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</si>
  <si>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</si>
  <si>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</si>
  <si>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</si>
  <si>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</si>
  <si>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</si>
  <si>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</si>
  <si>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</si>
  <si>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</si>
  <si>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</si>
  <si>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</si>
  <si>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</si>
  <si>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</si>
  <si>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</si>
  <si>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</si>
  <si>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</si>
  <si>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</si>
  <si>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</si>
  <si>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</si>
  <si>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</si>
  <si>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</si>
  <si>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</si>
  <si>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</si>
  <si>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</si>
  <si>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</si>
  <si>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</si>
  <si>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</si>
  <si>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</si>
  <si>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</si>
  <si>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</si>
  <si>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</si>
  <si>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</si>
  <si>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</si>
  <si>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</si>
  <si>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</si>
  <si>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</si>
  <si>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</si>
  <si>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</si>
  <si>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</si>
  <si>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</si>
  <si>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</si>
  <si>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</si>
  <si>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</si>
  <si>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</si>
  <si>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</si>
  <si>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</si>
  <si>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</si>
  <si>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</si>
  <si>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</si>
  <si>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</si>
  <si>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</si>
  <si>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</si>
  <si>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</si>
  <si>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</si>
  <si>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</si>
  <si>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</si>
  <si>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</si>
  <si>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</si>
  <si>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</si>
  <si>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</si>
  <si>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</si>
  <si>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</si>
  <si>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</si>
  <si>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</si>
  <si>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</si>
  <si>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</si>
  <si>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</si>
  <si>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</si>
  <si>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</si>
  <si>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</si>
  <si>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</si>
  <si>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</si>
  <si>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</si>
  <si>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</si>
  <si>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</si>
  <si>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</si>
  <si>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</si>
  <si>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</si>
  <si>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</si>
  <si>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</si>
  <si>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</si>
  <si>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</si>
  <si>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</si>
  <si>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</si>
  <si>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</si>
  <si>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</si>
  <si>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</si>
  <si>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</si>
  <si>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</si>
  <si>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</si>
  <si>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</si>
  <si>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</si>
  <si>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</si>
  <si>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</si>
  <si>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</si>
  <si>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</si>
  <si>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</si>
  <si>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</si>
  <si>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</si>
  <si>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</si>
  <si>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</si>
  <si>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</si>
  <si>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</si>
  <si>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</si>
  <si>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</si>
  <si>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</si>
  <si>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</si>
  <si>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</si>
  <si>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</si>
  <si>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</si>
  <si>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</si>
  <si>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</si>
  <si>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</si>
  <si>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</si>
  <si>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</si>
  <si>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</si>
  <si>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</si>
  <si>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</si>
  <si>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</si>
  <si>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</si>
  <si>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</si>
  <si>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</si>
  <si>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</si>
  <si>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</si>
  <si>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</si>
  <si>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</si>
  <si>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</si>
  <si>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</si>
  <si>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</si>
  <si>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</si>
  <si>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</si>
  <si>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</si>
  <si>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</si>
  <si>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</si>
  <si>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</si>
  <si>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</si>
  <si>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</si>
  <si>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</si>
  <si>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</si>
  <si>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</si>
  <si>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</si>
  <si>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</si>
  <si>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</si>
  <si>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</si>
  <si>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</si>
  <si>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</si>
  <si>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</si>
  <si>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</si>
  <si>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</si>
  <si>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</si>
  <si>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</si>
  <si>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</si>
  <si>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</si>
  <si>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</si>
  <si>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</si>
  <si>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</si>
  <si>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</si>
  <si>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</si>
  <si>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</si>
  <si>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</si>
  <si>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</si>
  <si>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</si>
  <si>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</si>
  <si>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</si>
  <si>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</si>
  <si>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</si>
  <si>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</si>
  <si>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</si>
  <si>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</si>
  <si>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</si>
  <si>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</si>
  <si>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</si>
  <si>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</si>
  <si>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</si>
  <si>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</si>
  <si>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</si>
  <si>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</si>
  <si>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</si>
  <si>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</si>
  <si>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</si>
  <si>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</si>
  <si>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</si>
  <si>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</si>
  <si>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</si>
  <si>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</si>
  <si>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</si>
  <si>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</si>
  <si>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</si>
  <si>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</si>
  <si>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</si>
  <si>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</si>
  <si>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</si>
  <si>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</si>
  <si>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</si>
  <si>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</si>
  <si>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</si>
  <si>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</si>
  <si>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</si>
  <si>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</si>
  <si>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</si>
  <si>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</si>
  <si>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</si>
  <si>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</si>
  <si>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</si>
  <si>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</si>
  <si>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</si>
  <si>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</si>
  <si>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</si>
  <si>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</si>
  <si>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</si>
  <si>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</si>
  <si>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</si>
  <si>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</si>
  <si>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</si>
  <si>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</si>
  <si>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</si>
  <si>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</si>
  <si>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</si>
  <si>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</si>
  <si>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</si>
  <si>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</si>
  <si>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</si>
  <si>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</si>
  <si>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</si>
  <si>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</si>
  <si>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</si>
  <si>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</si>
  <si>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</si>
  <si>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</si>
  <si>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</si>
  <si>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</si>
  <si>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</si>
  <si>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</si>
  <si>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</si>
  <si>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</si>
  <si>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</si>
  <si>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</si>
  <si>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</si>
  <si>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</si>
  <si>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</si>
  <si>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</si>
  <si>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</si>
  <si>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</si>
  <si>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</si>
  <si>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</si>
  <si>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</si>
  <si>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</si>
  <si>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</si>
  <si>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</si>
  <si>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</si>
  <si>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</si>
  <si>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</si>
  <si>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</si>
  <si>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</si>
  <si>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</si>
  <si>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</si>
  <si>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</si>
  <si>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</si>
  <si>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</si>
  <si>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</si>
  <si>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</si>
  <si>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</si>
  <si>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</si>
  <si>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</si>
  <si>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</si>
  <si>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</si>
  <si>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</si>
  <si>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</si>
  <si>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</si>
  <si>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</si>
  <si>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</si>
  <si>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</si>
  <si>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</si>
  <si>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</si>
  <si>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</si>
  <si>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</si>
  <si>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</si>
  <si>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</si>
  <si>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</si>
  <si>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</si>
  <si>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</si>
  <si>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</si>
  <si>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</si>
  <si>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</si>
  <si>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</si>
  <si>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</si>
  <si>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</si>
  <si>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</si>
  <si>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</si>
  <si>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</si>
  <si>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</si>
  <si>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</si>
  <si>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</si>
  <si>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</si>
  <si>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</si>
  <si>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</si>
  <si>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</si>
  <si>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</si>
  <si>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</si>
  <si>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</si>
  <si>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</si>
  <si>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</si>
  <si>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</si>
  <si>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</si>
  <si>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</si>
  <si>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</si>
  <si>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</si>
  <si>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</si>
  <si>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</si>
  <si>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</si>
  <si>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</si>
  <si>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</si>
  <si>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</si>
  <si>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</si>
  <si>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</si>
  <si>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</si>
  <si>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</si>
  <si>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</si>
  <si>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</si>
  <si>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</si>
  <si>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</si>
  <si>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</si>
  <si>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</si>
  <si>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</si>
  <si>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</si>
  <si>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</si>
  <si>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</si>
  <si>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</si>
  <si>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</si>
  <si>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</si>
  <si>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</si>
  <si>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</si>
  <si>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</si>
  <si>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</si>
  <si>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</si>
  <si>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</si>
  <si>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</si>
  <si>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</si>
  <si>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</si>
  <si>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</si>
  <si>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</si>
  <si>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</si>
  <si>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</si>
  <si>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</si>
  <si>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</si>
  <si>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</si>
  <si>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</si>
  <si>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</si>
  <si>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</si>
  <si>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</si>
  <si>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</si>
  <si>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</si>
  <si>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</si>
  <si>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</si>
  <si>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</si>
  <si>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</si>
  <si>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</si>
  <si>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</si>
  <si>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</si>
  <si>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</si>
  <si>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</si>
  <si>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</si>
  <si>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</si>
  <si>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</si>
  <si>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</si>
  <si>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</si>
  <si>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</si>
  <si>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</si>
  <si>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</si>
  <si>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</si>
  <si>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</si>
  <si>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</si>
  <si>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</si>
  <si>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</si>
  <si>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</si>
  <si>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</si>
  <si>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</si>
  <si>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</si>
  <si>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</si>
  <si>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</si>
  <si>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</si>
  <si>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2024-10-14</t>
  </si>
  <si>
    <t>Running age bests by Tom Bernhard</t>
  </si>
  <si>
    <t>Compiled by Alan Jones, alanjones@grests.com</t>
  </si>
  <si>
    <t>Proposed Female Road Running Age Standard factors 2025</t>
  </si>
  <si>
    <t>Proposed Female Road Age Standards in Seconds 2025</t>
  </si>
  <si>
    <t>Proposed Female Road Age Standards in H:MM:SS 2025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</si>
  <si>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</si>
  <si>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</si>
  <si>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</si>
  <si>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</si>
  <si>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</si>
  <si>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</si>
  <si>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</si>
  <si>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</si>
  <si>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</si>
  <si>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</si>
  <si>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</si>
  <si>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</si>
  <si>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</si>
  <si>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</si>
  <si>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</si>
  <si>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</si>
  <si>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</si>
  <si>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</si>
  <si>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</si>
  <si>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</si>
  <si>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</si>
  <si>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</si>
  <si>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</si>
  <si>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</si>
  <si>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</si>
  <si>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</si>
  <si>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</si>
  <si>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</si>
  <si>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</si>
  <si>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</si>
  <si>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</si>
  <si>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</si>
  <si>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</si>
  <si>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</si>
  <si>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</si>
  <si>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</si>
  <si>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</si>
  <si>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</si>
  <si>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</si>
  <si>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</si>
  <si>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</si>
  <si>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</si>
  <si>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</si>
  <si>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</si>
  <si>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</si>
  <si>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</si>
  <si>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</si>
  <si>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</si>
  <si>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</si>
  <si>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</si>
  <si>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</si>
  <si>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</si>
  <si>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</si>
  <si>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</si>
  <si>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</si>
  <si>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</si>
  <si>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</si>
  <si>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</si>
  <si>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</si>
  <si>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</si>
  <si>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</si>
  <si>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</si>
  <si>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</si>
  <si>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</si>
  <si>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</si>
  <si>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</si>
  <si>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</si>
  <si>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</si>
  <si>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</si>
  <si>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</si>
  <si>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</si>
  <si>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</si>
  <si>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</si>
  <si>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</si>
  <si>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</si>
  <si>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</si>
  <si>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</si>
  <si>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</si>
  <si>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</si>
  <si>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</si>
  <si>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</si>
  <si>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</si>
  <si>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</si>
  <si>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</si>
  <si>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</si>
  <si>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</si>
  <si>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</si>
  <si>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</si>
  <si>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</si>
  <si>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</si>
  <si>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</si>
  <si>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</si>
  <si>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</si>
  <si>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</si>
  <si>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</si>
  <si>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</si>
  <si>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</si>
  <si>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</si>
  <si>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</si>
  <si>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</si>
  <si>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</si>
  <si>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</si>
  <si>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</si>
  <si>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</si>
  <si>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</si>
  <si>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</si>
  <si>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</si>
  <si>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</si>
  <si>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</si>
  <si>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</si>
  <si>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</si>
  <si>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</si>
  <si>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</si>
  <si>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</si>
  <si>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</si>
  <si>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</si>
  <si>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</si>
  <si>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</si>
  <si>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</si>
  <si>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</si>
  <si>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</si>
  <si>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</si>
  <si>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</si>
  <si>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</si>
  <si>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</si>
  <si>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</si>
  <si>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</si>
  <si>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</si>
  <si>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</si>
  <si>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</si>
  <si>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</si>
  <si>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</si>
  <si>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</si>
  <si>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</si>
  <si>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</si>
  <si>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</si>
  <si>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</si>
  <si>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</si>
  <si>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</si>
  <si>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</si>
  <si>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</si>
  <si>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</si>
  <si>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</si>
  <si>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</si>
  <si>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</si>
  <si>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</si>
  <si>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</si>
  <si>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</si>
  <si>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</si>
  <si>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</si>
  <si>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</si>
  <si>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</si>
  <si>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</si>
  <si>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</si>
  <si>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</si>
  <si>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</si>
  <si>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</si>
  <si>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</si>
  <si>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</si>
  <si>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</si>
  <si>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</si>
  <si>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</si>
  <si>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</si>
  <si>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</si>
  <si>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</si>
  <si>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</si>
  <si>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</si>
  <si>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</si>
  <si>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</si>
  <si>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</si>
  <si>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</si>
  <si>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</si>
  <si>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</si>
  <si>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</si>
  <si>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</si>
  <si>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</si>
  <si>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</si>
  <si>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</si>
  <si>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</si>
  <si>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</si>
  <si>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</si>
  <si>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</si>
  <si>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</si>
  <si>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</si>
  <si>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</si>
  <si>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</si>
  <si>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</si>
  <si>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</si>
  <si>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</si>
  <si>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</si>
  <si>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</si>
  <si>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</si>
  <si>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</si>
  <si>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</si>
  <si>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</si>
  <si>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</si>
  <si>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</si>
  <si>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</si>
  <si>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</si>
  <si>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</si>
  <si>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</si>
  <si>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</si>
  <si>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</si>
  <si>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</si>
  <si>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</si>
  <si>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</si>
  <si>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</si>
  <si>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</si>
  <si>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</si>
  <si>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</si>
  <si>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</si>
  <si>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</si>
  <si>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</si>
  <si>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</si>
  <si>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</si>
  <si>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</si>
  <si>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</si>
  <si>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</si>
  <si>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</si>
  <si>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</si>
  <si>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</si>
  <si>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</si>
  <si>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</si>
  <si>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</si>
  <si>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</si>
  <si>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</si>
  <si>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</si>
  <si>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</si>
  <si>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</si>
  <si>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</si>
  <si>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</si>
  <si>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</si>
  <si>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</si>
  <si>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</si>
  <si>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</si>
  <si>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</si>
  <si>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</si>
  <si>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</si>
  <si>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</si>
  <si>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</si>
  <si>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</si>
  <si>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</si>
  <si>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</si>
  <si>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</si>
  <si>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</si>
  <si>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</si>
  <si>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</si>
  <si>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</si>
  <si>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</si>
  <si>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</si>
  <si>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</si>
  <si>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</si>
  <si>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</si>
  <si>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</si>
  <si>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</si>
  <si>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</si>
  <si>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</si>
  <si>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</si>
  <si>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</si>
  <si>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</si>
  <si>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</si>
  <si>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</si>
  <si>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</si>
  <si>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</si>
  <si>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</si>
  <si>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</si>
  <si>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</si>
  <si>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</si>
  <si>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</si>
  <si>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</si>
  <si>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</si>
  <si>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</si>
  <si>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</si>
  <si>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</si>
  <si>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</si>
  <si>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</si>
  <si>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</si>
  <si>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</si>
  <si>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</si>
  <si>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</si>
  <si>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</si>
  <si>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</si>
  <si>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</si>
  <si>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</si>
  <si>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</si>
  <si>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</si>
  <si>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</si>
  <si>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</si>
  <si>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</si>
  <si>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</si>
  <si>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</si>
  <si>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</si>
  <si>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</si>
  <si>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</si>
  <si>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</si>
  <si>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</si>
  <si>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</si>
  <si>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</si>
  <si>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</si>
  <si>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</si>
  <si>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</si>
  <si>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</si>
  <si>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</si>
  <si>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</si>
  <si>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</si>
  <si>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</si>
  <si>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</si>
  <si>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</si>
  <si>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</si>
  <si>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</si>
  <si>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2025 oposed factors</t>
  </si>
  <si>
    <t>Distance from 5K to 10 Mile</t>
  </si>
  <si>
    <t>Distance from 5K to Half</t>
  </si>
  <si>
    <t>Distance from 5K to 15K</t>
  </si>
  <si>
    <t>Distance from Half to 25K</t>
  </si>
  <si>
    <t>Distance from Half to 30K</t>
  </si>
  <si>
    <t>Distance from 5K to 12K</t>
  </si>
  <si>
    <t>Distance from 5K to 5 Mi</t>
  </si>
  <si>
    <t>Distance from 5K to 8K</t>
  </si>
  <si>
    <t>Distance from 5K to 4 Mile</t>
  </si>
  <si>
    <t>2020 Standards</t>
  </si>
  <si>
    <t>35:47</t>
  </si>
  <si>
    <t>34:31</t>
  </si>
  <si>
    <t>31:04</t>
  </si>
  <si>
    <t>31:06</t>
  </si>
  <si>
    <t>29:21</t>
  </si>
  <si>
    <t>29:55</t>
  </si>
  <si>
    <t>29:53</t>
  </si>
  <si>
    <t>27:40</t>
  </si>
  <si>
    <t>26:10</t>
  </si>
  <si>
    <t>26:16</t>
  </si>
  <si>
    <t>25:29</t>
  </si>
  <si>
    <t>25:52</t>
  </si>
  <si>
    <t>25:50</t>
  </si>
  <si>
    <t>24:58</t>
  </si>
  <si>
    <t>25:36</t>
  </si>
  <si>
    <t>25:09</t>
  </si>
  <si>
    <t>24:45</t>
  </si>
  <si>
    <t>24:28</t>
  </si>
  <si>
    <t>25:00</t>
  </si>
  <si>
    <t>24:48</t>
  </si>
  <si>
    <t>25:07</t>
  </si>
  <si>
    <t>24:43</t>
  </si>
  <si>
    <t>25:03</t>
  </si>
  <si>
    <t>24:36</t>
  </si>
  <si>
    <t>25:23</t>
  </si>
  <si>
    <t>25:43</t>
  </si>
  <si>
    <t>24:46</t>
  </si>
  <si>
    <t>26:17</t>
  </si>
  <si>
    <t>25:25</t>
  </si>
  <si>
    <t>26:19</t>
  </si>
  <si>
    <t>26:15</t>
  </si>
  <si>
    <t>25:40</t>
  </si>
  <si>
    <t>26:37</t>
  </si>
  <si>
    <t>26:26</t>
  </si>
  <si>
    <t>26:56</t>
  </si>
  <si>
    <t>28:19</t>
  </si>
  <si>
    <t>26:58</t>
  </si>
  <si>
    <t>25:56</t>
  </si>
  <si>
    <t>26:04</t>
  </si>
  <si>
    <t>26:41</t>
  </si>
  <si>
    <t>29:08</t>
  </si>
  <si>
    <t>28:24</t>
  </si>
  <si>
    <t>29:47</t>
  </si>
  <si>
    <t>29:32</t>
  </si>
  <si>
    <t>30:42</t>
  </si>
  <si>
    <t>30:09</t>
  </si>
  <si>
    <t>31:36</t>
  </si>
  <si>
    <t>31:10</t>
  </si>
  <si>
    <t>32:18</t>
  </si>
  <si>
    <t>31:39</t>
  </si>
  <si>
    <t>32:20</t>
  </si>
  <si>
    <t>34:00</t>
  </si>
  <si>
    <t>33:48</t>
  </si>
  <si>
    <t>35:29</t>
  </si>
  <si>
    <t>35:27</t>
  </si>
  <si>
    <t>37:02</t>
  </si>
  <si>
    <t>36:01</t>
  </si>
  <si>
    <t>36:37</t>
  </si>
  <si>
    <t>39:28</t>
  </si>
  <si>
    <t>37:57</t>
  </si>
  <si>
    <t>38:46</t>
  </si>
  <si>
    <t>41:41</t>
  </si>
  <si>
    <t>40:23</t>
  </si>
  <si>
    <t>43:00</t>
  </si>
  <si>
    <t>45:45</t>
  </si>
  <si>
    <t>44:54</t>
  </si>
  <si>
    <t>43:49</t>
  </si>
  <si>
    <t>42:34</t>
  </si>
  <si>
    <t>48:46</t>
  </si>
  <si>
    <t>50:55</t>
  </si>
  <si>
    <t>57:11</t>
  </si>
  <si>
    <t>55:25</t>
  </si>
  <si>
    <t>Belmar NJ USA</t>
  </si>
  <si>
    <t>Summer</t>
  </si>
  <si>
    <t xml:space="preserve">Wilson </t>
  </si>
  <si>
    <t>Brea Classic 8K</t>
  </si>
  <si>
    <t>Brea CA USA</t>
  </si>
  <si>
    <t xml:space="preserve">Crum </t>
  </si>
  <si>
    <t>Olympia WA USA</t>
  </si>
  <si>
    <t>Glendale AZ USA</t>
  </si>
  <si>
    <t>Hannah</t>
  </si>
  <si>
    <t xml:space="preserve">Reed </t>
  </si>
  <si>
    <t>Bishop GA USA</t>
  </si>
  <si>
    <t>Lindsey</t>
  </si>
  <si>
    <t xml:space="preserve">Scherf </t>
  </si>
  <si>
    <t>Spring Lake NJ USA</t>
  </si>
  <si>
    <t>Tess</t>
  </si>
  <si>
    <t xml:space="preserve">vanRandtwijk </t>
  </si>
  <si>
    <t>Apeldoorn NED</t>
  </si>
  <si>
    <t>Camille</t>
  </si>
  <si>
    <t xml:space="preserve">Napier </t>
  </si>
  <si>
    <t xml:space="preserve">Craven </t>
  </si>
  <si>
    <t>Columbus OH USA</t>
  </si>
  <si>
    <t>Barsosio Chepkemboi</t>
  </si>
  <si>
    <t>Toronto ON CAN</t>
  </si>
  <si>
    <t xml:space="preserve">Ondeyo </t>
  </si>
  <si>
    <t>Kingsport TN USA</t>
  </si>
  <si>
    <t>Hawa</t>
  </si>
  <si>
    <t>Hussein Hamis</t>
  </si>
  <si>
    <t>Balmoral SCO</t>
  </si>
  <si>
    <t>Richmond VA USA</t>
  </si>
  <si>
    <t>New Orleans LA USA</t>
  </si>
  <si>
    <t>Chemweno Cheruiyot</t>
  </si>
  <si>
    <t>Cartaxo POR</t>
  </si>
  <si>
    <t>Asmae</t>
  </si>
  <si>
    <t xml:space="preserve">Leghzaoui </t>
  </si>
  <si>
    <t>MAR</t>
  </si>
  <si>
    <t>Betsy</t>
  </si>
  <si>
    <t xml:space="preserve">Saina </t>
  </si>
  <si>
    <t>Lynn</t>
  </si>
  <si>
    <t xml:space="preserve">Jennings </t>
  </si>
  <si>
    <t>Jemima</t>
  </si>
  <si>
    <t>Sumgong Chelegat</t>
  </si>
  <si>
    <t>Shamrock Shuffle 8K</t>
  </si>
  <si>
    <t xml:space="preserve">Matveyeva </t>
  </si>
  <si>
    <t>Bielefeld GER</t>
  </si>
  <si>
    <t>BAA 10k (8K split)</t>
  </si>
  <si>
    <t>Attleboro MA USA</t>
  </si>
  <si>
    <t xml:space="preserve">Marconi </t>
  </si>
  <si>
    <t>Cantagrillo ITA</t>
  </si>
  <si>
    <t xml:space="preserve">Wysocki </t>
  </si>
  <si>
    <t>Newport Beach CA USA</t>
  </si>
  <si>
    <t>Lyubov</t>
  </si>
  <si>
    <t xml:space="preserve">Kremlyova </t>
  </si>
  <si>
    <t>Shamrock 8K</t>
  </si>
  <si>
    <t>Virginia Beach VA USA</t>
  </si>
  <si>
    <t>BAA 10K, 8K split</t>
  </si>
  <si>
    <t>Philadelphia Marathon 8K</t>
  </si>
  <si>
    <t xml:space="preserve">Arsenault </t>
  </si>
  <si>
    <t>Saanichton BC CAN</t>
  </si>
  <si>
    <t>Bridge of Earn SCO</t>
  </si>
  <si>
    <t>Auch FRA</t>
  </si>
  <si>
    <t>Red Bank NJ USA</t>
  </si>
  <si>
    <t>Leslie</t>
  </si>
  <si>
    <t xml:space="preserve">Black </t>
  </si>
  <si>
    <t xml:space="preserve">Fifty-Plus 8K </t>
  </si>
  <si>
    <t>Palo Alto CA USA</t>
  </si>
  <si>
    <t>Poland Spring Marathon Kickoff 5 Mile</t>
  </si>
  <si>
    <t>USATF Masters 8 km Championships</t>
  </si>
  <si>
    <t>Brea, CA</t>
  </si>
  <si>
    <t>Harborough ENG</t>
  </si>
  <si>
    <t>Wellingborough ENG</t>
  </si>
  <si>
    <t>Philidelphia Marathon, 8K</t>
  </si>
  <si>
    <t>France Run 8K</t>
  </si>
  <si>
    <t>Law Week 8k</t>
  </si>
  <si>
    <t xml:space="preserve">Machala </t>
  </si>
  <si>
    <t>Rollins</t>
  </si>
  <si>
    <t>Blisworth ENG</t>
  </si>
  <si>
    <t>Bobby Doyle 5 Mile</t>
  </si>
  <si>
    <t>Narragansett RI</t>
  </si>
  <si>
    <t>Leeds ENG</t>
  </si>
  <si>
    <t>Karin</t>
  </si>
  <si>
    <t xml:space="preserve">Vickars </t>
  </si>
  <si>
    <t>Sale ENG</t>
  </si>
  <si>
    <t>Richmond BC CAN</t>
  </si>
  <si>
    <t>Folzer</t>
  </si>
  <si>
    <t>Moorestown Rotary 8k</t>
  </si>
  <si>
    <t>Moorestown, NJ</t>
  </si>
  <si>
    <t>USATF Masters 8K Championships</t>
  </si>
  <si>
    <t>Virginia Beach, VA</t>
  </si>
  <si>
    <t>Lois Ann</t>
  </si>
  <si>
    <t>Gilmore</t>
  </si>
  <si>
    <t>Jungle Jog 8K</t>
  </si>
  <si>
    <t>Miami, FL</t>
  </si>
  <si>
    <t>Ethel</t>
  </si>
  <si>
    <t>Furne</t>
  </si>
  <si>
    <t>St. Patrick's Day 8K</t>
  </si>
  <si>
    <t>Saint Paul, MN</t>
  </si>
  <si>
    <t>Fools Five</t>
  </si>
  <si>
    <t>Lewiston, MN</t>
  </si>
  <si>
    <t>Elizabeth Festival 8K</t>
  </si>
  <si>
    <t>2025 Proposed factor</t>
  </si>
  <si>
    <t>2025 Proposed Standard</t>
  </si>
  <si>
    <t>u</t>
  </si>
  <si>
    <t>AGE</t>
  </si>
  <si>
    <t>World Road Running Championships</t>
  </si>
  <si>
    <t>Riga, Latvia</t>
  </si>
  <si>
    <t>Andrea</t>
  </si>
  <si>
    <t>Pomaranski</t>
  </si>
  <si>
    <t>Liberty Mile</t>
  </si>
  <si>
    <t>Pittsburgh, PA</t>
  </si>
  <si>
    <t>5:29</t>
  </si>
  <si>
    <t>Tammy</t>
  </si>
  <si>
    <t>Nowik</t>
  </si>
  <si>
    <t>USATF Masters 1 Mile Championships</t>
  </si>
  <si>
    <t>Flint, MI</t>
  </si>
  <si>
    <t>4:53</t>
  </si>
  <si>
    <t>Sonja</t>
  </si>
  <si>
    <t>Friend-Uhl</t>
  </si>
  <si>
    <t>Dot</t>
  </si>
  <si>
    <t>McMahan</t>
  </si>
  <si>
    <t>Clawson Firecracker Mile</t>
  </si>
  <si>
    <t>Clawson, MI</t>
  </si>
  <si>
    <t>5:07</t>
  </si>
  <si>
    <t>Navy Mile</t>
  </si>
  <si>
    <t>5:06</t>
  </si>
  <si>
    <t>5:45</t>
  </si>
  <si>
    <t>Veneziano</t>
  </si>
  <si>
    <t>5:18</t>
  </si>
  <si>
    <t>Doreen</t>
  </si>
  <si>
    <t>McCoubrie</t>
  </si>
  <si>
    <t>USATF Masters Mile Championships</t>
  </si>
  <si>
    <t>Indianapolis, IN</t>
  </si>
  <si>
    <t>Danville, CA</t>
  </si>
  <si>
    <t>5:35</t>
  </si>
  <si>
    <t>Marisa</t>
  </si>
  <si>
    <t xml:space="preserve">Sutera Strange </t>
  </si>
  <si>
    <t>5:32</t>
  </si>
  <si>
    <t>Roxanne</t>
  </si>
  <si>
    <t>Springer</t>
  </si>
  <si>
    <t>La Burt</t>
  </si>
  <si>
    <t>5:44</t>
  </si>
  <si>
    <t>Deb</t>
  </si>
  <si>
    <t>Torneden</t>
  </si>
  <si>
    <t>Simmons</t>
  </si>
  <si>
    <t>Mile of Truth</t>
  </si>
  <si>
    <t>5:48</t>
  </si>
  <si>
    <t>6:08</t>
  </si>
  <si>
    <t>6:06</t>
  </si>
  <si>
    <t>Run One San Jacinto, Mile</t>
  </si>
  <si>
    <t>La Porte, TX</t>
  </si>
  <si>
    <t>Nora</t>
  </si>
  <si>
    <t>Cary</t>
  </si>
  <si>
    <t>Big Bang Mile</t>
  </si>
  <si>
    <t>Holmdel, NJ</t>
  </si>
  <si>
    <t>USATF Master's 1 Mile Championships</t>
  </si>
  <si>
    <t>6:39</t>
  </si>
  <si>
    <t>6:38</t>
  </si>
  <si>
    <t>Jeanette</t>
  </si>
  <si>
    <t>Groesz</t>
  </si>
  <si>
    <t>10:15</t>
  </si>
  <si>
    <t>Catherine</t>
  </si>
  <si>
    <t>Radle</t>
  </si>
  <si>
    <t>Joann</t>
  </si>
  <si>
    <t xml:space="preserve">Hall </t>
  </si>
  <si>
    <t>NoCal Run, Mile</t>
  </si>
  <si>
    <t>Redding, CA</t>
  </si>
  <si>
    <t>USATF NE Road Mile</t>
  </si>
  <si>
    <t>Hopkinton, MA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</si>
  <si>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</si>
  <si>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</si>
  <si>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</si>
  <si>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</si>
  <si>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</si>
  <si>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</si>
  <si>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</si>
  <si>
    <t>Mikkelsen</t>
  </si>
  <si>
    <t>Belanger</t>
  </si>
  <si>
    <t>Bernhard 2020 Single Age Bests</t>
  </si>
  <si>
    <t>H Mar</t>
  </si>
  <si>
    <t>WMA World Outdoor Championships, H Mar</t>
  </si>
  <si>
    <t>Gothenburd SWE</t>
  </si>
  <si>
    <t>Female Road Mile</t>
  </si>
  <si>
    <t>4:41</t>
  </si>
  <si>
    <t>Weltiji</t>
  </si>
  <si>
    <t xml:space="preserve">Diribe 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</si>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</sst>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[$-F400]h:mm:ss\ AM/PM"/>
    <numFmt numFmtId="174" formatCode="mm/dd/yyyy"/>
    <numFmt numFmtId="175" formatCode="[h]:mm:ss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12529"/>
      <name val="-apple-system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Cambria"/>
      <family val="2"/>
      <scheme val="major"/>
    </font>
    <font>
      <sz val="10"/>
      <color rgb="FF000000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0"/>
      </patternFill>
    </fill>
  </fills>
  <borders count="30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" fillId="0" borderId="0"/>
    <xf numFmtId="0" fontId="5" fillId="0" borderId="0"/>
    <xf numFmtId="0" fontId="26" fillId="0" borderId="0"/>
  </cellStyleXfs>
  <cellXfs count="4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" fontId="2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2" fontId="4" fillId="0" borderId="0" xfId="0" applyNumberFormat="1" applyFont="1" applyAlignment="1">
      <alignment horizontal="center"/>
    </xf>
    <xf numFmtId="168" fontId="2" fillId="0" borderId="0" xfId="0" applyNumberFormat="1" applyFont="1"/>
    <xf numFmtId="168" fontId="2" fillId="0" borderId="1" xfId="0" applyNumberFormat="1" applyFont="1" applyBorder="1"/>
    <xf numFmtId="164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2" fontId="6" fillId="0" borderId="0" xfId="0" applyNumberFormat="1" applyFont="1" applyAlignment="1">
      <alignment horizontal="right"/>
    </xf>
    <xf numFmtId="169" fontId="2" fillId="0" borderId="0" xfId="0" applyNumberFormat="1" applyFont="1"/>
    <xf numFmtId="168" fontId="6" fillId="0" borderId="0" xfId="0" applyNumberFormat="1" applyFont="1" applyAlignment="1">
      <alignment horizontal="center" vertical="top" wrapText="1"/>
    </xf>
    <xf numFmtId="168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166" fontId="8" fillId="0" borderId="0" xfId="0" applyNumberFormat="1" applyFont="1"/>
    <xf numFmtId="167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21" fontId="2" fillId="0" borderId="0" xfId="0" applyNumberFormat="1" applyFont="1"/>
    <xf numFmtId="0" fontId="4" fillId="3" borderId="0" xfId="0" applyFont="1" applyFill="1"/>
    <xf numFmtId="167" fontId="5" fillId="3" borderId="0" xfId="0" applyNumberFormat="1" applyFont="1" applyFill="1"/>
    <xf numFmtId="167" fontId="5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164" fontId="5" fillId="3" borderId="3" xfId="0" applyNumberFormat="1" applyFont="1" applyFill="1" applyBorder="1" applyAlignment="1">
      <alignment horizontal="center"/>
    </xf>
    <xf numFmtId="0" fontId="5" fillId="0" borderId="5" xfId="0" applyFont="1" applyBorder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2" fillId="0" borderId="5" xfId="0" applyFont="1" applyBorder="1"/>
    <xf numFmtId="1" fontId="4" fillId="0" borderId="6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5" fillId="0" borderId="6" xfId="0" applyFont="1" applyBorder="1"/>
    <xf numFmtId="164" fontId="2" fillId="0" borderId="7" xfId="0" applyNumberFormat="1" applyFont="1" applyBorder="1"/>
    <xf numFmtId="167" fontId="2" fillId="0" borderId="7" xfId="0" applyNumberFormat="1" applyFont="1" applyBorder="1"/>
    <xf numFmtId="2" fontId="2" fillId="0" borderId="7" xfId="0" applyNumberFormat="1" applyFont="1" applyBorder="1"/>
    <xf numFmtId="1" fontId="2" fillId="0" borderId="7" xfId="0" applyNumberFormat="1" applyFont="1" applyBorder="1"/>
    <xf numFmtId="167" fontId="8" fillId="0" borderId="0" xfId="0" applyNumberFormat="1" applyFont="1"/>
    <xf numFmtId="167" fontId="0" fillId="0" borderId="0" xfId="0" applyNumberFormat="1"/>
    <xf numFmtId="166" fontId="12" fillId="0" borderId="0" xfId="0" applyNumberFormat="1" applyFont="1"/>
    <xf numFmtId="165" fontId="12" fillId="0" borderId="0" xfId="0" applyNumberFormat="1" applyFont="1"/>
    <xf numFmtId="0" fontId="12" fillId="0" borderId="0" xfId="0" applyFont="1" applyAlignment="1">
      <alignment horizontal="center" vertical="top" wrapText="1"/>
    </xf>
    <xf numFmtId="0" fontId="12" fillId="0" borderId="0" xfId="0" applyFont="1"/>
    <xf numFmtId="170" fontId="2" fillId="0" borderId="0" xfId="0" applyNumberFormat="1" applyFont="1"/>
    <xf numFmtId="168" fontId="12" fillId="0" borderId="0" xfId="0" applyNumberFormat="1" applyFont="1"/>
    <xf numFmtId="0" fontId="13" fillId="0" borderId="0" xfId="0" applyFont="1" applyAlignment="1">
      <alignment vertical="top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top" wrapText="1"/>
    </xf>
    <xf numFmtId="0" fontId="15" fillId="0" borderId="0" xfId="0" applyFont="1"/>
    <xf numFmtId="166" fontId="14" fillId="0" borderId="0" xfId="0" applyNumberFormat="1" applyFont="1"/>
    <xf numFmtId="167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top" wrapText="1"/>
    </xf>
    <xf numFmtId="0" fontId="15" fillId="3" borderId="0" xfId="0" applyFont="1" applyFill="1"/>
    <xf numFmtId="169" fontId="15" fillId="0" borderId="0" xfId="0" applyNumberFormat="1" applyFont="1"/>
    <xf numFmtId="164" fontId="15" fillId="0" borderId="0" xfId="0" applyNumberFormat="1" applyFont="1"/>
    <xf numFmtId="167" fontId="16" fillId="3" borderId="0" xfId="0" applyNumberFormat="1" applyFont="1" applyFill="1"/>
    <xf numFmtId="168" fontId="15" fillId="0" borderId="0" xfId="0" applyNumberFormat="1" applyFont="1"/>
    <xf numFmtId="0" fontId="16" fillId="0" borderId="0" xfId="0" applyFont="1"/>
    <xf numFmtId="46" fontId="5" fillId="2" borderId="2" xfId="0" applyNumberFormat="1" applyFont="1" applyFill="1" applyBorder="1" applyAlignment="1">
      <alignment horizontal="center"/>
    </xf>
    <xf numFmtId="46" fontId="5" fillId="2" borderId="3" xfId="0" applyNumberFormat="1" applyFont="1" applyFill="1" applyBorder="1" applyAlignment="1">
      <alignment horizontal="center"/>
    </xf>
    <xf numFmtId="46" fontId="5" fillId="0" borderId="6" xfId="0" applyNumberFormat="1" applyFont="1" applyBorder="1" applyAlignment="1">
      <alignment horizontal="center"/>
    </xf>
    <xf numFmtId="46" fontId="5" fillId="2" borderId="6" xfId="0" applyNumberFormat="1" applyFont="1" applyFill="1" applyBorder="1" applyAlignment="1">
      <alignment horizontal="center"/>
    </xf>
    <xf numFmtId="168" fontId="4" fillId="0" borderId="0" xfId="0" applyNumberFormat="1" applyFont="1"/>
    <xf numFmtId="0" fontId="2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wrapText="1"/>
    </xf>
    <xf numFmtId="168" fontId="2" fillId="5" borderId="9" xfId="0" applyNumberFormat="1" applyFont="1" applyFill="1" applyBorder="1"/>
    <xf numFmtId="0" fontId="8" fillId="6" borderId="8" xfId="0" applyFont="1" applyFill="1" applyBorder="1" applyAlignment="1">
      <alignment horizontal="center" wrapText="1"/>
    </xf>
    <xf numFmtId="0" fontId="2" fillId="6" borderId="8" xfId="0" applyFont="1" applyFill="1" applyBorder="1"/>
    <xf numFmtId="168" fontId="2" fillId="6" borderId="8" xfId="0" applyNumberFormat="1" applyFont="1" applyFill="1" applyBorder="1"/>
    <xf numFmtId="49" fontId="21" fillId="0" borderId="0" xfId="0" applyNumberFormat="1" applyFont="1"/>
    <xf numFmtId="0" fontId="21" fillId="0" borderId="0" xfId="0" applyFont="1"/>
    <xf numFmtId="14" fontId="21" fillId="0" borderId="0" xfId="0" applyNumberFormat="1" applyFont="1" applyAlignment="1">
      <alignment horizontal="left"/>
    </xf>
    <xf numFmtId="0" fontId="11" fillId="0" borderId="0" xfId="0" applyFont="1"/>
    <xf numFmtId="167" fontId="11" fillId="0" borderId="0" xfId="0" applyNumberFormat="1" applyFont="1"/>
    <xf numFmtId="49" fontId="17" fillId="0" borderId="0" xfId="0" applyNumberFormat="1" applyFont="1" applyAlignment="1">
      <alignment horizontal="left"/>
    </xf>
    <xf numFmtId="49" fontId="17" fillId="7" borderId="0" xfId="0" applyNumberFormat="1" applyFont="1" applyFill="1" applyAlignment="1">
      <alignment horizontal="left"/>
    </xf>
    <xf numFmtId="171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wrapText="1"/>
    </xf>
    <xf numFmtId="14" fontId="22" fillId="0" borderId="0" xfId="0" applyNumberFormat="1" applyFont="1" applyAlignment="1">
      <alignment wrapText="1"/>
    </xf>
    <xf numFmtId="14" fontId="22" fillId="0" borderId="0" xfId="0" applyNumberFormat="1" applyFont="1" applyAlignment="1">
      <alignment horizontal="left" wrapText="1"/>
    </xf>
    <xf numFmtId="0" fontId="2" fillId="8" borderId="8" xfId="0" applyFont="1" applyFill="1" applyBorder="1"/>
    <xf numFmtId="168" fontId="2" fillId="8" borderId="8" xfId="0" applyNumberFormat="1" applyFont="1" applyFill="1" applyBorder="1"/>
    <xf numFmtId="49" fontId="17" fillId="0" borderId="0" xfId="0" applyNumberFormat="1" applyFont="1"/>
    <xf numFmtId="0" fontId="19" fillId="0" borderId="0" xfId="0" applyFont="1"/>
    <xf numFmtId="0" fontId="17" fillId="0" borderId="0" xfId="0" applyFont="1" applyAlignment="1">
      <alignment wrapText="1"/>
    </xf>
    <xf numFmtId="49" fontId="22" fillId="0" borderId="0" xfId="0" applyNumberFormat="1" applyFont="1"/>
    <xf numFmtId="14" fontId="22" fillId="0" borderId="0" xfId="0" applyNumberFormat="1" applyFont="1" applyAlignment="1">
      <alignment horizontal="left"/>
    </xf>
    <xf numFmtId="0" fontId="22" fillId="0" borderId="0" xfId="0" applyFont="1"/>
    <xf numFmtId="172" fontId="17" fillId="0" borderId="0" xfId="0" applyNumberFormat="1" applyFont="1" applyAlignment="1">
      <alignment horizontal="left"/>
    </xf>
    <xf numFmtId="172" fontId="2" fillId="0" borderId="0" xfId="0" applyNumberFormat="1" applyFont="1"/>
    <xf numFmtId="0" fontId="17" fillId="7" borderId="0" xfId="0" applyFont="1" applyFill="1" applyAlignment="1">
      <alignment horizontal="left"/>
    </xf>
    <xf numFmtId="0" fontId="18" fillId="0" borderId="0" xfId="1" applyNumberFormat="1" applyBorder="1" applyAlignment="1"/>
    <xf numFmtId="14" fontId="8" fillId="0" borderId="0" xfId="0" applyNumberFormat="1" applyFont="1"/>
    <xf numFmtId="15" fontId="8" fillId="0" borderId="0" xfId="0" applyNumberFormat="1" applyFont="1"/>
    <xf numFmtId="17" fontId="20" fillId="0" borderId="0" xfId="0" quotePrefix="1" applyNumberFormat="1" applyFont="1"/>
    <xf numFmtId="0" fontId="20" fillId="0" borderId="0" xfId="0" applyFont="1"/>
    <xf numFmtId="0" fontId="5" fillId="2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21" fontId="5" fillId="0" borderId="12" xfId="0" applyNumberFormat="1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10" fontId="2" fillId="0" borderId="0" xfId="0" applyNumberFormat="1" applyFont="1"/>
    <xf numFmtId="0" fontId="10" fillId="0" borderId="2" xfId="0" applyFont="1" applyBorder="1" applyAlignment="1">
      <alignment horizontal="left"/>
    </xf>
    <xf numFmtId="46" fontId="5" fillId="2" borderId="1" xfId="0" applyNumberFormat="1" applyFont="1" applyFill="1" applyBorder="1" applyAlignment="1">
      <alignment horizontal="center"/>
    </xf>
    <xf numFmtId="46" fontId="5" fillId="0" borderId="12" xfId="0" applyNumberFormat="1" applyFont="1" applyBorder="1" applyAlignment="1">
      <alignment horizontal="center"/>
    </xf>
    <xf numFmtId="46" fontId="5" fillId="2" borderId="12" xfId="0" applyNumberFormat="1" applyFont="1" applyFill="1" applyBorder="1" applyAlignment="1">
      <alignment horizontal="center"/>
    </xf>
    <xf numFmtId="46" fontId="5" fillId="2" borderId="16" xfId="0" applyNumberFormat="1" applyFont="1" applyFill="1" applyBorder="1" applyAlignment="1">
      <alignment horizontal="center"/>
    </xf>
    <xf numFmtId="46" fontId="5" fillId="0" borderId="17" xfId="0" applyNumberFormat="1" applyFont="1" applyBorder="1" applyAlignment="1">
      <alignment horizontal="center"/>
    </xf>
    <xf numFmtId="46" fontId="5" fillId="2" borderId="17" xfId="0" applyNumberFormat="1" applyFont="1" applyFill="1" applyBorder="1" applyAlignment="1">
      <alignment horizontal="center"/>
    </xf>
    <xf numFmtId="46" fontId="5" fillId="2" borderId="18" xfId="0" applyNumberFormat="1" applyFont="1" applyFill="1" applyBorder="1" applyAlignment="1">
      <alignment horizontal="center"/>
    </xf>
    <xf numFmtId="0" fontId="8" fillId="0" borderId="1" xfId="0" applyFont="1" applyBorder="1"/>
    <xf numFmtId="0" fontId="18" fillId="0" borderId="0" xfId="1" applyNumberFormat="1" applyAlignment="1"/>
    <xf numFmtId="0" fontId="8" fillId="0" borderId="0" xfId="0" quotePrefix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9" fontId="21" fillId="7" borderId="0" xfId="0" applyNumberFormat="1" applyFont="1" applyFill="1"/>
    <xf numFmtId="0" fontId="21" fillId="7" borderId="0" xfId="0" applyFont="1" applyFill="1" applyAlignment="1">
      <alignment horizontal="left"/>
    </xf>
    <xf numFmtId="0" fontId="24" fillId="0" borderId="0" xfId="0" applyFont="1"/>
    <xf numFmtId="49" fontId="21" fillId="0" borderId="0" xfId="0" applyNumberFormat="1" applyFont="1" applyAlignment="1">
      <alignment wrapText="1"/>
    </xf>
    <xf numFmtId="173" fontId="21" fillId="0" borderId="0" xfId="0" applyNumberFormat="1" applyFont="1" applyAlignment="1">
      <alignment horizontal="right"/>
    </xf>
    <xf numFmtId="173" fontId="21" fillId="7" borderId="0" xfId="0" applyNumberFormat="1" applyFont="1" applyFill="1" applyAlignment="1">
      <alignment horizontal="right"/>
    </xf>
    <xf numFmtId="173" fontId="2" fillId="7" borderId="0" xfId="0" applyNumberFormat="1" applyFont="1" applyFill="1" applyAlignment="1">
      <alignment horizontal="right"/>
    </xf>
    <xf numFmtId="173" fontId="2" fillId="0" borderId="0" xfId="0" applyNumberFormat="1" applyFont="1" applyAlignment="1">
      <alignment horizontal="right"/>
    </xf>
    <xf numFmtId="0" fontId="30" fillId="0" borderId="0" xfId="0" applyFont="1"/>
    <xf numFmtId="14" fontId="17" fillId="7" borderId="0" xfId="0" applyNumberFormat="1" applyFont="1" applyFill="1" applyAlignment="1">
      <alignment horizontal="left"/>
    </xf>
    <xf numFmtId="0" fontId="19" fillId="7" borderId="0" xfId="0" applyFont="1" applyFill="1"/>
    <xf numFmtId="49" fontId="17" fillId="0" borderId="0" xfId="0" applyNumberFormat="1" applyFont="1" applyAlignment="1">
      <alignment wrapText="1"/>
    </xf>
    <xf numFmtId="49" fontId="19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49" fontId="19" fillId="0" borderId="0" xfId="0" applyNumberFormat="1" applyFont="1"/>
    <xf numFmtId="49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0" fontId="21" fillId="0" borderId="0" xfId="0" applyNumberFormat="1" applyFont="1" applyAlignment="1">
      <alignment horizontal="right"/>
    </xf>
    <xf numFmtId="49" fontId="2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1" fillId="7" borderId="0" xfId="0" applyNumberFormat="1" applyFont="1" applyFill="1" applyAlignment="1">
      <alignment horizontal="left"/>
    </xf>
    <xf numFmtId="171" fontId="21" fillId="7" borderId="0" xfId="0" applyNumberFormat="1" applyFont="1" applyFill="1" applyAlignment="1">
      <alignment horizontal="left"/>
    </xf>
    <xf numFmtId="0" fontId="24" fillId="7" borderId="0" xfId="0" applyFont="1" applyFill="1" applyAlignment="1">
      <alignment horizontal="left"/>
    </xf>
    <xf numFmtId="49" fontId="24" fillId="0" borderId="0" xfId="0" applyNumberFormat="1" applyFont="1"/>
    <xf numFmtId="171" fontId="24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  <xf numFmtId="172" fontId="21" fillId="0" borderId="0" xfId="0" applyNumberFormat="1" applyFont="1" applyAlignment="1">
      <alignment horizontal="left"/>
    </xf>
    <xf numFmtId="49" fontId="21" fillId="7" borderId="0" xfId="0" applyNumberFormat="1" applyFont="1" applyFill="1" applyAlignment="1">
      <alignment horizontal="right"/>
    </xf>
    <xf numFmtId="0" fontId="17" fillId="0" borderId="0" xfId="0" applyFont="1"/>
    <xf numFmtId="49" fontId="20" fillId="0" borderId="0" xfId="0" applyNumberFormat="1" applyFont="1" applyAlignment="1">
      <alignment wrapText="1"/>
    </xf>
    <xf numFmtId="14" fontId="21" fillId="7" borderId="0" xfId="0" applyNumberFormat="1" applyFont="1" applyFill="1" applyAlignment="1">
      <alignment horizontal="left"/>
    </xf>
    <xf numFmtId="0" fontId="24" fillId="7" borderId="0" xfId="0" applyFont="1" applyFill="1"/>
    <xf numFmtId="49" fontId="2" fillId="0" borderId="0" xfId="0" applyNumberFormat="1" applyFont="1"/>
    <xf numFmtId="49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wrapText="1"/>
    </xf>
    <xf numFmtId="14" fontId="20" fillId="0" borderId="0" xfId="0" applyNumberFormat="1" applyFont="1" applyAlignment="1">
      <alignment horizontal="left" wrapText="1"/>
    </xf>
    <xf numFmtId="49" fontId="24" fillId="7" borderId="0" xfId="0" applyNumberFormat="1" applyFont="1" applyFill="1"/>
    <xf numFmtId="171" fontId="24" fillId="7" borderId="0" xfId="0" applyNumberFormat="1" applyFont="1" applyFill="1" applyAlignment="1">
      <alignment horizontal="left"/>
    </xf>
    <xf numFmtId="21" fontId="2" fillId="0" borderId="0" xfId="0" applyNumberFormat="1" applyFont="1" applyAlignment="1">
      <alignment horizontal="right"/>
    </xf>
    <xf numFmtId="49" fontId="24" fillId="0" borderId="0" xfId="0" applyNumberFormat="1" applyFont="1" applyAlignment="1">
      <alignment horizontal="right"/>
    </xf>
    <xf numFmtId="49" fontId="24" fillId="7" borderId="0" xfId="0" applyNumberFormat="1" applyFont="1" applyFill="1" applyAlignment="1">
      <alignment horizontal="right"/>
    </xf>
    <xf numFmtId="0" fontId="2" fillId="0" borderId="21" xfId="0" applyFont="1" applyBorder="1"/>
    <xf numFmtId="0" fontId="20" fillId="0" borderId="0" xfId="0" applyFont="1" applyAlignment="1">
      <alignment wrapText="1"/>
    </xf>
    <xf numFmtId="0" fontId="2" fillId="0" borderId="21" xfId="0" applyFont="1" applyBorder="1" applyAlignment="1">
      <alignment horizontal="right"/>
    </xf>
    <xf numFmtId="166" fontId="12" fillId="0" borderId="0" xfId="0" applyNumberFormat="1" applyFont="1" applyProtection="1">
      <protection locked="0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Protection="1"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Protection="1">
      <protection locked="0"/>
    </xf>
    <xf numFmtId="168" fontId="12" fillId="0" borderId="0" xfId="0" applyNumberFormat="1" applyFont="1" applyProtection="1">
      <protection locked="0"/>
    </xf>
    <xf numFmtId="167" fontId="8" fillId="0" borderId="0" xfId="0" applyNumberFormat="1" applyFont="1" applyAlignment="1" applyProtection="1">
      <alignment horizontal="right"/>
      <protection locked="0"/>
    </xf>
    <xf numFmtId="164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right" wrapText="1"/>
      <protection locked="0"/>
    </xf>
    <xf numFmtId="0" fontId="8" fillId="5" borderId="8" xfId="0" applyFont="1" applyFill="1" applyBorder="1" applyAlignment="1" applyProtection="1">
      <alignment horizontal="center" wrapText="1"/>
      <protection locked="0"/>
    </xf>
    <xf numFmtId="0" fontId="8" fillId="6" borderId="8" xfId="0" applyFont="1" applyFill="1" applyBorder="1" applyAlignment="1" applyProtection="1">
      <alignment horizontal="center" wrapText="1"/>
      <protection locked="0"/>
    </xf>
    <xf numFmtId="0" fontId="8" fillId="0" borderId="8" xfId="0" applyFont="1" applyBorder="1" applyAlignment="1" applyProtection="1">
      <alignment horizontal="center" wrapText="1"/>
      <protection locked="0"/>
    </xf>
    <xf numFmtId="49" fontId="20" fillId="0" borderId="8" xfId="0" applyNumberFormat="1" applyFont="1" applyBorder="1" applyAlignment="1" applyProtection="1">
      <alignment horizontal="left"/>
      <protection locked="0"/>
    </xf>
    <xf numFmtId="14" fontId="20" fillId="0" borderId="8" xfId="0" applyNumberFormat="1" applyFont="1" applyBorder="1" applyAlignment="1" applyProtection="1">
      <alignment horizontal="left"/>
      <protection locked="0"/>
    </xf>
    <xf numFmtId="49" fontId="20" fillId="0" borderId="8" xfId="0" applyNumberFormat="1" applyFont="1" applyBorder="1" applyAlignment="1" applyProtection="1">
      <alignment horizontal="left" wrapText="1"/>
      <protection locked="0"/>
    </xf>
    <xf numFmtId="0" fontId="20" fillId="0" borderId="8" xfId="0" applyFont="1" applyBorder="1" applyAlignment="1" applyProtection="1">
      <alignment horizontal="left" wrapText="1"/>
      <protection locked="0"/>
    </xf>
    <xf numFmtId="168" fontId="2" fillId="5" borderId="19" xfId="0" applyNumberFormat="1" applyFont="1" applyFill="1" applyBorder="1" applyProtection="1">
      <protection locked="0"/>
    </xf>
    <xf numFmtId="168" fontId="2" fillId="6" borderId="20" xfId="0" applyNumberFormat="1" applyFont="1" applyFill="1" applyBorder="1" applyProtection="1">
      <protection locked="0"/>
    </xf>
    <xf numFmtId="168" fontId="2" fillId="5" borderId="9" xfId="0" applyNumberFormat="1" applyFont="1" applyFill="1" applyBorder="1" applyProtection="1">
      <protection locked="0"/>
    </xf>
    <xf numFmtId="168" fontId="2" fillId="6" borderId="8" xfId="0" applyNumberFormat="1" applyFont="1" applyFill="1" applyBorder="1" applyProtection="1"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167" fontId="2" fillId="0" borderId="0" xfId="0" applyNumberFormat="1" applyFont="1" applyProtection="1">
      <protection locked="0"/>
    </xf>
    <xf numFmtId="49" fontId="19" fillId="0" borderId="0" xfId="0" applyNumberFormat="1" applyFont="1" applyAlignment="1" applyProtection="1">
      <alignment horizontal="right"/>
      <protection locked="0"/>
    </xf>
    <xf numFmtId="49" fontId="24" fillId="0" borderId="0" xfId="0" applyNumberFormat="1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14" fontId="24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49" fontId="19" fillId="7" borderId="0" xfId="0" applyNumberFormat="1" applyFont="1" applyFill="1" applyAlignment="1" applyProtection="1">
      <alignment horizontal="right"/>
      <protection locked="0"/>
    </xf>
    <xf numFmtId="0" fontId="32" fillId="7" borderId="0" xfId="0" applyFont="1" applyFill="1" applyAlignment="1" applyProtection="1">
      <alignment horizontal="left"/>
      <protection locked="0"/>
    </xf>
    <xf numFmtId="49" fontId="24" fillId="7" borderId="0" xfId="0" applyNumberFormat="1" applyFont="1" applyFill="1" applyAlignment="1" applyProtection="1">
      <alignment horizontal="left"/>
      <protection locked="0"/>
    </xf>
    <xf numFmtId="14" fontId="2" fillId="7" borderId="0" xfId="0" applyNumberFormat="1" applyFont="1" applyFill="1" applyAlignment="1" applyProtection="1">
      <alignment horizontal="left"/>
      <protection locked="0"/>
    </xf>
    <xf numFmtId="14" fontId="24" fillId="7" borderId="0" xfId="0" applyNumberFormat="1" applyFont="1" applyFill="1" applyAlignment="1" applyProtection="1">
      <alignment horizontal="left"/>
      <protection locked="0"/>
    </xf>
    <xf numFmtId="0" fontId="2" fillId="7" borderId="0" xfId="0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0" fontId="21" fillId="0" borderId="0" xfId="0" applyFont="1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171" fontId="21" fillId="0" borderId="0" xfId="0" applyNumberFormat="1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21" fontId="19" fillId="0" borderId="0" xfId="0" applyNumberFormat="1" applyFont="1" applyAlignment="1" applyProtection="1">
      <alignment horizontal="right"/>
      <protection locked="0"/>
    </xf>
    <xf numFmtId="21" fontId="24" fillId="0" borderId="0" xfId="2" applyNumberFormat="1" applyFont="1" applyAlignment="1" applyProtection="1">
      <alignment horizontal="right"/>
      <protection locked="0"/>
    </xf>
    <xf numFmtId="0" fontId="2" fillId="0" borderId="0" xfId="2" applyFont="1" applyAlignment="1" applyProtection="1">
      <alignment horizontal="left"/>
      <protection locked="0"/>
    </xf>
    <xf numFmtId="49" fontId="24" fillId="0" borderId="0" xfId="2" applyNumberFormat="1" applyFont="1" applyAlignment="1" applyProtection="1">
      <alignment horizontal="left"/>
      <protection locked="0"/>
    </xf>
    <xf numFmtId="14" fontId="24" fillId="0" borderId="0" xfId="2" applyNumberFormat="1" applyFont="1" applyAlignment="1" applyProtection="1">
      <alignment horizontal="left"/>
      <protection locked="0"/>
    </xf>
    <xf numFmtId="14" fontId="2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70" fontId="8" fillId="0" borderId="0" xfId="0" applyNumberFormat="1" applyFont="1" applyAlignment="1" applyProtection="1">
      <alignment horizontal="right"/>
      <protection locked="0"/>
    </xf>
    <xf numFmtId="169" fontId="2" fillId="0" borderId="0" xfId="0" applyNumberFormat="1" applyFont="1" applyAlignment="1" applyProtection="1">
      <alignment horizontal="center"/>
      <protection locked="0"/>
    </xf>
    <xf numFmtId="0" fontId="8" fillId="5" borderId="9" xfId="0" applyFont="1" applyFill="1" applyBorder="1" applyAlignment="1" applyProtection="1">
      <alignment horizontal="center" wrapText="1"/>
      <protection locked="0"/>
    </xf>
    <xf numFmtId="0" fontId="8" fillId="0" borderId="10" xfId="0" applyFont="1" applyBorder="1" applyAlignment="1" applyProtection="1">
      <alignment horizontal="center" wrapText="1"/>
      <protection locked="0"/>
    </xf>
    <xf numFmtId="49" fontId="20" fillId="0" borderId="10" xfId="0" applyNumberFormat="1" applyFont="1" applyBorder="1" applyAlignment="1" applyProtection="1">
      <alignment horizontal="left"/>
      <protection locked="0"/>
    </xf>
    <xf numFmtId="14" fontId="20" fillId="0" borderId="10" xfId="0" applyNumberFormat="1" applyFont="1" applyBorder="1" applyAlignment="1" applyProtection="1">
      <alignment horizontal="left"/>
      <protection locked="0"/>
    </xf>
    <xf numFmtId="49" fontId="20" fillId="0" borderId="10" xfId="0" applyNumberFormat="1" applyFont="1" applyBorder="1" applyAlignment="1" applyProtection="1">
      <alignment horizontal="left" wrapText="1"/>
      <protection locked="0"/>
    </xf>
    <xf numFmtId="0" fontId="20" fillId="0" borderId="10" xfId="0" applyFont="1" applyBorder="1" applyAlignment="1" applyProtection="1">
      <alignment horizontal="left" wrapText="1"/>
      <protection locked="0"/>
    </xf>
    <xf numFmtId="0" fontId="2" fillId="5" borderId="9" xfId="0" applyFont="1" applyFill="1" applyBorder="1" applyProtection="1">
      <protection locked="0"/>
    </xf>
    <xf numFmtId="0" fontId="2" fillId="6" borderId="8" xfId="0" applyFont="1" applyFill="1" applyBorder="1" applyProtection="1">
      <protection locked="0"/>
    </xf>
    <xf numFmtId="0" fontId="2" fillId="0" borderId="8" xfId="0" applyFont="1" applyBorder="1" applyProtection="1">
      <protection locked="0"/>
    </xf>
    <xf numFmtId="170" fontId="4" fillId="0" borderId="0" xfId="0" applyNumberFormat="1" applyFont="1" applyAlignment="1" applyProtection="1">
      <alignment horizontal="right"/>
      <protection locked="0"/>
    </xf>
    <xf numFmtId="49" fontId="21" fillId="0" borderId="8" xfId="0" applyNumberFormat="1" applyFont="1" applyBorder="1" applyAlignment="1" applyProtection="1">
      <alignment horizontal="right"/>
      <protection locked="0"/>
    </xf>
    <xf numFmtId="14" fontId="21" fillId="0" borderId="0" xfId="0" applyNumberFormat="1" applyFont="1" applyProtection="1">
      <protection locked="0"/>
    </xf>
    <xf numFmtId="0" fontId="21" fillId="0" borderId="0" xfId="0" applyFont="1" applyAlignment="1" applyProtection="1">
      <alignment wrapText="1"/>
      <protection locked="0"/>
    </xf>
    <xf numFmtId="0" fontId="17" fillId="0" borderId="8" xfId="0" applyFont="1" applyBorder="1" applyAlignment="1" applyProtection="1">
      <alignment wrapText="1"/>
      <protection locked="0"/>
    </xf>
    <xf numFmtId="170" fontId="2" fillId="0" borderId="0" xfId="0" applyNumberFormat="1" applyFont="1" applyProtection="1">
      <protection locked="0"/>
    </xf>
    <xf numFmtId="0" fontId="27" fillId="0" borderId="0" xfId="4" applyFont="1" applyAlignment="1" applyProtection="1">
      <alignment horizontal="left" wrapText="1"/>
      <protection locked="0"/>
    </xf>
    <xf numFmtId="14" fontId="27" fillId="0" borderId="0" xfId="4" applyNumberFormat="1" applyFont="1" applyProtection="1">
      <protection locked="0"/>
    </xf>
    <xf numFmtId="49" fontId="21" fillId="7" borderId="8" xfId="0" applyNumberFormat="1" applyFont="1" applyFill="1" applyBorder="1" applyAlignment="1" applyProtection="1">
      <alignment horizontal="right"/>
      <protection locked="0"/>
    </xf>
    <xf numFmtId="49" fontId="21" fillId="7" borderId="0" xfId="0" applyNumberFormat="1" applyFont="1" applyFill="1" applyProtection="1">
      <protection locked="0"/>
    </xf>
    <xf numFmtId="14" fontId="21" fillId="7" borderId="0" xfId="0" applyNumberFormat="1" applyFont="1" applyFill="1" applyProtection="1">
      <protection locked="0"/>
    </xf>
    <xf numFmtId="0" fontId="21" fillId="7" borderId="0" xfId="0" applyFont="1" applyFill="1" applyProtection="1">
      <protection locked="0"/>
    </xf>
    <xf numFmtId="0" fontId="21" fillId="7" borderId="0" xfId="0" applyFont="1" applyFill="1" applyAlignment="1" applyProtection="1">
      <alignment wrapText="1"/>
      <protection locked="0"/>
    </xf>
    <xf numFmtId="0" fontId="21" fillId="7" borderId="0" xfId="0" applyFont="1" applyFill="1" applyAlignment="1" applyProtection="1">
      <alignment horizontal="left"/>
      <protection locked="0"/>
    </xf>
    <xf numFmtId="0" fontId="28" fillId="9" borderId="0" xfId="0" applyFont="1" applyFill="1" applyAlignment="1" applyProtection="1">
      <alignment vertical="center" wrapText="1"/>
      <protection locked="0"/>
    </xf>
    <xf numFmtId="0" fontId="29" fillId="0" borderId="0" xfId="0" applyFont="1" applyProtection="1">
      <protection locked="0"/>
    </xf>
    <xf numFmtId="0" fontId="17" fillId="7" borderId="8" xfId="0" applyFont="1" applyFill="1" applyBorder="1" applyAlignment="1" applyProtection="1">
      <alignment wrapText="1"/>
      <protection locked="0"/>
    </xf>
    <xf numFmtId="0" fontId="17" fillId="7" borderId="8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  <protection locked="0"/>
    </xf>
    <xf numFmtId="0" fontId="5" fillId="7" borderId="8" xfId="0" applyFont="1" applyFill="1" applyBorder="1" applyAlignment="1" applyProtection="1">
      <alignment vertical="top" wrapText="1"/>
      <protection locked="0"/>
    </xf>
    <xf numFmtId="0" fontId="24" fillId="0" borderId="0" xfId="0" applyFont="1" applyProtection="1">
      <protection locked="0"/>
    </xf>
    <xf numFmtId="0" fontId="19" fillId="0" borderId="8" xfId="0" applyFont="1" applyBorder="1" applyProtection="1">
      <protection locked="0"/>
    </xf>
    <xf numFmtId="0" fontId="2" fillId="5" borderId="8" xfId="0" applyFont="1" applyFill="1" applyBorder="1" applyProtection="1">
      <protection locked="0"/>
    </xf>
    <xf numFmtId="49" fontId="2" fillId="0" borderId="8" xfId="0" applyNumberFormat="1" applyFont="1" applyBorder="1" applyAlignment="1" applyProtection="1">
      <alignment horizontal="right"/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5" borderId="8" xfId="0" applyFill="1" applyBorder="1" applyProtection="1">
      <protection locked="0"/>
    </xf>
    <xf numFmtId="0" fontId="2" fillId="0" borderId="8" xfId="0" applyFont="1" applyBorder="1" applyAlignment="1" applyProtection="1">
      <alignment horizontal="right"/>
      <protection locked="0"/>
    </xf>
    <xf numFmtId="168" fontId="8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2" fillId="10" borderId="22" xfId="0" applyNumberFormat="1" applyFont="1" applyFill="1" applyBorder="1"/>
    <xf numFmtId="165" fontId="12" fillId="10" borderId="23" xfId="0" applyNumberFormat="1" applyFont="1" applyFill="1" applyBorder="1"/>
    <xf numFmtId="166" fontId="12" fillId="10" borderId="19" xfId="0" applyNumberFormat="1" applyFont="1" applyFill="1" applyBorder="1"/>
    <xf numFmtId="165" fontId="12" fillId="10" borderId="24" xfId="0" applyNumberFormat="1" applyFont="1" applyFill="1" applyBorder="1"/>
    <xf numFmtId="2" fontId="2" fillId="0" borderId="0" xfId="0" applyNumberFormat="1" applyFont="1" applyProtection="1">
      <protection locked="0"/>
    </xf>
    <xf numFmtId="166" fontId="12" fillId="10" borderId="8" xfId="0" applyNumberFormat="1" applyFont="1" applyFill="1" applyBorder="1"/>
    <xf numFmtId="165" fontId="12" fillId="10" borderId="8" xfId="0" applyNumberFormat="1" applyFont="1" applyFill="1" applyBorder="1"/>
    <xf numFmtId="166" fontId="12" fillId="10" borderId="8" xfId="0" applyNumberFormat="1" applyFont="1" applyFill="1" applyBorder="1" applyProtection="1">
      <protection locked="0"/>
    </xf>
    <xf numFmtId="165" fontId="12" fillId="10" borderId="8" xfId="0" applyNumberFormat="1" applyFont="1" applyFill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2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49" fontId="20" fillId="0" borderId="0" xfId="0" applyNumberFormat="1" applyFont="1" applyProtection="1">
      <protection locked="0"/>
    </xf>
    <xf numFmtId="14" fontId="20" fillId="0" borderId="0" xfId="0" applyNumberFormat="1" applyFont="1" applyProtection="1">
      <protection locked="0"/>
    </xf>
    <xf numFmtId="14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wrapText="1"/>
      <protection locked="0"/>
    </xf>
    <xf numFmtId="0" fontId="20" fillId="0" borderId="0" xfId="0" applyFont="1" applyProtection="1">
      <protection locked="0"/>
    </xf>
    <xf numFmtId="21" fontId="21" fillId="0" borderId="0" xfId="0" applyNumberFormat="1" applyFont="1" applyAlignment="1" applyProtection="1">
      <alignment horizontal="right"/>
      <protection locked="0"/>
    </xf>
    <xf numFmtId="168" fontId="2" fillId="0" borderId="0" xfId="0" applyNumberFormat="1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right"/>
      <protection locked="0"/>
    </xf>
    <xf numFmtId="21" fontId="21" fillId="7" borderId="0" xfId="0" applyNumberFormat="1" applyFont="1" applyFill="1" applyAlignment="1" applyProtection="1">
      <alignment horizontal="right"/>
      <protection locked="0"/>
    </xf>
    <xf numFmtId="0" fontId="21" fillId="7" borderId="0" xfId="0" applyFont="1" applyFill="1" applyAlignment="1" applyProtection="1">
      <alignment horizontal="right"/>
      <protection locked="0"/>
    </xf>
    <xf numFmtId="14" fontId="21" fillId="7" borderId="0" xfId="0" applyNumberFormat="1" applyFont="1" applyFill="1" applyAlignment="1" applyProtection="1">
      <alignment horizontal="left"/>
      <protection locked="0"/>
    </xf>
    <xf numFmtId="49" fontId="21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17" fillId="0" borderId="0" xfId="0" applyFont="1" applyAlignment="1">
      <alignment horizontal="left" wrapText="1"/>
    </xf>
    <xf numFmtId="172" fontId="21" fillId="7" borderId="0" xfId="0" applyNumberFormat="1" applyFont="1" applyFill="1" applyAlignment="1">
      <alignment horizontal="left"/>
    </xf>
    <xf numFmtId="172" fontId="2" fillId="0" borderId="0" xfId="0" applyNumberFormat="1" applyFont="1" applyAlignment="1">
      <alignment horizontal="left"/>
    </xf>
    <xf numFmtId="172" fontId="24" fillId="0" borderId="0" xfId="0" applyNumberFormat="1" applyFont="1" applyAlignment="1">
      <alignment horizontal="left"/>
    </xf>
    <xf numFmtId="49" fontId="17" fillId="0" borderId="0" xfId="0" applyNumberFormat="1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14" fontId="17" fillId="0" borderId="0" xfId="0" applyNumberFormat="1" applyFont="1" applyProtection="1">
      <protection locked="0"/>
    </xf>
    <xf numFmtId="14" fontId="17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Protection="1">
      <protection locked="0"/>
    </xf>
    <xf numFmtId="0" fontId="4" fillId="3" borderId="0" xfId="0" applyFont="1" applyFill="1" applyProtection="1">
      <protection locked="0"/>
    </xf>
    <xf numFmtId="167" fontId="5" fillId="3" borderId="0" xfId="0" applyNumberFormat="1" applyFont="1" applyFill="1" applyProtection="1">
      <protection locked="0"/>
    </xf>
    <xf numFmtId="167" fontId="2" fillId="3" borderId="0" xfId="0" applyNumberFormat="1" applyFont="1" applyFill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49" fontId="21" fillId="7" borderId="0" xfId="0" applyNumberFormat="1" applyFont="1" applyFill="1" applyAlignment="1" applyProtection="1">
      <alignment horizontal="right"/>
      <protection locked="0"/>
    </xf>
    <xf numFmtId="0" fontId="24" fillId="7" borderId="0" xfId="0" applyFont="1" applyFill="1" applyProtection="1"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174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Protection="1">
      <protection locked="0"/>
    </xf>
    <xf numFmtId="0" fontId="2" fillId="3" borderId="0" xfId="0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172" fontId="21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Protection="1">
      <protection locked="0"/>
    </xf>
    <xf numFmtId="172" fontId="21" fillId="7" borderId="0" xfId="0" applyNumberFormat="1" applyFont="1" applyFill="1" applyAlignment="1" applyProtection="1">
      <alignment horizontal="left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49" fontId="21" fillId="0" borderId="0" xfId="0" applyNumberFormat="1" applyFont="1" applyAlignment="1" applyProtection="1">
      <alignment horizontal="left" wrapText="1"/>
      <protection locked="0"/>
    </xf>
    <xf numFmtId="14" fontId="21" fillId="0" borderId="0" xfId="0" applyNumberFormat="1" applyFont="1" applyAlignment="1" applyProtection="1">
      <alignment horizontal="left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167" fontId="2" fillId="0" borderId="0" xfId="0" applyNumberFormat="1" applyFont="1" applyAlignment="1" applyProtection="1">
      <alignment horizontal="right"/>
      <protection locked="0"/>
    </xf>
    <xf numFmtId="21" fontId="2" fillId="0" borderId="0" xfId="0" applyNumberFormat="1" applyFont="1" applyAlignment="1" applyProtection="1">
      <alignment horizontal="right"/>
      <protection locked="0"/>
    </xf>
    <xf numFmtId="49" fontId="21" fillId="7" borderId="0" xfId="0" applyNumberFormat="1" applyFont="1" applyFill="1" applyAlignment="1" applyProtection="1">
      <alignment horizontal="left"/>
      <protection locked="0"/>
    </xf>
    <xf numFmtId="166" fontId="8" fillId="10" borderId="8" xfId="0" applyNumberFormat="1" applyFont="1" applyFill="1" applyBorder="1"/>
    <xf numFmtId="165" fontId="8" fillId="10" borderId="8" xfId="0" applyNumberFormat="1" applyFont="1" applyFill="1" applyBorder="1"/>
    <xf numFmtId="171" fontId="21" fillId="7" borderId="0" xfId="0" applyNumberFormat="1" applyFont="1" applyFill="1" applyAlignment="1" applyProtection="1">
      <alignment horizontal="left"/>
      <protection locked="0"/>
    </xf>
    <xf numFmtId="172" fontId="24" fillId="0" borderId="0" xfId="0" applyNumberFormat="1" applyFont="1" applyAlignment="1" applyProtection="1">
      <alignment horizontal="left"/>
      <protection locked="0"/>
    </xf>
    <xf numFmtId="166" fontId="12" fillId="11" borderId="8" xfId="0" applyNumberFormat="1" applyFont="1" applyFill="1" applyBorder="1" applyProtection="1">
      <protection locked="0"/>
    </xf>
    <xf numFmtId="165" fontId="12" fillId="11" borderId="8" xfId="0" applyNumberFormat="1" applyFont="1" applyFill="1" applyBorder="1" applyProtection="1">
      <protection locked="0"/>
    </xf>
    <xf numFmtId="172" fontId="24" fillId="7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wrapText="1"/>
    </xf>
    <xf numFmtId="49" fontId="17" fillId="0" borderId="0" xfId="0" applyNumberFormat="1" applyFont="1" applyAlignment="1">
      <alignment horizontal="right"/>
    </xf>
    <xf numFmtId="49" fontId="17" fillId="7" borderId="0" xfId="0" applyNumberFormat="1" applyFont="1" applyFill="1" applyAlignment="1">
      <alignment horizontal="right"/>
    </xf>
    <xf numFmtId="21" fontId="19" fillId="0" borderId="0" xfId="0" applyNumberFormat="1" applyFont="1" applyAlignment="1">
      <alignment horizontal="right"/>
    </xf>
    <xf numFmtId="14" fontId="17" fillId="0" borderId="0" xfId="0" applyNumberFormat="1" applyFont="1" applyAlignment="1">
      <alignment horizontal="left"/>
    </xf>
    <xf numFmtId="49" fontId="17" fillId="7" borderId="0" xfId="0" applyNumberFormat="1" applyFont="1" applyFill="1"/>
    <xf numFmtId="14" fontId="19" fillId="0" borderId="0" xfId="0" applyNumberFormat="1" applyFont="1" applyAlignment="1">
      <alignment horizontal="left"/>
    </xf>
    <xf numFmtId="1" fontId="19" fillId="0" borderId="0" xfId="0" applyNumberFormat="1" applyFont="1"/>
    <xf numFmtId="174" fontId="19" fillId="0" borderId="0" xfId="0" applyNumberFormat="1" applyFont="1" applyAlignment="1">
      <alignment horizontal="left"/>
    </xf>
    <xf numFmtId="172" fontId="17" fillId="7" borderId="0" xfId="0" applyNumberFormat="1" applyFont="1" applyFill="1" applyAlignment="1">
      <alignment horizontal="left"/>
    </xf>
    <xf numFmtId="172" fontId="19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70" fontId="21" fillId="7" borderId="0" xfId="0" applyNumberFormat="1" applyFont="1" applyFill="1" applyAlignment="1">
      <alignment horizontal="right"/>
    </xf>
    <xf numFmtId="0" fontId="2" fillId="7" borderId="0" xfId="0" applyFont="1" applyFill="1" applyProtection="1">
      <protection locked="0"/>
    </xf>
    <xf numFmtId="170" fontId="2" fillId="7" borderId="0" xfId="0" applyNumberFormat="1" applyFont="1" applyFill="1" applyProtection="1">
      <protection locked="0"/>
    </xf>
    <xf numFmtId="169" fontId="2" fillId="7" borderId="0" xfId="0" applyNumberFormat="1" applyFont="1" applyFill="1" applyProtection="1">
      <protection locked="0"/>
    </xf>
    <xf numFmtId="164" fontId="2" fillId="7" borderId="0" xfId="0" applyNumberFormat="1" applyFont="1" applyFill="1" applyProtection="1">
      <protection locked="0"/>
    </xf>
    <xf numFmtId="10" fontId="2" fillId="7" borderId="0" xfId="0" applyNumberFormat="1" applyFont="1" applyFill="1" applyProtection="1">
      <protection locked="0"/>
    </xf>
    <xf numFmtId="2" fontId="8" fillId="0" borderId="0" xfId="0" applyNumberFormat="1" applyFont="1"/>
    <xf numFmtId="0" fontId="8" fillId="0" borderId="0" xfId="0" applyFont="1" applyAlignment="1">
      <alignment horizontal="right" wrapText="1"/>
    </xf>
    <xf numFmtId="0" fontId="8" fillId="6" borderId="8" xfId="0" applyFont="1" applyFill="1" applyBorder="1" applyAlignment="1" applyProtection="1">
      <alignment wrapText="1"/>
      <protection locked="0"/>
    </xf>
    <xf numFmtId="0" fontId="34" fillId="7" borderId="0" xfId="0" applyFont="1" applyFill="1" applyAlignment="1">
      <alignment horizontal="left"/>
    </xf>
    <xf numFmtId="0" fontId="27" fillId="12" borderId="0" xfId="4" applyFont="1" applyFill="1" applyAlignment="1">
      <alignment horizontal="left"/>
    </xf>
    <xf numFmtId="49" fontId="27" fillId="12" borderId="0" xfId="4" applyNumberFormat="1" applyFont="1" applyFill="1" applyAlignment="1">
      <alignment horizontal="left"/>
    </xf>
    <xf numFmtId="0" fontId="27" fillId="7" borderId="25" xfId="4" applyFont="1" applyFill="1" applyBorder="1" applyAlignment="1">
      <alignment horizontal="left" wrapText="1"/>
    </xf>
    <xf numFmtId="14" fontId="27" fillId="12" borderId="0" xfId="4" applyNumberFormat="1" applyFont="1" applyFill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27" fillId="0" borderId="26" xfId="4" applyFont="1" applyBorder="1" applyAlignment="1">
      <alignment horizontal="left" wrapText="1"/>
    </xf>
    <xf numFmtId="0" fontId="27" fillId="0" borderId="27" xfId="4" applyFont="1" applyBorder="1" applyAlignment="1">
      <alignment horizontal="left" wrapText="1"/>
    </xf>
    <xf numFmtId="14" fontId="27" fillId="0" borderId="26" xfId="4" applyNumberFormat="1" applyFont="1" applyBorder="1" applyAlignment="1">
      <alignment horizontal="left" wrapText="1"/>
    </xf>
    <xf numFmtId="0" fontId="27" fillId="0" borderId="25" xfId="4" applyFont="1" applyBorder="1" applyAlignment="1">
      <alignment horizontal="left" wrapText="1"/>
    </xf>
    <xf numFmtId="0" fontId="27" fillId="0" borderId="0" xfId="4" applyFont="1" applyAlignment="1">
      <alignment horizontal="left" wrapText="1"/>
    </xf>
    <xf numFmtId="14" fontId="27" fillId="0" borderId="0" xfId="4" applyNumberFormat="1" applyFont="1" applyAlignment="1">
      <alignment horizontal="left" wrapText="1"/>
    </xf>
    <xf numFmtId="20" fontId="27" fillId="0" borderId="27" xfId="4" applyNumberFormat="1" applyFont="1" applyBorder="1" applyAlignment="1">
      <alignment horizontal="left" wrapText="1"/>
    </xf>
    <xf numFmtId="20" fontId="27" fillId="0" borderId="26" xfId="4" applyNumberFormat="1" applyFont="1" applyBorder="1" applyAlignment="1">
      <alignment horizontal="left" wrapText="1"/>
    </xf>
    <xf numFmtId="0" fontId="2" fillId="0" borderId="0" xfId="3" applyFont="1" applyAlignment="1">
      <alignment horizontal="left" wrapText="1"/>
    </xf>
    <xf numFmtId="20" fontId="21" fillId="0" borderId="0" xfId="0" applyNumberFormat="1" applyFont="1" applyAlignment="1">
      <alignment horizontal="left"/>
    </xf>
    <xf numFmtId="20" fontId="27" fillId="0" borderId="0" xfId="4" applyNumberFormat="1" applyFont="1" applyAlignment="1">
      <alignment horizontal="left" wrapText="1"/>
    </xf>
    <xf numFmtId="164" fontId="0" fillId="0" borderId="0" xfId="0" applyNumberFormat="1" applyProtection="1">
      <protection locked="0"/>
    </xf>
    <xf numFmtId="0" fontId="35" fillId="0" borderId="0" xfId="0" applyFont="1" applyAlignment="1">
      <alignment vertical="center"/>
    </xf>
    <xf numFmtId="21" fontId="3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14" fontId="3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72" fontId="5" fillId="0" borderId="0" xfId="0" applyNumberFormat="1" applyFont="1" applyAlignment="1">
      <alignment horizontal="left"/>
    </xf>
    <xf numFmtId="172" fontId="35" fillId="0" borderId="0" xfId="0" applyNumberFormat="1" applyFont="1" applyAlignment="1">
      <alignment vertical="center"/>
    </xf>
    <xf numFmtId="21" fontId="31" fillId="0" borderId="0" xfId="0" applyNumberFormat="1" applyFont="1" applyAlignment="1">
      <alignment vertical="center"/>
    </xf>
    <xf numFmtId="175" fontId="21" fillId="0" borderId="0" xfId="0" applyNumberFormat="1" applyFont="1" applyAlignment="1">
      <alignment horizontal="right"/>
    </xf>
    <xf numFmtId="0" fontId="5" fillId="3" borderId="29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3" xr:uid="{878F7F4E-492D-4F3B-A364-F9B1260E49E0}"/>
    <cellStyle name="Normal 3" xfId="2" xr:uid="{FE8D59B6-968F-40EA-A053-A7A8873CE42A}"/>
    <cellStyle name="Normal_Mile" xfId="4" xr:uid="{477952DB-760F-4D53-B6BA-974D9359E675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3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2.8033333333333337</c:v>
                </c:pt>
                <c:pt idx="7">
                  <c:v>2.8899999999999997</c:v>
                </c:pt>
                <c:pt idx="8">
                  <c:v>3.0738239127858749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Parameters!$A$36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Parameters!$B$12:$B$29</c:f>
              <c:numCache>
                <c:formatCode>0.0000</c:formatCode>
                <c:ptCount val="18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</c:numCache>
            </c:numRef>
          </c:xVal>
          <c:yVal>
            <c:numRef>
              <c:f>Parameters!$C$12:$C$29</c:f>
              <c:numCache>
                <c:formatCode>0.0000</c:formatCode>
                <c:ptCount val="18"/>
                <c:pt idx="0">
                  <c:v>2.5683342612476467</c:v>
                </c:pt>
                <c:pt idx="1">
                  <c:v>2.8433333333333333</c:v>
                </c:pt>
                <c:pt idx="4">
                  <c:v>3.0583333333333331</c:v>
                </c:pt>
                <c:pt idx="5">
                  <c:v>3.0447188419629359</c:v>
                </c:pt>
                <c:pt idx="6">
                  <c:v>2.8766666666666669</c:v>
                </c:pt>
                <c:pt idx="7">
                  <c:v>3.1777777777777776</c:v>
                </c:pt>
                <c:pt idx="8">
                  <c:v>2.9555555555555557</c:v>
                </c:pt>
                <c:pt idx="9">
                  <c:v>3.0747517829210746</c:v>
                </c:pt>
                <c:pt idx="10">
                  <c:v>3.0708333333333337</c:v>
                </c:pt>
                <c:pt idx="11">
                  <c:v>2.9798159339574197</c:v>
                </c:pt>
                <c:pt idx="12">
                  <c:v>3.1513333333333331</c:v>
                </c:pt>
                <c:pt idx="13">
                  <c:v>3.2027777777777779</c:v>
                </c:pt>
                <c:pt idx="14">
                  <c:v>3.0793537938934312</c:v>
                </c:pt>
                <c:pt idx="15">
                  <c:v>3.7730000000000001</c:v>
                </c:pt>
                <c:pt idx="16">
                  <c:v>4.229052334367295</c:v>
                </c:pt>
                <c:pt idx="17">
                  <c:v>4.2061666666666664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Parameters!$J$12:$J$32</c:f>
              <c:numCache>
                <c:formatCode>0.0000</c:formatCode>
                <c:ptCount val="21"/>
                <c:pt idx="0">
                  <c:v>2.7029646862324026</c:v>
                </c:pt>
                <c:pt idx="1">
                  <c:v>2.8433333333333337</c:v>
                </c:pt>
                <c:pt idx="2">
                  <c:v>2.85</c:v>
                </c:pt>
                <c:pt idx="3">
                  <c:v>2.8557184376574134</c:v>
                </c:pt>
                <c:pt idx="4">
                  <c:v>2.8645833333333335</c:v>
                </c:pt>
                <c:pt idx="5">
                  <c:v>2.868663670829025</c:v>
                </c:pt>
                <c:pt idx="6">
                  <c:v>2.8766666666666669</c:v>
                </c:pt>
                <c:pt idx="7">
                  <c:v>2.8944444444444448</c:v>
                </c:pt>
                <c:pt idx="8">
                  <c:v>2.9211111111111112</c:v>
                </c:pt>
                <c:pt idx="9">
                  <c:v>2.932872027360216</c:v>
                </c:pt>
                <c:pt idx="10">
                  <c:v>2.9749999999999996</c:v>
                </c:pt>
                <c:pt idx="11">
                  <c:v>2.9798159339574197</c:v>
                </c:pt>
                <c:pt idx="12">
                  <c:v>3</c:v>
                </c:pt>
                <c:pt idx="13">
                  <c:v>3.0277777777777781</c:v>
                </c:pt>
                <c:pt idx="14">
                  <c:v>3.0793537938934317</c:v>
                </c:pt>
                <c:pt idx="15">
                  <c:v>3.13</c:v>
                </c:pt>
                <c:pt idx="16">
                  <c:v>3.5418157957528029</c:v>
                </c:pt>
                <c:pt idx="17">
                  <c:v>3.9318333333333326</c:v>
                </c:pt>
                <c:pt idx="18">
                  <c:v>4.4111111111111114</c:v>
                </c:pt>
                <c:pt idx="19">
                  <c:v>4.5049411437206706</c:v>
                </c:pt>
                <c:pt idx="2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"/>
          <c:min val="2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104.62289532330875</c:v>
                </c:pt>
                <c:pt idx="5" formatCode="0.000">
                  <c:v>97.554480218193007</c:v>
                </c:pt>
                <c:pt idx="6" formatCode="0.000">
                  <c:v>91.659238749092736</c:v>
                </c:pt>
                <c:pt idx="7" formatCode="0.000">
                  <c:v>86.697679145418903</c:v>
                </c:pt>
                <c:pt idx="8" formatCode="0.000">
                  <c:v>82.472865580995077</c:v>
                </c:pt>
                <c:pt idx="9" formatCode="0.000">
                  <c:v>78.847606304367574</c:v>
                </c:pt>
                <c:pt idx="10" formatCode="0.000">
                  <c:v>75.727440013150883</c:v>
                </c:pt>
                <c:pt idx="11" formatCode="0.000">
                  <c:v>73.022337300088822</c:v>
                </c:pt>
                <c:pt idx="12" formatCode="0.000">
                  <c:v>70.678505842576413</c:v>
                </c:pt>
                <c:pt idx="13" formatCode="0.000">
                  <c:v>68.63732042235489</c:v>
                </c:pt>
                <c:pt idx="14" formatCode="0.000">
                  <c:v>66.866013927204747</c:v>
                </c:pt>
                <c:pt idx="15" formatCode="0.000">
                  <c:v>65.321833651869312</c:v>
                </c:pt>
                <c:pt idx="16" formatCode="0.000">
                  <c:v>63.911038262498643</c:v>
                </c:pt>
                <c:pt idx="17" formatCode="0.000">
                  <c:v>62.56883838983763</c:v>
                </c:pt>
                <c:pt idx="18" formatCode="0.000">
                  <c:v>61.299021571879408</c:v>
                </c:pt>
                <c:pt idx="19" formatCode="0.000">
                  <c:v>60.288440996829202</c:v>
                </c:pt>
                <c:pt idx="20" formatCode="0.000">
                  <c:v>59.696560745636695</c:v>
                </c:pt>
                <c:pt idx="21" formatCode="0.000">
                  <c:v>59.5</c:v>
                </c:pt>
                <c:pt idx="22" formatCode="0.000">
                  <c:v>59.5</c:v>
                </c:pt>
                <c:pt idx="23" formatCode="0.000">
                  <c:v>59.5</c:v>
                </c:pt>
                <c:pt idx="24" formatCode="0.000">
                  <c:v>59.5</c:v>
                </c:pt>
                <c:pt idx="25" formatCode="0.000">
                  <c:v>59.5</c:v>
                </c:pt>
                <c:pt idx="26" formatCode="0.000">
                  <c:v>59.505961295955053</c:v>
                </c:pt>
                <c:pt idx="27" formatCode="0.000">
                  <c:v>59.522126565979633</c:v>
                </c:pt>
                <c:pt idx="28" formatCode="0.000">
                  <c:v>59.566823654658776</c:v>
                </c:pt>
                <c:pt idx="29" formatCode="0.000">
                  <c:v>59.641036793576262</c:v>
                </c:pt>
                <c:pt idx="30" formatCode="0.000">
                  <c:v>59.744128131079769</c:v>
                </c:pt>
                <c:pt idx="31" formatCode="0.000">
                  <c:v>59.871665043740762</c:v>
                </c:pt>
                <c:pt idx="32" formatCode="0.000">
                  <c:v>60.029581359061332</c:v>
                </c:pt>
                <c:pt idx="33" formatCode="0.000">
                  <c:v>60.217482319466889</c:v>
                </c:pt>
                <c:pt idx="34" formatCode="0.000">
                  <c:v>60.431104027450097</c:v>
                </c:pt>
                <c:pt idx="35" formatCode="0.000">
                  <c:v>60.675841521566376</c:v>
                </c:pt>
                <c:pt idx="36" formatCode="0.000">
                  <c:v>60.953774932536639</c:v>
                </c:pt>
                <c:pt idx="37" formatCode="0.000">
                  <c:v>61.264437841883975</c:v>
                </c:pt>
                <c:pt idx="38" formatCode="0.000">
                  <c:v>61.603329502965991</c:v>
                </c:pt>
                <c:pt idx="39" formatCode="0.000">
                  <c:v>61.977792354870516</c:v>
                </c:pt>
                <c:pt idx="40" formatCode="0.000">
                  <c:v>62.388591800356508</c:v>
                </c:pt>
                <c:pt idx="41" formatCode="0.000">
                  <c:v>62.837087701551582</c:v>
                </c:pt>
                <c:pt idx="42" formatCode="0.000">
                  <c:v>63.318538169390166</c:v>
                </c:pt>
                <c:pt idx="43" formatCode="0.000">
                  <c:v>63.840674611020397</c:v>
                </c:pt>
                <c:pt idx="44" formatCode="0.000">
                  <c:v>64.405834813772458</c:v>
                </c:pt>
                <c:pt idx="45" formatCode="0.000">
                  <c:v>65.008981725068637</c:v>
                </c:pt>
                <c:pt idx="46" formatCode="0.000">
                  <c:v>65.65870377058819</c:v>
                </c:pt>
                <c:pt idx="47" formatCode="0.000">
                  <c:v>66.357468070595814</c:v>
                </c:pt>
                <c:pt idx="48" formatCode="0.000">
                  <c:v>67.10800644391577</c:v>
                </c:pt>
                <c:pt idx="49" formatCode="0.000">
                  <c:v>67.885123581295687</c:v>
                </c:pt>
                <c:pt idx="50" formatCode="0.000">
                  <c:v>68.689513267276951</c:v>
                </c:pt>
                <c:pt idx="51" formatCode="0.000">
                  <c:v>69.507398250999799</c:v>
                </c:pt>
                <c:pt idx="52" formatCode="0.000">
                  <c:v>70.35450321717552</c:v>
                </c:pt>
                <c:pt idx="53" formatCode="0.000">
                  <c:v>71.217035956331671</c:v>
                </c:pt>
                <c:pt idx="54" formatCode="0.000">
                  <c:v>72.110343643391758</c:v>
                </c:pt>
                <c:pt idx="55" formatCode="0.000">
                  <c:v>73.020590763424551</c:v>
                </c:pt>
                <c:pt idx="56" formatCode="0.000">
                  <c:v>73.964620663985201</c:v>
                </c:pt>
                <c:pt idx="57" formatCode="0.000">
                  <c:v>74.925294059677313</c:v>
                </c:pt>
                <c:pt idx="58" formatCode="0.000">
                  <c:v>75.920243784871701</c:v>
                </c:pt>
                <c:pt idx="59" formatCode="0.000">
                  <c:v>76.932736832663622</c:v>
                </c:pt>
                <c:pt idx="60" formatCode="0.000">
                  <c:v>77.982088681409422</c:v>
                </c:pt>
                <c:pt idx="61" formatCode="0.000">
                  <c:v>79.050710193584322</c:v>
                </c:pt>
                <c:pt idx="62" formatCode="0.000">
                  <c:v>80.159051274549427</c:v>
                </c:pt>
                <c:pt idx="63" formatCode="0.000">
                  <c:v>81.288601360815093</c:v>
                </c:pt>
                <c:pt idx="64" formatCode="0.000">
                  <c:v>82.461049373241181</c:v>
                </c:pt>
                <c:pt idx="65" formatCode="0.000">
                  <c:v>83.656891514565345</c:v>
                </c:pt>
                <c:pt idx="66" formatCode="0.000">
                  <c:v>84.899173745153448</c:v>
                </c:pt>
                <c:pt idx="67" formatCode="0.000">
                  <c:v>86.167319938339261</c:v>
                </c:pt>
                <c:pt idx="68" formatCode="0.000">
                  <c:v>87.485866804171678</c:v>
                </c:pt>
                <c:pt idx="69" formatCode="0.000">
                  <c:v>88.833078628666854</c:v>
                </c:pt>
                <c:pt idx="70" formatCode="0.000">
                  <c:v>90.235134989727158</c:v>
                </c:pt>
                <c:pt idx="71" formatCode="0.000">
                  <c:v>91.66904418192847</c:v>
                </c:pt>
                <c:pt idx="72" formatCode="0.000">
                  <c:v>93.162802489848687</c:v>
                </c:pt>
                <c:pt idx="73" formatCode="0.000">
                  <c:v>94.69205556339675</c:v>
                </c:pt>
                <c:pt idx="74" formatCode="0.000">
                  <c:v>96.286816012543497</c:v>
                </c:pt>
                <c:pt idx="75" formatCode="0.000">
                  <c:v>97.966155555829062</c:v>
                </c:pt>
                <c:pt idx="76" formatCode="0.000">
                  <c:v>99.829365848337531</c:v>
                </c:pt>
                <c:pt idx="77" formatCode="0.000">
                  <c:v>101.92171075283822</c:v>
                </c:pt>
                <c:pt idx="78" formatCode="0.000">
                  <c:v>104.23391144855835</c:v>
                </c:pt>
                <c:pt idx="79" formatCode="0.000">
                  <c:v>106.81073296758751</c:v>
                </c:pt>
                <c:pt idx="80" formatCode="0.000">
                  <c:v>109.6999163538098</c:v>
                </c:pt>
                <c:pt idx="81" formatCode="0.000">
                  <c:v>112.90563701984404</c:v>
                </c:pt>
                <c:pt idx="82" formatCode="0.000">
                  <c:v>116.48977717218982</c:v>
                </c:pt>
                <c:pt idx="83" formatCode="0.000">
                  <c:v>120.50909796032786</c:v>
                </c:pt>
                <c:pt idx="84" formatCode="0.000">
                  <c:v>125.05178694628404</c:v>
                </c:pt>
                <c:pt idx="85" formatCode="0.000">
                  <c:v>130.15749749124845</c:v>
                </c:pt>
                <c:pt idx="86" formatCode="0.000">
                  <c:v>135.95035467181069</c:v>
                </c:pt>
                <c:pt idx="87" formatCode="0.000">
                  <c:v>142.59219370546845</c:v>
                </c:pt>
                <c:pt idx="88" formatCode="0.000">
                  <c:v>150.19206788642634</c:v>
                </c:pt>
                <c:pt idx="89" formatCode="0.000">
                  <c:v>158.98983728533616</c:v>
                </c:pt>
                <c:pt idx="90" formatCode="0.000">
                  <c:v>169.3218427453848</c:v>
                </c:pt>
                <c:pt idx="91" formatCode="0.000">
                  <c:v>181.48855053184977</c:v>
                </c:pt>
                <c:pt idx="92" formatCode="0.000">
                  <c:v>196.06380597937317</c:v>
                </c:pt>
                <c:pt idx="93" formatCode="0.000">
                  <c:v>213.80836389469243</c:v>
                </c:pt>
                <c:pt idx="94" formatCode="0.000">
                  <c:v>235.93675382065487</c:v>
                </c:pt>
                <c:pt idx="95" formatCode="0.000">
                  <c:v>264.01685294977295</c:v>
                </c:pt>
                <c:pt idx="96" formatCode="0.000">
                  <c:v>300.91803287364468</c:v>
                </c:pt>
                <c:pt idx="97" formatCode="0.000">
                  <c:v>351.68608787775514</c:v>
                </c:pt>
                <c:pt idx="98" formatCode="0.000">
                  <c:v>425.24236255476649</c:v>
                </c:pt>
                <c:pt idx="99" formatCode="0.000">
                  <c:v>541.72670230574806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405854239522441"/>
          <c:y val="3.61346117691295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2488542715633284"/>
          <c:w val="0.87617458395028214"/>
          <c:h val="0.74455047332418423"/>
        </c:manualLayout>
      </c:layout>
      <c:scatterChart>
        <c:scatterStyle val="lineMarker"/>
        <c:varyColors val="0"/>
        <c:ser>
          <c:idx val="3"/>
          <c:order val="0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102.55196001052356</c:v>
                </c:pt>
                <c:pt idx="5">
                  <c:v>96.994127600278702</c:v>
                </c:pt>
                <c:pt idx="6">
                  <c:v>92.242888920441104</c:v>
                </c:pt>
                <c:pt idx="7">
                  <c:v>88.162120595286567</c:v>
                </c:pt>
                <c:pt idx="8">
                  <c:v>84.625070557075247</c:v>
                </c:pt>
                <c:pt idx="9">
                  <c:v>81.534471218206164</c:v>
                </c:pt>
                <c:pt idx="10">
                  <c:v>78.852611562891937</c:v>
                </c:pt>
                <c:pt idx="11">
                  <c:v>76.494367910828529</c:v>
                </c:pt>
                <c:pt idx="12">
                  <c:v>74.426242028487422</c:v>
                </c:pt>
                <c:pt idx="13">
                  <c:v>72.620910649079676</c:v>
                </c:pt>
                <c:pt idx="14">
                  <c:v>71.040641516311283</c:v>
                </c:pt>
                <c:pt idx="15">
                  <c:v>69.594715229423315</c:v>
                </c:pt>
                <c:pt idx="16">
                  <c:v>68.206474190726155</c:v>
                </c:pt>
                <c:pt idx="17">
                  <c:v>67.003575357535752</c:v>
                </c:pt>
                <c:pt idx="18">
                  <c:v>66.096924068233463</c:v>
                </c:pt>
                <c:pt idx="19">
                  <c:v>65.464194545210276</c:v>
                </c:pt>
                <c:pt idx="20">
                  <c:v>65.090338309454637</c:v>
                </c:pt>
                <c:pt idx="21">
                  <c:v>64.966666666666669</c:v>
                </c:pt>
                <c:pt idx="22">
                  <c:v>64.966666666666669</c:v>
                </c:pt>
                <c:pt idx="23">
                  <c:v>64.966666666666669</c:v>
                </c:pt>
                <c:pt idx="24">
                  <c:v>64.966666666666669</c:v>
                </c:pt>
                <c:pt idx="25">
                  <c:v>64.966666666666669</c:v>
                </c:pt>
                <c:pt idx="26">
                  <c:v>64.966666666666669</c:v>
                </c:pt>
                <c:pt idx="27">
                  <c:v>64.966666666666669</c:v>
                </c:pt>
                <c:pt idx="28">
                  <c:v>64.966666666666669</c:v>
                </c:pt>
                <c:pt idx="29">
                  <c:v>64.986162515421299</c:v>
                </c:pt>
                <c:pt idx="30">
                  <c:v>65.03820869623253</c:v>
                </c:pt>
                <c:pt idx="31">
                  <c:v>65.122961774926495</c:v>
                </c:pt>
                <c:pt idx="32">
                  <c:v>65.240677512217985</c:v>
                </c:pt>
                <c:pt idx="33">
                  <c:v>65.39829541641501</c:v>
                </c:pt>
                <c:pt idx="34">
                  <c:v>65.596392030156167</c:v>
                </c:pt>
                <c:pt idx="35">
                  <c:v>65.822357311719017</c:v>
                </c:pt>
                <c:pt idx="36">
                  <c:v>66.090200067819609</c:v>
                </c:pt>
                <c:pt idx="37">
                  <c:v>66.394140691534659</c:v>
                </c:pt>
                <c:pt idx="38">
                  <c:v>66.735148091080291</c:v>
                </c:pt>
                <c:pt idx="39">
                  <c:v>67.121259083238627</c:v>
                </c:pt>
                <c:pt idx="40">
                  <c:v>67.546960560060995</c:v>
                </c:pt>
                <c:pt idx="41">
                  <c:v>68.013679508654377</c:v>
                </c:pt>
                <c:pt idx="42">
                  <c:v>68.530239099859358</c:v>
                </c:pt>
                <c:pt idx="43">
                  <c:v>69.091424722606263</c:v>
                </c:pt>
                <c:pt idx="44">
                  <c:v>69.699245431462998</c:v>
                </c:pt>
                <c:pt idx="45">
                  <c:v>70.36355103072313</c:v>
                </c:pt>
                <c:pt idx="46">
                  <c:v>71.079504011670309</c:v>
                </c:pt>
                <c:pt idx="47">
                  <c:v>71.849885718498854</c:v>
                </c:pt>
                <c:pt idx="48">
                  <c:v>72.677779020770402</c:v>
                </c:pt>
                <c:pt idx="49">
                  <c:v>73.533295604602912</c:v>
                </c:pt>
                <c:pt idx="50">
                  <c:v>74.409193295918755</c:v>
                </c:pt>
                <c:pt idx="51">
                  <c:v>75.306209188207561</c:v>
                </c:pt>
                <c:pt idx="52">
                  <c:v>76.225116351832298</c:v>
                </c:pt>
                <c:pt idx="53">
                  <c:v>77.166726056142849</c:v>
                </c:pt>
                <c:pt idx="54">
                  <c:v>78.131890158348369</c:v>
                </c:pt>
                <c:pt idx="55">
                  <c:v>79.121503673933333</c:v>
                </c:pt>
                <c:pt idx="56">
                  <c:v>80.136507544920036</c:v>
                </c:pt>
                <c:pt idx="57">
                  <c:v>81.177891623974347</c:v>
                </c:pt>
                <c:pt idx="58">
                  <c:v>82.246697894248214</c:v>
                </c:pt>
                <c:pt idx="59">
                  <c:v>83.344023946974559</c:v>
                </c:pt>
                <c:pt idx="60">
                  <c:v>84.471026741212668</c:v>
                </c:pt>
                <c:pt idx="61">
                  <c:v>85.628926672817542</c:v>
                </c:pt>
                <c:pt idx="62">
                  <c:v>86.81901198271639</c:v>
                </c:pt>
                <c:pt idx="63">
                  <c:v>88.042643537968104</c:v>
                </c:pt>
                <c:pt idx="64">
                  <c:v>89.301260022909503</c:v>
                </c:pt>
                <c:pt idx="65">
                  <c:v>90.596383582020181</c:v>
                </c:pt>
                <c:pt idx="66">
                  <c:v>91.929625961039577</c:v>
                </c:pt>
                <c:pt idx="67">
                  <c:v>93.302695198429788</c:v>
                </c:pt>
                <c:pt idx="68">
                  <c:v>94.717402925596545</c:v>
                </c:pt>
                <c:pt idx="69">
                  <c:v>96.175672341475448</c:v>
                </c:pt>
                <c:pt idx="70">
                  <c:v>97.67954693529795</c:v>
                </c:pt>
                <c:pt idx="71">
                  <c:v>99.231200040731139</c:v>
                </c:pt>
                <c:pt idx="72">
                  <c:v>100.8329453153293</c:v>
                </c:pt>
                <c:pt idx="73">
                  <c:v>102.4872482515644</c:v>
                </c:pt>
                <c:pt idx="74">
                  <c:v>104.19673883988237</c:v>
                </c:pt>
                <c:pt idx="75">
                  <c:v>105.96422552057849</c:v>
                </c:pt>
                <c:pt idx="76">
                  <c:v>107.8822096756338</c:v>
                </c:pt>
                <c:pt idx="77">
                  <c:v>110.00112879557513</c:v>
                </c:pt>
                <c:pt idx="78">
                  <c:v>112.37963443464223</c:v>
                </c:pt>
                <c:pt idx="79">
                  <c:v>115.02596789423986</c:v>
                </c:pt>
                <c:pt idx="80">
                  <c:v>117.97106712668726</c:v>
                </c:pt>
                <c:pt idx="81">
                  <c:v>121.2290850283013</c:v>
                </c:pt>
                <c:pt idx="82">
                  <c:v>124.8878636421889</c:v>
                </c:pt>
                <c:pt idx="83">
                  <c:v>128.97888955065847</c:v>
                </c:pt>
                <c:pt idx="84">
                  <c:v>133.53888317917097</c:v>
                </c:pt>
                <c:pt idx="85">
                  <c:v>138.69911756333619</c:v>
                </c:pt>
                <c:pt idx="86">
                  <c:v>144.49881376037959</c:v>
                </c:pt>
                <c:pt idx="87">
                  <c:v>151.12041560052725</c:v>
                </c:pt>
                <c:pt idx="88">
                  <c:v>158.68751017749554</c:v>
                </c:pt>
                <c:pt idx="89">
                  <c:v>167.35359780182037</c:v>
                </c:pt>
                <c:pt idx="90">
                  <c:v>177.45606846945282</c:v>
                </c:pt>
                <c:pt idx="91">
                  <c:v>189.24167394892709</c:v>
                </c:pt>
                <c:pt idx="92">
                  <c:v>203.27492699207343</c:v>
                </c:pt>
                <c:pt idx="93">
                  <c:v>220.07678410117433</c:v>
                </c:pt>
                <c:pt idx="94">
                  <c:v>240.61728395061726</c:v>
                </c:pt>
                <c:pt idx="95">
                  <c:v>266.36599699330327</c:v>
                </c:pt>
                <c:pt idx="96">
                  <c:v>299.2476585290957</c:v>
                </c:pt>
                <c:pt idx="97">
                  <c:v>343.01302358324534</c:v>
                </c:pt>
                <c:pt idx="98">
                  <c:v>403.51966873706004</c:v>
                </c:pt>
                <c:pt idx="99">
                  <c:v>492.91856348002023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111.51666666666668</c:v>
                </c:pt>
                <c:pt idx="5">
                  <c:v>160.36666666666667</c:v>
                </c:pt>
                <c:pt idx="6">
                  <c:v>101</c:v>
                </c:pt>
                <c:pt idx="7">
                  <c:v>95.416666666666657</c:v>
                </c:pt>
                <c:pt idx="8">
                  <c:v>88.516666666666666</c:v>
                </c:pt>
                <c:pt idx="9">
                  <c:v>85.86666666666666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76.38333333333334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70.133333333333326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65.599999999999994</c:v>
                </c:pt>
                <c:pt idx="22">
                  <c:v>64.849999999999994</c:v>
                </c:pt>
                <c:pt idx="23">
                  <c:v>66.183333333333337</c:v>
                </c:pt>
                <c:pt idx="24">
                  <c:v>65.849999999999994</c:v>
                </c:pt>
                <c:pt idx="25">
                  <c:v>64.816666666666663</c:v>
                </c:pt>
                <c:pt idx="26">
                  <c:v>65.150000000000006</c:v>
                </c:pt>
                <c:pt idx="27">
                  <c:v>64.516666666666666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65.866666666666674</c:v>
                </c:pt>
                <c:pt idx="31">
                  <c:v>66.11666666666666</c:v>
                </c:pt>
                <c:pt idx="32">
                  <c:v>66.033333333333331</c:v>
                </c:pt>
                <c:pt idx="33">
                  <c:v>67.433333333333337</c:v>
                </c:pt>
                <c:pt idx="34">
                  <c:v>65.216666666666669</c:v>
                </c:pt>
                <c:pt idx="35">
                  <c:v>68.350000000000009</c:v>
                </c:pt>
                <c:pt idx="36">
                  <c:v>68.916666666666671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69.966666666666669</c:v>
                </c:pt>
                <c:pt idx="42">
                  <c:v>71.899999999999991</c:v>
                </c:pt>
                <c:pt idx="43">
                  <c:v>72.05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80.216666666666669</c:v>
                </c:pt>
                <c:pt idx="53">
                  <c:v>79.800000000000011</c:v>
                </c:pt>
                <c:pt idx="54">
                  <c:v>79.649999999999991</c:v>
                </c:pt>
                <c:pt idx="55">
                  <c:v>80.099999999999994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86</c:v>
                </c:pt>
                <c:pt idx="59">
                  <c:v>84.933333333333337</c:v>
                </c:pt>
                <c:pt idx="60">
                  <c:v>86.516666666666666</c:v>
                </c:pt>
                <c:pt idx="61">
                  <c:v>86.883333333333326</c:v>
                </c:pt>
                <c:pt idx="62">
                  <c:v>87.95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95.199999999999989</c:v>
                </c:pt>
                <c:pt idx="69">
                  <c:v>97.633333333333326</c:v>
                </c:pt>
                <c:pt idx="70">
                  <c:v>97.016666666666666</c:v>
                </c:pt>
                <c:pt idx="71">
                  <c:v>105.7</c:v>
                </c:pt>
                <c:pt idx="72">
                  <c:v>101</c:v>
                </c:pt>
                <c:pt idx="73">
                  <c:v>109.96666666666668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125.89999999999999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136.45000000000002</c:v>
                </c:pt>
                <c:pt idx="83">
                  <c:v>143.6</c:v>
                </c:pt>
                <c:pt idx="84">
                  <c:v>132.61666666666667</c:v>
                </c:pt>
                <c:pt idx="86">
                  <c:v>163.5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2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111.51666666666667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75.233333333333334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64.233333333333334</c:v>
                </c:pt>
                <c:pt idx="20" formatCode="0.000">
                  <c:v>66.816666666666663</c:v>
                </c:pt>
                <c:pt idx="21" formatCode="0.000">
                  <c:v>63.85</c:v>
                </c:pt>
                <c:pt idx="22" formatCode="0.000">
                  <c:v>62.866666666666667</c:v>
                </c:pt>
                <c:pt idx="23" formatCode="0.000">
                  <c:v>66.183333333333337</c:v>
                </c:pt>
                <c:pt idx="24" formatCode="0.000">
                  <c:v>65.850000000000009</c:v>
                </c:pt>
                <c:pt idx="25" formatCode="0.000">
                  <c:v>64.033333333333331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64.8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67.25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69.766666666666666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79.63333333333334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84.316666666666663</c:v>
                </c:pt>
                <c:pt idx="58" formatCode="0.000">
                  <c:v>85.983333333333334</c:v>
                </c:pt>
                <c:pt idx="59" formatCode="0.000">
                  <c:v>83.649999999999991</c:v>
                </c:pt>
                <c:pt idx="60" formatCode="0.000">
                  <c:v>82.550000000000011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92.933333333333323</c:v>
                </c:pt>
                <c:pt idx="65" formatCode="0.000">
                  <c:v>94.73333333333332</c:v>
                </c:pt>
                <c:pt idx="66" formatCode="0.000">
                  <c:v>93.716666666666669</c:v>
                </c:pt>
                <c:pt idx="67" formatCode="0.000">
                  <c:v>91.63333333333334</c:v>
                </c:pt>
                <c:pt idx="68" formatCode="0.000">
                  <c:v>95.199999999999989</c:v>
                </c:pt>
                <c:pt idx="69" formatCode="0.000">
                  <c:v>97.63333333333334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109.96666666666665</c:v>
                </c:pt>
                <c:pt idx="74" formatCode="0.000">
                  <c:v>103.14999999999999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</c:v>
                </c:pt>
                <c:pt idx="78" formatCode="0.000">
                  <c:v>125.88333333333334</c:v>
                </c:pt>
                <c:pt idx="79" formatCode="0.000">
                  <c:v>124.31666666666666</c:v>
                </c:pt>
                <c:pt idx="80" formatCode="0.000">
                  <c:v>125.33333333333333</c:v>
                </c:pt>
                <c:pt idx="81" formatCode="0.000">
                  <c:v>136.1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5" formatCode="0.000">
                  <c:v>162.94999999999999</c:v>
                </c:pt>
                <c:pt idx="86" formatCode="0.000">
                  <c:v>163.5</c:v>
                </c:pt>
                <c:pt idx="87" formatCode="0.000">
                  <c:v>172.6</c:v>
                </c:pt>
                <c:pt idx="92" formatCode="0.000">
                  <c:v>289.41666666666663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4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111.5448308493021</c:v>
                </c:pt>
                <c:pt idx="5" formatCode="0.000">
                  <c:v>103.87750605860323</c:v>
                </c:pt>
                <c:pt idx="6" formatCode="0.000">
                  <c:v>97.497932175351522</c:v>
                </c:pt>
                <c:pt idx="7" formatCode="0.000">
                  <c:v>92.139332649372221</c:v>
                </c:pt>
                <c:pt idx="8" formatCode="0.000">
                  <c:v>87.582427788613359</c:v>
                </c:pt>
                <c:pt idx="9" formatCode="0.000">
                  <c:v>83.677181773814283</c:v>
                </c:pt>
                <c:pt idx="10" formatCode="0.000">
                  <c:v>80.320258932754143</c:v>
                </c:pt>
                <c:pt idx="11" formatCode="0.000">
                  <c:v>77.412469728686943</c:v>
                </c:pt>
                <c:pt idx="12" formatCode="0.000">
                  <c:v>74.894766102771825</c:v>
                </c:pt>
                <c:pt idx="13" formatCode="0.000">
                  <c:v>72.703442427045985</c:v>
                </c:pt>
                <c:pt idx="14" formatCode="0.000">
                  <c:v>70.803769193227467</c:v>
                </c:pt>
                <c:pt idx="15" formatCode="0.000">
                  <c:v>69.15264180691527</c:v>
                </c:pt>
                <c:pt idx="16" formatCode="0.000">
                  <c:v>67.649485275655508</c:v>
                </c:pt>
                <c:pt idx="17" formatCode="0.000">
                  <c:v>66.210286115499386</c:v>
                </c:pt>
                <c:pt idx="18" formatCode="0.000">
                  <c:v>64.831047402976864</c:v>
                </c:pt>
                <c:pt idx="19" formatCode="0.000">
                  <c:v>63.726980908937321</c:v>
                </c:pt>
                <c:pt idx="20" formatCode="0.000">
                  <c:v>63.081142551341223</c:v>
                </c:pt>
                <c:pt idx="21" formatCode="0.000">
                  <c:v>62.866666666666667</c:v>
                </c:pt>
                <c:pt idx="22" formatCode="0.000">
                  <c:v>62.866666666666667</c:v>
                </c:pt>
                <c:pt idx="23" formatCode="0.000">
                  <c:v>62.866666666666667</c:v>
                </c:pt>
                <c:pt idx="24" formatCode="0.000">
                  <c:v>62.866666666666667</c:v>
                </c:pt>
                <c:pt idx="25" formatCode="0.000">
                  <c:v>62.866666666666667</c:v>
                </c:pt>
                <c:pt idx="26" formatCode="0.000">
                  <c:v>62.866666666666667</c:v>
                </c:pt>
                <c:pt idx="27" formatCode="0.000">
                  <c:v>62.8792425151697</c:v>
                </c:pt>
                <c:pt idx="28" formatCode="0.000">
                  <c:v>62.923297634537754</c:v>
                </c:pt>
                <c:pt idx="29" formatCode="0.000">
                  <c:v>62.998964492100079</c:v>
                </c:pt>
                <c:pt idx="30" formatCode="0.000">
                  <c:v>63.106471257444959</c:v>
                </c:pt>
                <c:pt idx="31" formatCode="0.000">
                  <c:v>63.239781376789729</c:v>
                </c:pt>
                <c:pt idx="32" formatCode="0.000">
                  <c:v>63.405614388972936</c:v>
                </c:pt>
                <c:pt idx="33" formatCode="0.000">
                  <c:v>63.604478618642929</c:v>
                </c:pt>
                <c:pt idx="34" formatCode="0.000">
                  <c:v>63.830507327309036</c:v>
                </c:pt>
                <c:pt idx="35" formatCode="0.000">
                  <c:v>64.090800965100073</c:v>
                </c:pt>
                <c:pt idx="36" formatCode="0.000">
                  <c:v>64.386180527106376</c:v>
                </c:pt>
                <c:pt idx="37" formatCode="0.000">
                  <c:v>64.71758973303136</c:v>
                </c:pt>
                <c:pt idx="38" formatCode="0.000">
                  <c:v>65.079365079365076</c:v>
                </c:pt>
                <c:pt idx="39" formatCode="0.000">
                  <c:v>65.479290351699476</c:v>
                </c:pt>
                <c:pt idx="40" formatCode="0.000">
                  <c:v>65.918702596903287</c:v>
                </c:pt>
                <c:pt idx="41" formatCode="0.000">
                  <c:v>66.39909871849035</c:v>
                </c:pt>
                <c:pt idx="42" formatCode="0.000">
                  <c:v>66.915025722902257</c:v>
                </c:pt>
                <c:pt idx="43" formatCode="0.000">
                  <c:v>67.475224500017887</c:v>
                </c:pt>
                <c:pt idx="44" formatCode="0.000">
                  <c:v>68.081726951122661</c:v>
                </c:pt>
                <c:pt idx="45" formatCode="0.000">
                  <c:v>68.729273714514775</c:v>
                </c:pt>
                <c:pt idx="46" formatCode="0.000">
                  <c:v>69.427572243695934</c:v>
                </c:pt>
                <c:pt idx="47" formatCode="0.000">
                  <c:v>70.179355510902724</c:v>
                </c:pt>
                <c:pt idx="48" formatCode="0.000">
                  <c:v>70.987654320987644</c:v>
                </c:pt>
                <c:pt idx="49" formatCode="0.000">
                  <c:v>71.822994021097529</c:v>
                </c:pt>
                <c:pt idx="50" formatCode="0.000">
                  <c:v>72.686630438971747</c:v>
                </c:pt>
                <c:pt idx="51" formatCode="0.000">
                  <c:v>73.562680396286765</c:v>
                </c:pt>
                <c:pt idx="52" formatCode="0.000">
                  <c:v>74.468925215193877</c:v>
                </c:pt>
                <c:pt idx="53" formatCode="0.000">
                  <c:v>75.388735659751376</c:v>
                </c:pt>
                <c:pt idx="54" formatCode="0.000">
                  <c:v>76.340821696012952</c:v>
                </c:pt>
                <c:pt idx="55" formatCode="0.000">
                  <c:v>77.307755369732746</c:v>
                </c:pt>
                <c:pt idx="56" formatCode="0.000">
                  <c:v>78.309250954990873</c:v>
                </c:pt>
                <c:pt idx="57" formatCode="0.000">
                  <c:v>79.327024185068353</c:v>
                </c:pt>
                <c:pt idx="58" formatCode="0.000">
                  <c:v>80.381877850232286</c:v>
                </c:pt>
                <c:pt idx="59" formatCode="0.000">
                  <c:v>81.454608275028065</c:v>
                </c:pt>
                <c:pt idx="60" formatCode="0.000">
                  <c:v>82.567200770510468</c:v>
                </c:pt>
                <c:pt idx="61" formatCode="0.000">
                  <c:v>83.699463009807843</c:v>
                </c:pt>
                <c:pt idx="62" formatCode="0.000">
                  <c:v>84.874668106745872</c:v>
                </c:pt>
                <c:pt idx="63" formatCode="0.000">
                  <c:v>86.071558963125227</c:v>
                </c:pt>
                <c:pt idx="64" formatCode="0.000">
                  <c:v>87.314814814814824</c:v>
                </c:pt>
                <c:pt idx="65" formatCode="0.000">
                  <c:v>88.582029965713218</c:v>
                </c:pt>
                <c:pt idx="66" formatCode="0.000">
                  <c:v>89.899423232756561</c:v>
                </c:pt>
                <c:pt idx="67" formatCode="0.000">
                  <c:v>91.243347847121441</c:v>
                </c:pt>
                <c:pt idx="68" formatCode="0.000">
                  <c:v>92.641713331368507</c:v>
                </c:pt>
                <c:pt idx="69" formatCode="0.000">
                  <c:v>94.069529652351733</c:v>
                </c:pt>
                <c:pt idx="70" formatCode="0.000">
                  <c:v>95.55656888078228</c:v>
                </c:pt>
                <c:pt idx="71" formatCode="0.000">
                  <c:v>97.076384599547055</c:v>
                </c:pt>
                <c:pt idx="72" formatCode="0.000">
                  <c:v>98.660807700355718</c:v>
                </c:pt>
                <c:pt idx="73" formatCode="0.000">
                  <c:v>100.28180996437497</c:v>
                </c:pt>
                <c:pt idx="74" formatCode="0.000">
                  <c:v>101.97350635306839</c:v>
                </c:pt>
                <c:pt idx="75" formatCode="0.000">
                  <c:v>103.75749573637015</c:v>
                </c:pt>
                <c:pt idx="76" formatCode="0.000">
                  <c:v>105.7471264367816</c:v>
                </c:pt>
                <c:pt idx="77" formatCode="0.000">
                  <c:v>107.98122065727699</c:v>
                </c:pt>
                <c:pt idx="78" formatCode="0.000">
                  <c:v>110.44741157179666</c:v>
                </c:pt>
                <c:pt idx="79" formatCode="0.000">
                  <c:v>113.19169367422879</c:v>
                </c:pt>
                <c:pt idx="80" formatCode="0.000">
                  <c:v>116.2690339683127</c:v>
                </c:pt>
                <c:pt idx="81" formatCode="0.000">
                  <c:v>119.67764452059141</c:v>
                </c:pt>
                <c:pt idx="82" formatCode="0.000">
                  <c:v>123.48589013291429</c:v>
                </c:pt>
                <c:pt idx="83" formatCode="0.000">
                  <c:v>127.75181196233828</c:v>
                </c:pt>
                <c:pt idx="84" formatCode="0.000">
                  <c:v>132.574159988753</c:v>
                </c:pt>
                <c:pt idx="85" formatCode="0.000">
                  <c:v>137.98653789874157</c:v>
                </c:pt>
                <c:pt idx="86" formatCode="0.000">
                  <c:v>144.123490753477</c:v>
                </c:pt>
                <c:pt idx="87" formatCode="0.000">
                  <c:v>151.15813096096818</c:v>
                </c:pt>
                <c:pt idx="88" formatCode="0.000">
                  <c:v>159.19642103486115</c:v>
                </c:pt>
                <c:pt idx="89" formatCode="0.000">
                  <c:v>168.4981684981685</c:v>
                </c:pt>
                <c:pt idx="90" formatCode="0.000">
                  <c:v>179.41400304414003</c:v>
                </c:pt>
                <c:pt idx="91" formatCode="0.000">
                  <c:v>192.25280326197756</c:v>
                </c:pt>
                <c:pt idx="92" formatCode="0.000">
                  <c:v>207.61778952003522</c:v>
                </c:pt>
                <c:pt idx="93" formatCode="0.000">
                  <c:v>226.30189584833215</c:v>
                </c:pt>
                <c:pt idx="94" formatCode="0.000">
                  <c:v>249.56993515945479</c:v>
                </c:pt>
                <c:pt idx="95" formatCode="0.000">
                  <c:v>279.03536026039353</c:v>
                </c:pt>
                <c:pt idx="96" formatCode="0.000">
                  <c:v>317.66885632474316</c:v>
                </c:pt>
                <c:pt idx="97" formatCode="0.000">
                  <c:v>370.67610062893084</c:v>
                </c:pt>
                <c:pt idx="98" formatCode="0.000">
                  <c:v>447.13134186818399</c:v>
                </c:pt>
                <c:pt idx="99" formatCode="0.000">
                  <c:v>567.38868832731646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BC-4C75-B7E1-ED15D6A02F36}"/>
            </c:ext>
          </c:extLst>
        </c:ser>
        <c:ser>
          <c:idx val="1"/>
          <c:order val="4"/>
          <c:tx>
            <c:v>World Record</c:v>
          </c:tx>
          <c:spPr>
            <a:ln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H.Marathon!$C$29</c:f>
              <c:numCache>
                <c:formatCode>0.000</c:formatCode>
                <c:ptCount val="1"/>
                <c:pt idx="0">
                  <c:v>62.866666666666667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8-42DD-A05D-BCF703AE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20"/>
          <c:min val="6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01226083687602"/>
          <c:y val="0.14745778063972023"/>
          <c:w val="0.37883731852468094"/>
          <c:h val="0.280336400026488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134.42213459520767</c:v>
                </c:pt>
                <c:pt idx="5" formatCode="0.000">
                  <c:v>124.82492005512839</c:v>
                </c:pt>
                <c:pt idx="6" formatCode="0.000">
                  <c:v>116.92342256172297</c:v>
                </c:pt>
                <c:pt idx="7" formatCode="0.000">
                  <c:v>110.33808874424734</c:v>
                </c:pt>
                <c:pt idx="8" formatCode="0.000">
                  <c:v>104.78976939127375</c:v>
                </c:pt>
                <c:pt idx="9" formatCode="0.000">
                  <c:v>100.07157389977172</c:v>
                </c:pt>
                <c:pt idx="10" formatCode="0.000">
                  <c:v>96.050518689685447</c:v>
                </c:pt>
                <c:pt idx="11" formatCode="0.000">
                  <c:v>92.596050376169998</c:v>
                </c:pt>
                <c:pt idx="12" formatCode="0.000">
                  <c:v>89.634534637769903</c:v>
                </c:pt>
                <c:pt idx="13" formatCode="0.000">
                  <c:v>87.082978358312502</c:v>
                </c:pt>
                <c:pt idx="14" formatCode="0.000">
                  <c:v>84.899767163872454</c:v>
                </c:pt>
                <c:pt idx="15" formatCode="0.000">
                  <c:v>82.995431646040771</c:v>
                </c:pt>
                <c:pt idx="16" formatCode="0.000">
                  <c:v>81.241051389530909</c:v>
                </c:pt>
                <c:pt idx="17" formatCode="0.000">
                  <c:v>79.559304924538381</c:v>
                </c:pt>
                <c:pt idx="18" formatCode="0.000">
                  <c:v>77.945773021661239</c:v>
                </c:pt>
                <c:pt idx="19" formatCode="0.000">
                  <c:v>76.619702859499938</c:v>
                </c:pt>
                <c:pt idx="20" formatCode="0.000">
                  <c:v>75.771544689574597</c:v>
                </c:pt>
                <c:pt idx="21" formatCode="0.000">
                  <c:v>75.3672370541655</c:v>
                </c:pt>
                <c:pt idx="22" formatCode="0.000">
                  <c:v>75.20624467773159</c:v>
                </c:pt>
                <c:pt idx="23" formatCode="0.000">
                  <c:v>75.091933568015321</c:v>
                </c:pt>
                <c:pt idx="24" formatCode="0.000">
                  <c:v>75.022043520723287</c:v>
                </c:pt>
                <c:pt idx="25" formatCode="0.000">
                  <c:v>75</c:v>
                </c:pt>
                <c:pt idx="26" formatCode="0.000">
                  <c:v>75</c:v>
                </c:pt>
                <c:pt idx="27" formatCode="0.000">
                  <c:v>75.026027551180235</c:v>
                </c:pt>
                <c:pt idx="28" formatCode="0.000">
                  <c:v>75.082281533575511</c:v>
                </c:pt>
                <c:pt idx="29" formatCode="0.000">
                  <c:v>75.174432530890158</c:v>
                </c:pt>
                <c:pt idx="30" formatCode="0.000">
                  <c:v>75.302744929567055</c:v>
                </c:pt>
                <c:pt idx="31" formatCode="0.000">
                  <c:v>75.461854503451448</c:v>
                </c:pt>
                <c:pt idx="32" formatCode="0.000">
                  <c:v>75.657912493766929</c:v>
                </c:pt>
                <c:pt idx="33" formatCode="0.000">
                  <c:v>75.889610496569304</c:v>
                </c:pt>
                <c:pt idx="34" formatCode="0.000">
                  <c:v>76.155542840316542</c:v>
                </c:pt>
                <c:pt idx="35" formatCode="0.000">
                  <c:v>76.458484929966346</c:v>
                </c:pt>
                <c:pt idx="36" formatCode="0.000">
                  <c:v>76.799300142526889</c:v>
                </c:pt>
                <c:pt idx="37" formatCode="0.000">
                  <c:v>77.182861543200318</c:v>
                </c:pt>
                <c:pt idx="38" formatCode="0.000">
                  <c:v>77.602378176861677</c:v>
                </c:pt>
                <c:pt idx="39" formatCode="0.000">
                  <c:v>78.063109671013265</c:v>
                </c:pt>
                <c:pt idx="40" formatCode="0.000">
                  <c:v>78.568463178804279</c:v>
                </c:pt>
                <c:pt idx="41" formatCode="0.000">
                  <c:v>79.120071897969623</c:v>
                </c:pt>
                <c:pt idx="42" formatCode="0.000">
                  <c:v>79.711281111320602</c:v>
                </c:pt>
                <c:pt idx="43" formatCode="0.000">
                  <c:v>80.352306794461271</c:v>
                </c:pt>
                <c:pt idx="44" formatCode="0.000">
                  <c:v>81.04749377857928</c:v>
                </c:pt>
                <c:pt idx="45" formatCode="0.000">
                  <c:v>81.788293687935891</c:v>
                </c:pt>
                <c:pt idx="46" formatCode="0.000">
                  <c:v>82.583754466911245</c:v>
                </c:pt>
                <c:pt idx="47" formatCode="0.000">
                  <c:v>83.441230733133963</c:v>
                </c:pt>
                <c:pt idx="48" formatCode="0.000">
                  <c:v>84.359475413599228</c:v>
                </c:pt>
                <c:pt idx="49" formatCode="0.000">
                  <c:v>85.314985389163937</c:v>
                </c:pt>
                <c:pt idx="50" formatCode="0.000">
                  <c:v>86.309613892153408</c:v>
                </c:pt>
                <c:pt idx="51" formatCode="0.000">
                  <c:v>87.329987909556067</c:v>
                </c:pt>
                <c:pt idx="52" formatCode="0.000">
                  <c:v>88.392843366282904</c:v>
                </c:pt>
                <c:pt idx="53" formatCode="0.000">
                  <c:v>89.481669007858841</c:v>
                </c:pt>
                <c:pt idx="54" formatCode="0.000">
                  <c:v>90.61664050743353</c:v>
                </c:pt>
                <c:pt idx="55" formatCode="0.000">
                  <c:v>91.777792357294558</c:v>
                </c:pt>
                <c:pt idx="56" formatCode="0.000">
                  <c:v>92.97779156494407</c:v>
                </c:pt>
                <c:pt idx="57" formatCode="0.000">
                  <c:v>94.200651131657409</c:v>
                </c:pt>
                <c:pt idx="58" formatCode="0.000">
                  <c:v>95.465281150542296</c:v>
                </c:pt>
                <c:pt idx="59" formatCode="0.000">
                  <c:v>96.754901523810616</c:v>
                </c:pt>
                <c:pt idx="60" formatCode="0.000">
                  <c:v>98.089528030637652</c:v>
                </c:pt>
                <c:pt idx="61" formatCode="0.000">
                  <c:v>99.451529467360743</c:v>
                </c:pt>
                <c:pt idx="62" formatCode="0.000">
                  <c:v>100.8621289600347</c:v>
                </c:pt>
                <c:pt idx="63" formatCode="0.000">
                  <c:v>102.30278075214687</c:v>
                </c:pt>
                <c:pt idx="64" formatCode="0.000">
                  <c:v>103.79603000993455</c:v>
                </c:pt>
                <c:pt idx="65" formatCode="0.000">
                  <c:v>105.32234695365881</c:v>
                </c:pt>
                <c:pt idx="66" formatCode="0.000">
                  <c:v>106.90572869355657</c:v>
                </c:pt>
                <c:pt idx="67" formatCode="0.000">
                  <c:v>108.52558529122277</c:v>
                </c:pt>
                <c:pt idx="68" formatCode="0.000">
                  <c:v>110.20751354767538</c:v>
                </c:pt>
                <c:pt idx="69" formatCode="0.000">
                  <c:v>111.92977986481915</c:v>
                </c:pt>
                <c:pt idx="70" formatCode="0.000">
                  <c:v>113.71974952592866</c:v>
                </c:pt>
                <c:pt idx="71" formatCode="0.000">
                  <c:v>115.55445365041595</c:v>
                </c:pt>
                <c:pt idx="72" formatCode="0.000">
                  <c:v>117.46321976024193</c:v>
                </c:pt>
                <c:pt idx="73" formatCode="0.000">
                  <c:v>119.42174314505202</c:v>
                </c:pt>
                <c:pt idx="74" formatCode="0.000">
                  <c:v>121.46153712132565</c:v>
                </c:pt>
                <c:pt idx="75" formatCode="0.000">
                  <c:v>123.60796904934253</c:v>
                </c:pt>
                <c:pt idx="76" formatCode="0.000">
                  <c:v>126.01111382497875</c:v>
                </c:pt>
                <c:pt idx="77" formatCode="0.000">
                  <c:v>128.71885362583771</c:v>
                </c:pt>
                <c:pt idx="78" formatCode="0.000">
                  <c:v>131.72987892828166</c:v>
                </c:pt>
                <c:pt idx="79" formatCode="0.000">
                  <c:v>135.09737019676859</c:v>
                </c:pt>
                <c:pt idx="80" formatCode="0.000">
                  <c:v>138.88518449084165</c:v>
                </c:pt>
                <c:pt idx="81" formatCode="0.000">
                  <c:v>143.10909123915314</c:v>
                </c:pt>
                <c:pt idx="82" formatCode="0.000">
                  <c:v>147.85212856407716</c:v>
                </c:pt>
                <c:pt idx="83" formatCode="0.000">
                  <c:v>153.19316357995868</c:v>
                </c:pt>
                <c:pt idx="84" formatCode="0.000">
                  <c:v>159.25480146288595</c:v>
                </c:pt>
                <c:pt idx="85" formatCode="0.000">
                  <c:v>166.10894513916844</c:v>
                </c:pt>
                <c:pt idx="86" formatCode="0.000">
                  <c:v>173.93121833143502</c:v>
                </c:pt>
                <c:pt idx="87" formatCode="0.000">
                  <c:v>182.94914094624906</c:v>
                </c:pt>
                <c:pt idx="88" formatCode="0.000">
                  <c:v>193.35023817377905</c:v>
                </c:pt>
                <c:pt idx="89" formatCode="0.000">
                  <c:v>205.49590331266597</c:v>
                </c:pt>
                <c:pt idx="90" formatCode="0.000">
                  <c:v>219.87978880840731</c:v>
                </c:pt>
                <c:pt idx="91" formatCode="0.000">
                  <c:v>237.02507439413606</c:v>
                </c:pt>
                <c:pt idx="92" formatCode="0.000">
                  <c:v>257.84226317067555</c:v>
                </c:pt>
                <c:pt idx="93" formatCode="0.000">
                  <c:v>283.60175435607522</c:v>
                </c:pt>
                <c:pt idx="94" formatCode="0.000">
                  <c:v>316.34062631407852</c:v>
                </c:pt>
                <c:pt idx="95" formatCode="0.000">
                  <c:v>358.99058025296142</c:v>
                </c:pt>
                <c:pt idx="96" formatCode="0.000">
                  <c:v>416.94788563541965</c:v>
                </c:pt>
                <c:pt idx="97" formatCode="0.000">
                  <c:v>500.36997803788523</c:v>
                </c:pt>
                <c:pt idx="98" formatCode="0.000">
                  <c:v>629.71425313837653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164.59257950028962</c:v>
                </c:pt>
                <c:pt idx="5" formatCode="0.000">
                  <c:v>152.36413360762714</c:v>
                </c:pt>
                <c:pt idx="6" formatCode="0.000">
                  <c:v>142.40728495454451</c:v>
                </c:pt>
                <c:pt idx="7" formatCode="0.000">
                  <c:v>134.17687001902166</c:v>
                </c:pt>
                <c:pt idx="8" formatCode="0.000">
                  <c:v>127.30974962620886</c:v>
                </c:pt>
                <c:pt idx="9" formatCode="0.000">
                  <c:v>121.5176570776476</c:v>
                </c:pt>
                <c:pt idx="10" formatCode="0.000">
                  <c:v>116.62643101444847</c:v>
                </c:pt>
                <c:pt idx="11" formatCode="0.000">
                  <c:v>112.46184275988692</c:v>
                </c:pt>
                <c:pt idx="12" formatCode="0.000">
                  <c:v>108.93063374053703</c:v>
                </c:pt>
                <c:pt idx="13" formatCode="0.000">
                  <c:v>105.92329955413869</c:v>
                </c:pt>
                <c:pt idx="14" formatCode="0.000">
                  <c:v>103.38948885488342</c:v>
                </c:pt>
                <c:pt idx="15" formatCode="0.000">
                  <c:v>101.17044003341168</c:v>
                </c:pt>
                <c:pt idx="16" formatCode="0.000">
                  <c:v>99.097820120670718</c:v>
                </c:pt>
                <c:pt idx="17" formatCode="0.000">
                  <c:v>97.108416519126493</c:v>
                </c:pt>
                <c:pt idx="18" formatCode="0.000">
                  <c:v>95.197316120382894</c:v>
                </c:pt>
                <c:pt idx="19" formatCode="0.000">
                  <c:v>93.579535406856806</c:v>
                </c:pt>
                <c:pt idx="20" formatCode="0.000">
                  <c:v>92.448272018420397</c:v>
                </c:pt>
                <c:pt idx="21" formatCode="0.000">
                  <c:v>91.760761172748531</c:v>
                </c:pt>
                <c:pt idx="22" formatCode="0.000">
                  <c:v>91.352983177248348</c:v>
                </c:pt>
                <c:pt idx="23" formatCode="0.000">
                  <c:v>91.064587503757281</c:v>
                </c:pt>
                <c:pt idx="24" formatCode="0.000">
                  <c:v>90.888727152884357</c:v>
                </c:pt>
                <c:pt idx="25" formatCode="0.000">
                  <c:v>90.833333333333343</c:v>
                </c:pt>
                <c:pt idx="26" formatCode="0.000">
                  <c:v>90.833333333333343</c:v>
                </c:pt>
                <c:pt idx="27" formatCode="0.000">
                  <c:v>90.879203181464675</c:v>
                </c:pt>
                <c:pt idx="28" formatCode="0.000">
                  <c:v>90.952145244641926</c:v>
                </c:pt>
                <c:pt idx="29" formatCode="0.000">
                  <c:v>91.066198838112882</c:v>
                </c:pt>
                <c:pt idx="30" formatCode="0.000">
                  <c:v>91.221673246459517</c:v>
                </c:pt>
                <c:pt idx="31" formatCode="0.000">
                  <c:v>91.414464352890192</c:v>
                </c:pt>
                <c:pt idx="32" formatCode="0.000">
                  <c:v>91.649593238185076</c:v>
                </c:pt>
                <c:pt idx="33" formatCode="0.000">
                  <c:v>91.922983342674073</c:v>
                </c:pt>
                <c:pt idx="34" formatCode="0.000">
                  <c:v>92.240214956386055</c:v>
                </c:pt>
                <c:pt idx="35" formatCode="0.000">
                  <c:v>92.597237647148702</c:v>
                </c:pt>
                <c:pt idx="36" formatCode="0.000">
                  <c:v>92.994952334876757</c:v>
                </c:pt>
                <c:pt idx="37" formatCode="0.000">
                  <c:v>93.444138493351403</c:v>
                </c:pt>
                <c:pt idx="38" formatCode="0.000">
                  <c:v>93.936527277533102</c:v>
                </c:pt>
                <c:pt idx="39" formatCode="0.000">
                  <c:v>94.473265021852612</c:v>
                </c:pt>
                <c:pt idx="40" formatCode="0.000">
                  <c:v>95.060840473186559</c:v>
                </c:pt>
                <c:pt idx="41" formatCode="0.000">
                  <c:v>95.701042843484316</c:v>
                </c:pt>
                <c:pt idx="42" formatCode="0.000">
                  <c:v>96.38562990038524</c:v>
                </c:pt>
                <c:pt idx="43" formatCode="0.000">
                  <c:v>97.126712675151438</c:v>
                </c:pt>
                <c:pt idx="44" formatCode="0.000">
                  <c:v>97.932044034150678</c:v>
                </c:pt>
                <c:pt idx="45" formatCode="0.000">
                  <c:v>98.788346945162431</c:v>
                </c:pt>
                <c:pt idx="46" formatCode="0.000">
                  <c:v>99.703340754336708</c:v>
                </c:pt>
                <c:pt idx="47" formatCode="0.000">
                  <c:v>100.69122122890037</c:v>
                </c:pt>
                <c:pt idx="48" formatCode="0.000">
                  <c:v>101.74426006204423</c:v>
                </c:pt>
                <c:pt idx="49" formatCode="0.000">
                  <c:v>102.84893800953154</c:v>
                </c:pt>
                <c:pt idx="50" formatCode="0.000">
                  <c:v>104.00791368356305</c:v>
                </c:pt>
                <c:pt idx="51" formatCode="0.000">
                  <c:v>105.2120648805508</c:v>
                </c:pt>
                <c:pt idx="52" formatCode="0.000">
                  <c:v>106.47591399021516</c:v>
                </c:pt>
                <c:pt idx="53" formatCode="0.000">
                  <c:v>107.78368775576151</c:v>
                </c:pt>
                <c:pt idx="54" formatCode="0.000">
                  <c:v>109.15708084609395</c:v>
                </c:pt>
                <c:pt idx="55" formatCode="0.000">
                  <c:v>110.57297384624586</c:v>
                </c:pt>
                <c:pt idx="56" formatCode="0.000">
                  <c:v>112.03288064819866</c:v>
                </c:pt>
                <c:pt idx="57" formatCode="0.000">
                  <c:v>113.52487112882429</c:v>
                </c:pt>
                <c:pt idx="58" formatCode="0.000">
                  <c:v>115.06430944574916</c:v>
                </c:pt>
                <c:pt idx="59" formatCode="0.000">
                  <c:v>116.63870133095938</c:v>
                </c:pt>
                <c:pt idx="60" formatCode="0.000">
                  <c:v>118.26435178740567</c:v>
                </c:pt>
                <c:pt idx="61" formatCode="0.000">
                  <c:v>119.92816502855561</c:v>
                </c:pt>
                <c:pt idx="62" formatCode="0.000">
                  <c:v>121.64747799048627</c:v>
                </c:pt>
                <c:pt idx="63" formatCode="0.000">
                  <c:v>123.40855319364238</c:v>
                </c:pt>
                <c:pt idx="64" formatCode="0.000">
                  <c:v>125.22986291226091</c:v>
                </c:pt>
                <c:pt idx="65" formatCode="0.000">
                  <c:v>127.09698486296672</c:v>
                </c:pt>
                <c:pt idx="66" formatCode="0.000">
                  <c:v>129.02964454959638</c:v>
                </c:pt>
                <c:pt idx="67" formatCode="0.000">
                  <c:v>131.01268874027178</c:v>
                </c:pt>
                <c:pt idx="68" formatCode="0.000">
                  <c:v>133.06723119109293</c:v>
                </c:pt>
                <c:pt idx="69" formatCode="0.000">
                  <c:v>135.17733850825201</c:v>
                </c:pt>
                <c:pt idx="70" formatCode="0.000">
                  <c:v>137.3656681003653</c:v>
                </c:pt>
                <c:pt idx="71" formatCode="0.000">
                  <c:v>139.61545419388392</c:v>
                </c:pt>
                <c:pt idx="72" formatCode="0.000">
                  <c:v>141.95107764095022</c:v>
                </c:pt>
                <c:pt idx="73" formatCode="0.000">
                  <c:v>144.35488528301605</c:v>
                </c:pt>
                <c:pt idx="74" formatCode="0.000">
                  <c:v>146.85319059637922</c:v>
                </c:pt>
                <c:pt idx="75" formatCode="0.000">
                  <c:v>149.47618746709324</c:v>
                </c:pt>
                <c:pt idx="76" formatCode="0.000">
                  <c:v>152.42484606932501</c:v>
                </c:pt>
                <c:pt idx="77" formatCode="0.000">
                  <c:v>155.75923555559294</c:v>
                </c:pt>
                <c:pt idx="78" formatCode="0.000">
                  <c:v>159.49530858600986</c:v>
                </c:pt>
                <c:pt idx="79" formatCode="0.000">
                  <c:v>163.69548560811592</c:v>
                </c:pt>
                <c:pt idx="80" formatCode="0.000">
                  <c:v>168.43510961014658</c:v>
                </c:pt>
                <c:pt idx="81" formatCode="0.000">
                  <c:v>173.75705516030649</c:v>
                </c:pt>
                <c:pt idx="82" formatCode="0.000">
                  <c:v>179.76446324047555</c:v>
                </c:pt>
                <c:pt idx="83" formatCode="0.000">
                  <c:v>186.56637412978242</c:v>
                </c:pt>
                <c:pt idx="84" formatCode="0.000">
                  <c:v>194.31873749295642</c:v>
                </c:pt>
                <c:pt idx="85" formatCode="0.000">
                  <c:v>203.15282923927671</c:v>
                </c:pt>
                <c:pt idx="86" formatCode="0.000">
                  <c:v>213.30438474290062</c:v>
                </c:pt>
                <c:pt idx="87" formatCode="0.000">
                  <c:v>225.0810895409067</c:v>
                </c:pt>
                <c:pt idx="88" formatCode="0.000">
                  <c:v>238.79984900078122</c:v>
                </c:pt>
                <c:pt idx="89" formatCode="0.000">
                  <c:v>254.97932242305555</c:v>
                </c:pt>
                <c:pt idx="90" formatCode="0.000">
                  <c:v>274.33792997895341</c:v>
                </c:pt>
                <c:pt idx="91" formatCode="0.000">
                  <c:v>297.75647933223956</c:v>
                </c:pt>
                <c:pt idx="92" formatCode="0.000">
                  <c:v>326.66136754810259</c:v>
                </c:pt>
                <c:pt idx="93" formatCode="0.000">
                  <c:v>363.15905966377591</c:v>
                </c:pt>
                <c:pt idx="94" formatCode="0.000">
                  <c:v>410.68975931248497</c:v>
                </c:pt>
                <c:pt idx="95" formatCode="0.000">
                  <c:v>474.76647773939339</c:v>
                </c:pt>
                <c:pt idx="96" formatCode="0.000">
                  <c:v>565.87185608222921</c:v>
                </c:pt>
                <c:pt idx="97" formatCode="0.000">
                  <c:v>705.6944495367228</c:v>
                </c:pt>
                <c:pt idx="98" formatCode="0.000">
                  <c:v>946.10941282968338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7378897373910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070418996253422"/>
          <c:y val="0.114337685584549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25612426937614E-2"/>
          <c:y val="5.6141822664655276E-2"/>
          <c:w val="0.89527470505105788"/>
          <c:h val="0.8206961053548540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5">
                  <c:v>267.5333333333333</c:v>
                </c:pt>
                <c:pt idx="6">
                  <c:v>237.70000000000002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140.98333333333335</c:v>
                </c:pt>
                <c:pt idx="19">
                  <c:v>139.28333333333333</c:v>
                </c:pt>
                <c:pt idx="20">
                  <c:v>140.85000000000002</c:v>
                </c:pt>
                <c:pt idx="21">
                  <c:v>139.86666666666667</c:v>
                </c:pt>
                <c:pt idx="22">
                  <c:v>140.21666666666664</c:v>
                </c:pt>
                <c:pt idx="23">
                  <c:v>137.13333333333335</c:v>
                </c:pt>
                <c:pt idx="24">
                  <c:v>134.06666666666663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137.29999999999998</c:v>
                </c:pt>
                <c:pt idx="28">
                  <c:v>135.41666666666669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138.51666666666665</c:v>
                </c:pt>
                <c:pt idx="32">
                  <c:v>138.58333333333331</c:v>
                </c:pt>
                <c:pt idx="33">
                  <c:v>138.51666666666665</c:v>
                </c:pt>
                <c:pt idx="34">
                  <c:v>137.01666666666668</c:v>
                </c:pt>
                <c:pt idx="35">
                  <c:v>139.31666666666666</c:v>
                </c:pt>
                <c:pt idx="36">
                  <c:v>141.48333333333335</c:v>
                </c:pt>
                <c:pt idx="37">
                  <c:v>141.30000000000001</c:v>
                </c:pt>
                <c:pt idx="38">
                  <c:v>142.20000000000002</c:v>
                </c:pt>
                <c:pt idx="39">
                  <c:v>143.51666666666665</c:v>
                </c:pt>
                <c:pt idx="40">
                  <c:v>142.18333333333334</c:v>
                </c:pt>
                <c:pt idx="41">
                  <c:v>144.18333333333334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148.56666666666666</c:v>
                </c:pt>
                <c:pt idx="45">
                  <c:v>150.43333333333334</c:v>
                </c:pt>
                <c:pt idx="46">
                  <c:v>149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173.81666666666666</c:v>
                </c:pt>
                <c:pt idx="54">
                  <c:v>172.23333333333335</c:v>
                </c:pt>
                <c:pt idx="55">
                  <c:v>175.06666666666666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179.71666666666667</c:v>
                </c:pt>
                <c:pt idx="59">
                  <c:v>181.5</c:v>
                </c:pt>
                <c:pt idx="60">
                  <c:v>186.6</c:v>
                </c:pt>
                <c:pt idx="61">
                  <c:v>194.61666666666667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192.95</c:v>
                </c:pt>
                <c:pt idx="65">
                  <c:v>199.08333333333334</c:v>
                </c:pt>
                <c:pt idx="66">
                  <c:v>205.85</c:v>
                </c:pt>
                <c:pt idx="67">
                  <c:v>204.9</c:v>
                </c:pt>
                <c:pt idx="68">
                  <c:v>209.68333333333334</c:v>
                </c:pt>
                <c:pt idx="69">
                  <c:v>207.83333333333334</c:v>
                </c:pt>
                <c:pt idx="70">
                  <c:v>204.8</c:v>
                </c:pt>
                <c:pt idx="71">
                  <c:v>215.48333333333335</c:v>
                </c:pt>
                <c:pt idx="72">
                  <c:v>222.31666666666666</c:v>
                </c:pt>
                <c:pt idx="73">
                  <c:v>229.51666666666668</c:v>
                </c:pt>
                <c:pt idx="74">
                  <c:v>245.64999999999998</c:v>
                </c:pt>
                <c:pt idx="75">
                  <c:v>233.7</c:v>
                </c:pt>
                <c:pt idx="76">
                  <c:v>264.46666666666664</c:v>
                </c:pt>
                <c:pt idx="77">
                  <c:v>259.86666666666667</c:v>
                </c:pt>
                <c:pt idx="78">
                  <c:v>251.83333333333331</c:v>
                </c:pt>
                <c:pt idx="79">
                  <c:v>252.73333333333338</c:v>
                </c:pt>
                <c:pt idx="80">
                  <c:v>247.51666666666665</c:v>
                </c:pt>
                <c:pt idx="81">
                  <c:v>274.06666666666666</c:v>
                </c:pt>
                <c:pt idx="82">
                  <c:v>291.39999999999998</c:v>
                </c:pt>
                <c:pt idx="83">
                  <c:v>344.36666666666667</c:v>
                </c:pt>
                <c:pt idx="84">
                  <c:v>312.05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391.53333333333336</c:v>
                </c:pt>
                <c:pt idx="88">
                  <c:v>489.38333333333338</c:v>
                </c:pt>
                <c:pt idx="89">
                  <c:v>407.51666666666671</c:v>
                </c:pt>
                <c:pt idx="91">
                  <c:v>593.80000000000007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</c:v>
                </c:pt>
                <c:pt idx="7" formatCode="0.000">
                  <c:v>193.4</c:v>
                </c:pt>
                <c:pt idx="8" formatCode="0.000">
                  <c:v>191.01666666666665</c:v>
                </c:pt>
                <c:pt idx="9" formatCode="0.000">
                  <c:v>178.01666666666665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153.13333333333333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142.63333333333335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</c:v>
                </c:pt>
                <c:pt idx="21" formatCode="0.000">
                  <c:v>139.86666666666667</c:v>
                </c:pt>
                <c:pt idx="22" formatCode="0.000">
                  <c:v>140.21666666666667</c:v>
                </c:pt>
                <c:pt idx="23" formatCode="0.000">
                  <c:v>137.13333333333335</c:v>
                </c:pt>
                <c:pt idx="24" formatCode="0.000">
                  <c:v>134.06666666666666</c:v>
                </c:pt>
                <c:pt idx="25" formatCode="0.000">
                  <c:v>131.88333333333333</c:v>
                </c:pt>
                <c:pt idx="26" formatCode="0.000">
                  <c:v>139.19999999999999</c:v>
                </c:pt>
                <c:pt idx="27" formatCode="0.000">
                  <c:v>137.30000000000001</c:v>
                </c:pt>
                <c:pt idx="28" formatCode="0.000">
                  <c:v>135.41666666666666</c:v>
                </c:pt>
                <c:pt idx="29" formatCode="0.000">
                  <c:v>133.73333333333332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139.19999999999999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149.41666666666666</c:v>
                </c:pt>
                <c:pt idx="43" formatCode="0.000">
                  <c:v>149.71666666666667</c:v>
                </c:pt>
                <c:pt idx="44" formatCode="0.000">
                  <c:v>141.56666666666666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157.76666666666668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172.23333333333332</c:v>
                </c:pt>
                <c:pt idx="55" formatCode="0.000">
                  <c:v>168.1</c:v>
                </c:pt>
                <c:pt idx="56" formatCode="0.000">
                  <c:v>174.48333333333332</c:v>
                </c:pt>
                <c:pt idx="57" formatCode="0.000">
                  <c:v>178.25</c:v>
                </c:pt>
                <c:pt idx="58" formatCode="0.000">
                  <c:v>165.45000000000002</c:v>
                </c:pt>
                <c:pt idx="59" formatCode="0.000">
                  <c:v>169.71666666666667</c:v>
                </c:pt>
                <c:pt idx="60" formatCode="0.000">
                  <c:v>186.6</c:v>
                </c:pt>
                <c:pt idx="61" formatCode="0.000">
                  <c:v>176.9</c:v>
                </c:pt>
                <c:pt idx="62" formatCode="0.000">
                  <c:v>172.25</c:v>
                </c:pt>
                <c:pt idx="63" formatCode="0.000">
                  <c:v>187.79999999999998</c:v>
                </c:pt>
                <c:pt idx="64" formatCode="0.000">
                  <c:v>199.3</c:v>
                </c:pt>
                <c:pt idx="65" formatCode="0.000">
                  <c:v>192.95</c:v>
                </c:pt>
                <c:pt idx="66" formatCode="0.000">
                  <c:v>199.08333333333334</c:v>
                </c:pt>
                <c:pt idx="67" formatCode="0.000">
                  <c:v>205.85</c:v>
                </c:pt>
                <c:pt idx="68" formatCode="0.000">
                  <c:v>204.9</c:v>
                </c:pt>
                <c:pt idx="69" formatCode="0.000">
                  <c:v>209.68333333333334</c:v>
                </c:pt>
                <c:pt idx="70" formatCode="0.000">
                  <c:v>207.83333333333334</c:v>
                </c:pt>
                <c:pt idx="71" formatCode="0.000">
                  <c:v>204.8</c:v>
                </c:pt>
                <c:pt idx="72" formatCode="0.000">
                  <c:v>215.48333333333335</c:v>
                </c:pt>
                <c:pt idx="73" formatCode="0.000">
                  <c:v>222.31666666666666</c:v>
                </c:pt>
                <c:pt idx="74" formatCode="0.000">
                  <c:v>211.85</c:v>
                </c:pt>
                <c:pt idx="75" formatCode="0.000">
                  <c:v>214.53333333333336</c:v>
                </c:pt>
                <c:pt idx="76" formatCode="0.000">
                  <c:v>213.45</c:v>
                </c:pt>
                <c:pt idx="77" formatCode="0.000">
                  <c:v>264.46666666666664</c:v>
                </c:pt>
                <c:pt idx="78" formatCode="0.000">
                  <c:v>259.86666666666667</c:v>
                </c:pt>
                <c:pt idx="79" formatCode="0.000">
                  <c:v>251.83333333333334</c:v>
                </c:pt>
                <c:pt idx="80" formatCode="0.000">
                  <c:v>252.73333333333332</c:v>
                </c:pt>
                <c:pt idx="81" formatCode="0.000">
                  <c:v>247.51666666666665</c:v>
                </c:pt>
                <c:pt idx="82" formatCode="0.000">
                  <c:v>274.06666666666666</c:v>
                </c:pt>
                <c:pt idx="83" formatCode="0.000">
                  <c:v>291.39999999999998</c:v>
                </c:pt>
                <c:pt idx="84" formatCode="0.000">
                  <c:v>344.36666666666667</c:v>
                </c:pt>
                <c:pt idx="85" formatCode="0.000">
                  <c:v>312.05</c:v>
                </c:pt>
                <c:pt idx="86" formatCode="0.000">
                  <c:v>391.7</c:v>
                </c:pt>
                <c:pt idx="87" formatCode="0.000">
                  <c:v>426.79999999999995</c:v>
                </c:pt>
                <c:pt idx="88" formatCode="0.000">
                  <c:v>391.53333333333336</c:v>
                </c:pt>
                <c:pt idx="89" formatCode="0.000">
                  <c:v>489.38333333333333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208.85911616555012</c:v>
                </c:pt>
                <c:pt idx="4">
                  <c:v>198.03052683407182</c:v>
                </c:pt>
                <c:pt idx="5">
                  <c:v>188.74653902107084</c:v>
                </c:pt>
                <c:pt idx="6">
                  <c:v>180.73155387795447</c:v>
                </c:pt>
                <c:pt idx="7">
                  <c:v>173.79656036643328</c:v>
                </c:pt>
                <c:pt idx="8">
                  <c:v>167.75108441775103</c:v>
                </c:pt>
                <c:pt idx="9">
                  <c:v>162.44597923987232</c:v>
                </c:pt>
                <c:pt idx="10">
                  <c:v>157.83690448159481</c:v>
                </c:pt>
                <c:pt idx="11">
                  <c:v>153.78144834442145</c:v>
                </c:pt>
                <c:pt idx="12">
                  <c:v>150.23158523830864</c:v>
                </c:pt>
                <c:pt idx="13">
                  <c:v>147.14813595287742</c:v>
                </c:pt>
                <c:pt idx="14">
                  <c:v>144.46839080459765</c:v>
                </c:pt>
                <c:pt idx="15">
                  <c:v>142.0197740112994</c:v>
                </c:pt>
                <c:pt idx="16">
                  <c:v>139.65277777777774</c:v>
                </c:pt>
                <c:pt idx="17">
                  <c:v>137.58894362342633</c:v>
                </c:pt>
                <c:pt idx="18">
                  <c:v>136.02543290043286</c:v>
                </c:pt>
                <c:pt idx="19">
                  <c:v>134.93022007514756</c:v>
                </c:pt>
                <c:pt idx="20">
                  <c:v>134.28151709401706</c:v>
                </c:pt>
                <c:pt idx="21">
                  <c:v>134.06666666666663</c:v>
                </c:pt>
                <c:pt idx="22">
                  <c:v>134.06666666666663</c:v>
                </c:pt>
                <c:pt idx="23">
                  <c:v>134.06666666666663</c:v>
                </c:pt>
                <c:pt idx="24">
                  <c:v>134.06666666666663</c:v>
                </c:pt>
                <c:pt idx="25">
                  <c:v>134.06666666666663</c:v>
                </c:pt>
                <c:pt idx="26">
                  <c:v>134.06666666666663</c:v>
                </c:pt>
                <c:pt idx="27">
                  <c:v>134.06666666666663</c:v>
                </c:pt>
                <c:pt idx="28">
                  <c:v>134.06666666666663</c:v>
                </c:pt>
                <c:pt idx="29">
                  <c:v>134.06666666666663</c:v>
                </c:pt>
                <c:pt idx="30">
                  <c:v>134.06666666666663</c:v>
                </c:pt>
                <c:pt idx="31">
                  <c:v>134.08007467413404</c:v>
                </c:pt>
                <c:pt idx="32">
                  <c:v>134.16057907201704</c:v>
                </c:pt>
                <c:pt idx="33">
                  <c:v>134.32187823531373</c:v>
                </c:pt>
                <c:pt idx="34">
                  <c:v>134.59157380450421</c:v>
                </c:pt>
                <c:pt idx="35">
                  <c:v>134.94380137560807</c:v>
                </c:pt>
                <c:pt idx="36">
                  <c:v>135.39352319396752</c:v>
                </c:pt>
                <c:pt idx="37">
                  <c:v>135.94267558980596</c:v>
                </c:pt>
                <c:pt idx="38">
                  <c:v>136.5936491764306</c:v>
                </c:pt>
                <c:pt idx="39">
                  <c:v>137.33524550979988</c:v>
                </c:pt>
                <c:pt idx="40">
                  <c:v>138.18456675599529</c:v>
                </c:pt>
                <c:pt idx="41">
                  <c:v>139.14547656114854</c:v>
                </c:pt>
                <c:pt idx="42">
                  <c:v>140.20776685491177</c:v>
                </c:pt>
                <c:pt idx="43">
                  <c:v>141.39070519580957</c:v>
                </c:pt>
                <c:pt idx="44">
                  <c:v>142.70001773993255</c:v>
                </c:pt>
                <c:pt idx="45">
                  <c:v>144.14220693115431</c:v>
                </c:pt>
                <c:pt idx="46">
                  <c:v>145.72463768115938</c:v>
                </c:pt>
                <c:pt idx="47">
                  <c:v>147.43942226621206</c:v>
                </c:pt>
                <c:pt idx="48">
                  <c:v>149.26148593483259</c:v>
                </c:pt>
                <c:pt idx="49">
                  <c:v>151.11211301472795</c:v>
                </c:pt>
                <c:pt idx="50">
                  <c:v>153.02667123235548</c:v>
                </c:pt>
                <c:pt idx="51">
                  <c:v>154.97245019843561</c:v>
                </c:pt>
                <c:pt idx="52">
                  <c:v>156.98672911787662</c:v>
                </c:pt>
                <c:pt idx="53">
                  <c:v>159.05405939810967</c:v>
                </c:pt>
                <c:pt idx="54">
                  <c:v>161.15719036743195</c:v>
                </c:pt>
                <c:pt idx="55">
                  <c:v>163.33658219623129</c:v>
                </c:pt>
                <c:pt idx="56">
                  <c:v>165.55528113937595</c:v>
                </c:pt>
                <c:pt idx="57">
                  <c:v>167.8560994950127</c:v>
                </c:pt>
                <c:pt idx="58">
                  <c:v>170.22177078042998</c:v>
                </c:pt>
                <c:pt idx="59">
                  <c:v>172.63284402094598</c:v>
                </c:pt>
                <c:pt idx="60">
                  <c:v>175.13607663836268</c:v>
                </c:pt>
                <c:pt idx="61">
                  <c:v>177.68941904130767</c:v>
                </c:pt>
                <c:pt idx="62">
                  <c:v>180.34257017307863</c:v>
                </c:pt>
                <c:pt idx="63">
                  <c:v>183.07615276070823</c:v>
                </c:pt>
                <c:pt idx="64">
                  <c:v>185.86810850778681</c:v>
                </c:pt>
                <c:pt idx="65">
                  <c:v>188.7731155543039</c:v>
                </c:pt>
                <c:pt idx="66">
                  <c:v>191.74294431731497</c:v>
                </c:pt>
                <c:pt idx="67">
                  <c:v>194.83602189604218</c:v>
                </c:pt>
                <c:pt idx="68">
                  <c:v>198.03052683407182</c:v>
                </c:pt>
                <c:pt idx="69">
                  <c:v>201.30130130130124</c:v>
                </c:pt>
                <c:pt idx="70">
                  <c:v>204.71318776403515</c:v>
                </c:pt>
                <c:pt idx="71">
                  <c:v>208.21038463529527</c:v>
                </c:pt>
                <c:pt idx="72">
                  <c:v>211.86262115465649</c:v>
                </c:pt>
                <c:pt idx="73">
                  <c:v>215.64527371186526</c:v>
                </c:pt>
                <c:pt idx="74">
                  <c:v>219.6733846742039</c:v>
                </c:pt>
                <c:pt idx="75">
                  <c:v>224.19175027870676</c:v>
                </c:pt>
                <c:pt idx="76">
                  <c:v>229.17378917378915</c:v>
                </c:pt>
                <c:pt idx="77">
                  <c:v>234.75164886476384</c:v>
                </c:pt>
                <c:pt idx="78">
                  <c:v>240.95375029954462</c:v>
                </c:pt>
                <c:pt idx="79">
                  <c:v>247.81269254467028</c:v>
                </c:pt>
                <c:pt idx="80">
                  <c:v>255.51108569976486</c:v>
                </c:pt>
                <c:pt idx="81">
                  <c:v>264.0667060600091</c:v>
                </c:pt>
                <c:pt idx="82">
                  <c:v>273.71716346808216</c:v>
                </c:pt>
                <c:pt idx="83">
                  <c:v>284.58218354206457</c:v>
                </c:pt>
                <c:pt idx="84">
                  <c:v>296.80466386244552</c:v>
                </c:pt>
                <c:pt idx="85">
                  <c:v>310.77113274609792</c:v>
                </c:pt>
                <c:pt idx="86">
                  <c:v>326.67316439246258</c:v>
                </c:pt>
                <c:pt idx="87">
                  <c:v>345.087945087945</c:v>
                </c:pt>
                <c:pt idx="88">
                  <c:v>366.50264260980487</c:v>
                </c:pt>
                <c:pt idx="89">
                  <c:v>391.54984423676007</c:v>
                </c:pt>
                <c:pt idx="90">
                  <c:v>421.46075657550028</c:v>
                </c:pt>
                <c:pt idx="91">
                  <c:v>457.40930285454323</c:v>
                </c:pt>
                <c:pt idx="92">
                  <c:v>501.74650698602784</c:v>
                </c:pt>
                <c:pt idx="93">
                  <c:v>557.44975744975739</c:v>
                </c:pt>
                <c:pt idx="94">
                  <c:v>629.12560613170638</c:v>
                </c:pt>
                <c:pt idx="95">
                  <c:v>725.46897546897537</c:v>
                </c:pt>
                <c:pt idx="96">
                  <c:v>860.50492083868187</c:v>
                </c:pt>
                <c:pt idx="97">
                  <c:v>1064.8662960021177</c:v>
                </c:pt>
                <c:pt idx="98">
                  <c:v>1408.2633053221284</c:v>
                </c:pt>
                <c:pt idx="99">
                  <c:v>2101.3584117032387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264.84576708791957</c:v>
                </c:pt>
                <c:pt idx="4" formatCode="0.000">
                  <c:v>240.39469626888686</c:v>
                </c:pt>
                <c:pt idx="5" formatCode="0.000">
                  <c:v>221.2007717625695</c:v>
                </c:pt>
                <c:pt idx="6" formatCode="0.000">
                  <c:v>205.88390640680294</c:v>
                </c:pt>
                <c:pt idx="7" formatCode="0.000">
                  <c:v>193.41073732261589</c:v>
                </c:pt>
                <c:pt idx="8" formatCode="0.000">
                  <c:v>183.1853000610931</c:v>
                </c:pt>
                <c:pt idx="9" formatCode="0.000">
                  <c:v>174.6885363448956</c:v>
                </c:pt>
                <c:pt idx="10" formatCode="0.000">
                  <c:v>167.63428374833356</c:v>
                </c:pt>
                <c:pt idx="11" formatCode="0.000">
                  <c:v>161.72931706912289</c:v>
                </c:pt>
                <c:pt idx="12" formatCode="0.000">
                  <c:v>156.8296117481392</c:v>
                </c:pt>
                <c:pt idx="13" formatCode="0.000">
                  <c:v>152.75491809702956</c:v>
                </c:pt>
                <c:pt idx="14" formatCode="0.000">
                  <c:v>149.43454092390263</c:v>
                </c:pt>
                <c:pt idx="15" formatCode="0.000">
                  <c:v>146.50280001503364</c:v>
                </c:pt>
                <c:pt idx="16" formatCode="0.000">
                  <c:v>143.6838807180508</c:v>
                </c:pt>
                <c:pt idx="17" formatCode="0.000">
                  <c:v>140.97139343965861</c:v>
                </c:pt>
                <c:pt idx="18" formatCode="0.000">
                  <c:v>138.35942214176694</c:v>
                </c:pt>
                <c:pt idx="19" formatCode="0.000">
                  <c:v>136.01311978785023</c:v>
                </c:pt>
                <c:pt idx="20" formatCode="0.000">
                  <c:v>134.10396669762963</c:v>
                </c:pt>
                <c:pt idx="21" formatCode="0.000">
                  <c:v>132.57150630888006</c:v>
                </c:pt>
                <c:pt idx="22" formatCode="0.000">
                  <c:v>131.40507011866237</c:v>
                </c:pt>
                <c:pt idx="23" formatCode="0.000">
                  <c:v>130.58626465661641</c:v>
                </c:pt>
                <c:pt idx="24" formatCode="0.000">
                  <c:v>130.08944066212788</c:v>
                </c:pt>
                <c:pt idx="25" formatCode="0.000">
                  <c:v>129.93333333333334</c:v>
                </c:pt>
                <c:pt idx="26" formatCode="0.000">
                  <c:v>129.93333333333334</c:v>
                </c:pt>
                <c:pt idx="27" formatCode="0.000">
                  <c:v>130.03736322391248</c:v>
                </c:pt>
                <c:pt idx="28" formatCode="0.000">
                  <c:v>130.15459614678286</c:v>
                </c:pt>
                <c:pt idx="29" formatCode="0.000">
                  <c:v>130.3243062520896</c:v>
                </c:pt>
                <c:pt idx="30" formatCode="0.000">
                  <c:v>130.54690378110453</c:v>
                </c:pt>
                <c:pt idx="31" formatCode="0.000">
                  <c:v>130.82292925224863</c:v>
                </c:pt>
                <c:pt idx="32" formatCode="0.000">
                  <c:v>131.15305676121261</c:v>
                </c:pt>
                <c:pt idx="33" formatCode="0.000">
                  <c:v>131.52478321017648</c:v>
                </c:pt>
                <c:pt idx="34" formatCode="0.000">
                  <c:v>131.96560362922338</c:v>
                </c:pt>
                <c:pt idx="35" formatCode="0.000">
                  <c:v>132.4498810737343</c:v>
                </c:pt>
                <c:pt idx="36" formatCode="0.000">
                  <c:v>132.97854194384746</c:v>
                </c:pt>
                <c:pt idx="37" formatCode="0.000">
                  <c:v>133.58006922312464</c:v>
                </c:pt>
                <c:pt idx="38" formatCode="0.000">
                  <c:v>134.24251816647725</c:v>
                </c:pt>
                <c:pt idx="39" formatCode="0.000">
                  <c:v>134.95360753358261</c:v>
                </c:pt>
                <c:pt idx="40" formatCode="0.000">
                  <c:v>135.72895992200284</c:v>
                </c:pt>
                <c:pt idx="41" formatCode="0.000">
                  <c:v>136.57066778782146</c:v>
                </c:pt>
                <c:pt idx="42" formatCode="0.000">
                  <c:v>137.46649739032304</c:v>
                </c:pt>
                <c:pt idx="43" formatCode="0.000">
                  <c:v>138.43312735279494</c:v>
                </c:pt>
                <c:pt idx="44" formatCode="0.000">
                  <c:v>139.48828055108248</c:v>
                </c:pt>
                <c:pt idx="45" formatCode="0.000">
                  <c:v>140.60527359953829</c:v>
                </c:pt>
                <c:pt idx="46" formatCode="0.000">
                  <c:v>141.78670158591592</c:v>
                </c:pt>
                <c:pt idx="47" formatCode="0.000">
                  <c:v>143.06687220142408</c:v>
                </c:pt>
                <c:pt idx="48" formatCode="0.000">
                  <c:v>144.41850987366158</c:v>
                </c:pt>
                <c:pt idx="49" formatCode="0.000">
                  <c:v>145.86139799431223</c:v>
                </c:pt>
                <c:pt idx="50" formatCode="0.000">
                  <c:v>147.40026470032143</c:v>
                </c:pt>
                <c:pt idx="51" formatCode="0.000">
                  <c:v>149.04029976294257</c:v>
                </c:pt>
                <c:pt idx="52" formatCode="0.000">
                  <c:v>150.78720358980311</c:v>
                </c:pt>
                <c:pt idx="53" formatCode="0.000">
                  <c:v>152.62931203257764</c:v>
                </c:pt>
                <c:pt idx="54" formatCode="0.000">
                  <c:v>154.59052151497124</c:v>
                </c:pt>
                <c:pt idx="55" formatCode="0.000">
                  <c:v>156.64054651396424</c:v>
                </c:pt>
                <c:pt idx="56" formatCode="0.000">
                  <c:v>158.74567297902666</c:v>
                </c:pt>
                <c:pt idx="57" formatCode="0.000">
                  <c:v>160.90815273477813</c:v>
                </c:pt>
                <c:pt idx="58" formatCode="0.000">
                  <c:v>163.1303620004185</c:v>
                </c:pt>
                <c:pt idx="59" formatCode="0.000">
                  <c:v>165.41481009972418</c:v>
                </c:pt>
                <c:pt idx="60" formatCode="0.000">
                  <c:v>167.76414891327738</c:v>
                </c:pt>
                <c:pt idx="61" formatCode="0.000">
                  <c:v>170.18118314778434</c:v>
                </c:pt>
                <c:pt idx="62" formatCode="0.000">
                  <c:v>172.66888150609083</c:v>
                </c:pt>
                <c:pt idx="63" formatCode="0.000">
                  <c:v>175.23038885142728</c:v>
                </c:pt>
                <c:pt idx="64" formatCode="0.000">
                  <c:v>177.86903947068217</c:v>
                </c:pt>
                <c:pt idx="65" formatCode="0.000">
                  <c:v>180.58837155432013</c:v>
                </c:pt>
                <c:pt idx="66" formatCode="0.000">
                  <c:v>183.39214302517055</c:v>
                </c:pt>
                <c:pt idx="67" formatCode="0.000">
                  <c:v>186.28434886499403</c:v>
                </c:pt>
                <c:pt idx="68" formatCode="0.000">
                  <c:v>189.26924010682205</c:v>
                </c:pt>
                <c:pt idx="69" formatCode="0.000">
                  <c:v>192.3513446829509</c:v>
                </c:pt>
                <c:pt idx="70" formatCode="0.000">
                  <c:v>195.53549034361677</c:v>
                </c:pt>
                <c:pt idx="71" formatCode="0.000">
                  <c:v>198.82682989033412</c:v>
                </c:pt>
                <c:pt idx="72" formatCode="0.000">
                  <c:v>202.23086900129704</c:v>
                </c:pt>
                <c:pt idx="73" formatCode="0.000">
                  <c:v>205.7534969648984</c:v>
                </c:pt>
                <c:pt idx="74" formatCode="0.000">
                  <c:v>209.4010206822455</c:v>
                </c:pt>
                <c:pt idx="75" formatCode="0.000">
                  <c:v>213.21518433431788</c:v>
                </c:pt>
                <c:pt idx="76" formatCode="0.000">
                  <c:v>217.53446062838327</c:v>
                </c:pt>
                <c:pt idx="77" formatCode="0.000">
                  <c:v>222.45049363693434</c:v>
                </c:pt>
                <c:pt idx="78" formatCode="0.000">
                  <c:v>228.03322803322806</c:v>
                </c:pt>
                <c:pt idx="79" formatCode="0.000">
                  <c:v>234.36748436748437</c:v>
                </c:pt>
                <c:pt idx="80" formatCode="0.000">
                  <c:v>241.55667100452376</c:v>
                </c:pt>
                <c:pt idx="81" formatCode="0.000">
                  <c:v>249.72772118649499</c:v>
                </c:pt>
                <c:pt idx="82" formatCode="0.000">
                  <c:v>259.03774587985112</c:v>
                </c:pt>
                <c:pt idx="83" formatCode="0.000">
                  <c:v>269.68313269683131</c:v>
                </c:pt>
                <c:pt idx="84" formatCode="0.000">
                  <c:v>281.91220076661608</c:v>
                </c:pt>
                <c:pt idx="85" formatCode="0.000">
                  <c:v>296.04313814840128</c:v>
                </c:pt>
                <c:pt idx="86" formatCode="0.000">
                  <c:v>312.4899791566458</c:v>
                </c:pt>
                <c:pt idx="87" formatCode="0.000">
                  <c:v>331.80115764385425</c:v>
                </c:pt>
                <c:pt idx="88" formatCode="0.000">
                  <c:v>354.7183547183547</c:v>
                </c:pt>
                <c:pt idx="89" formatCode="0.000">
                  <c:v>382.26929489065412</c:v>
                </c:pt>
                <c:pt idx="90" formatCode="0.000">
                  <c:v>415.91976099018353</c:v>
                </c:pt>
                <c:pt idx="91" formatCode="0.000">
                  <c:v>457.83415550857416</c:v>
                </c:pt>
                <c:pt idx="92" formatCode="0.000">
                  <c:v>511.34723861996594</c:v>
                </c:pt>
                <c:pt idx="93" formatCode="0.000">
                  <c:v>581.87789222271988</c:v>
                </c:pt>
                <c:pt idx="94" formatCode="0.000">
                  <c:v>678.85754092650654</c:v>
                </c:pt>
                <c:pt idx="95" formatCode="0.000">
                  <c:v>820.28619528619527</c:v>
                </c:pt>
                <c:pt idx="96" formatCode="0.000">
                  <c:v>1045.320461249665</c:v>
                </c:pt>
                <c:pt idx="97" formatCode="0.000">
                  <c:v>1458.2865693976805</c:v>
                </c:pt>
                <c:pt idx="98" formatCode="0.000">
                  <c:v>2460.8585858585861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131.88333333333333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226.84447021307437</c:v>
                </c:pt>
                <c:pt idx="4" formatCode="0.0">
                  <c:v>215.86206896551724</c:v>
                </c:pt>
                <c:pt idx="5" formatCode="0.0">
                  <c:v>206.49162158596121</c:v>
                </c:pt>
                <c:pt idx="6" formatCode="0.0">
                  <c:v>198.4529546030941</c:v>
                </c:pt>
                <c:pt idx="7" formatCode="0.0">
                  <c:v>191.5310243544242</c:v>
                </c:pt>
                <c:pt idx="8" formatCode="0.0">
                  <c:v>185.55845387716388</c:v>
                </c:pt>
                <c:pt idx="9" formatCode="0.0">
                  <c:v>180.4034582132565</c:v>
                </c:pt>
                <c:pt idx="10" formatCode="0.0">
                  <c:v>175.96132223971216</c:v>
                </c:pt>
                <c:pt idx="11" formatCode="0.0">
                  <c:v>172.14827851721483</c:v>
                </c:pt>
                <c:pt idx="12" formatCode="0.0">
                  <c:v>168.8970429527304</c:v>
                </c:pt>
                <c:pt idx="13" formatCode="0.0">
                  <c:v>166.15351948189829</c:v>
                </c:pt>
                <c:pt idx="14" formatCode="0.0">
                  <c:v>163.87434554973822</c:v>
                </c:pt>
                <c:pt idx="15" formatCode="0.0">
                  <c:v>161.84074457083764</c:v>
                </c:pt>
                <c:pt idx="16" formatCode="0.0">
                  <c:v>159.85699693564862</c:v>
                </c:pt>
                <c:pt idx="17" formatCode="0.0">
                  <c:v>158.19494584837545</c:v>
                </c:pt>
                <c:pt idx="18" formatCode="0.0">
                  <c:v>157.10598020937903</c:v>
                </c:pt>
                <c:pt idx="19" formatCode="0.0">
                  <c:v>156.56710018579392</c:v>
                </c:pt>
                <c:pt idx="20" formatCode="0.0">
                  <c:v>156.5</c:v>
                </c:pt>
                <c:pt idx="21" formatCode="0.0">
                  <c:v>156.5</c:v>
                </c:pt>
                <c:pt idx="22" formatCode="0.0">
                  <c:v>156.5</c:v>
                </c:pt>
                <c:pt idx="23" formatCode="0.0">
                  <c:v>156.5</c:v>
                </c:pt>
                <c:pt idx="24" formatCode="0.0">
                  <c:v>156.5</c:v>
                </c:pt>
                <c:pt idx="25" formatCode="0.0">
                  <c:v>156.5</c:v>
                </c:pt>
                <c:pt idx="26" formatCode="0.0">
                  <c:v>156.5</c:v>
                </c:pt>
                <c:pt idx="27" formatCode="0.0">
                  <c:v>156.66067761806983</c:v>
                </c:pt>
                <c:pt idx="28" formatCode="0.0">
                  <c:v>156.86198920585969</c:v>
                </c:pt>
                <c:pt idx="29" formatCode="0.0">
                  <c:v>157.14469618949536</c:v>
                </c:pt>
                <c:pt idx="30" formatCode="0.0">
                  <c:v>157.50967741935483</c:v>
                </c:pt>
                <c:pt idx="31" formatCode="0.0">
                  <c:v>157.95807453416148</c:v>
                </c:pt>
                <c:pt idx="32" formatCode="0.0">
                  <c:v>158.4913009607894</c:v>
                </c:pt>
                <c:pt idx="33" formatCode="0.0">
                  <c:v>159.11105318039625</c:v>
                </c:pt>
                <c:pt idx="34" formatCode="0.0">
                  <c:v>159.81932443047918</c:v>
                </c:pt>
                <c:pt idx="35" formatCode="0.0">
                  <c:v>160.61842105263159</c:v>
                </c:pt>
                <c:pt idx="36" formatCode="0.0">
                  <c:v>161.51098174120136</c:v>
                </c:pt>
                <c:pt idx="37" formatCode="0.0">
                  <c:v>162.5</c:v>
                </c:pt>
                <c:pt idx="38" formatCode="0.0">
                  <c:v>163.58885017421602</c:v>
                </c:pt>
                <c:pt idx="39" formatCode="0.0">
                  <c:v>164.78131749460044</c:v>
                </c:pt>
                <c:pt idx="40" formatCode="0.0">
                  <c:v>166.08163265306123</c:v>
                </c:pt>
                <c:pt idx="41" formatCode="0.0">
                  <c:v>167.49451152579582</c:v>
                </c:pt>
                <c:pt idx="42" formatCode="0.0">
                  <c:v>169.02520077540848</c:v>
                </c:pt>
                <c:pt idx="43" formatCode="0.0">
                  <c:v>170.67953020134229</c:v>
                </c:pt>
                <c:pt idx="44" formatCode="0.0">
                  <c:v>172.46397287369314</c:v>
                </c:pt>
                <c:pt idx="45" formatCode="0.0">
                  <c:v>174.37325905292479</c:v>
                </c:pt>
                <c:pt idx="46" formatCode="0.0">
                  <c:v>176.33802816901408</c:v>
                </c:pt>
                <c:pt idx="47" formatCode="0.0">
                  <c:v>178.34757834757835</c:v>
                </c:pt>
                <c:pt idx="48" formatCode="0.0">
                  <c:v>180.4034582132565</c:v>
                </c:pt>
                <c:pt idx="49" formatCode="0.0">
                  <c:v>182.50728862973762</c:v>
                </c:pt>
                <c:pt idx="50" formatCode="0.0">
                  <c:v>184.66076696165192</c:v>
                </c:pt>
                <c:pt idx="51" formatCode="0.0">
                  <c:v>186.86567164179104</c:v>
                </c:pt>
                <c:pt idx="52" formatCode="0.0">
                  <c:v>189.12386706948641</c:v>
                </c:pt>
                <c:pt idx="53" formatCode="0.0">
                  <c:v>191.43730886850153</c:v>
                </c:pt>
                <c:pt idx="54" formatCode="0.0">
                  <c:v>193.83445422905905</c:v>
                </c:pt>
                <c:pt idx="55" formatCode="0.0">
                  <c:v>196.34657365819388</c:v>
                </c:pt>
                <c:pt idx="56" formatCode="0.0">
                  <c:v>198.98030539980419</c:v>
                </c:pt>
                <c:pt idx="57" formatCode="0.0">
                  <c:v>201.74285198649034</c:v>
                </c:pt>
                <c:pt idx="58" formatCode="0.0">
                  <c:v>204.64203988231446</c:v>
                </c:pt>
                <c:pt idx="59" formatCode="0.0">
                  <c:v>207.68638692040238</c:v>
                </c:pt>
                <c:pt idx="60" formatCode="0.0">
                  <c:v>210.885178747086</c:v>
                </c:pt>
                <c:pt idx="61" formatCode="0.0">
                  <c:v>214.24855570462449</c:v>
                </c:pt>
                <c:pt idx="62" formatCode="0.0">
                  <c:v>217.78761185098594</c:v>
                </c:pt>
                <c:pt idx="63" formatCode="0.0">
                  <c:v>221.51450813871196</c:v>
                </c:pt>
                <c:pt idx="64" formatCode="0.0">
                  <c:v>225.44260216943485</c:v>
                </c:pt>
                <c:pt idx="65" formatCode="0.0">
                  <c:v>229.5865974239357</c:v>
                </c:pt>
                <c:pt idx="66" formatCode="0.0">
                  <c:v>233.96271546246879</c:v>
                </c:pt>
                <c:pt idx="67" formatCode="0.0">
                  <c:v>238.58889532579201</c:v>
                </c:pt>
                <c:pt idx="68" formatCode="0.0">
                  <c:v>243.48502528199145</c:v>
                </c:pt>
                <c:pt idx="69" formatCode="0.0">
                  <c:v>248.67321320748721</c:v>
                </c:pt>
                <c:pt idx="70" formatCode="0.0">
                  <c:v>254.17810332786539</c:v>
                </c:pt>
                <c:pt idx="71" formatCode="0.0">
                  <c:v>260.02724886186161</c:v>
                </c:pt>
                <c:pt idx="72" formatCode="0.0">
                  <c:v>266.25155242518588</c:v>
                </c:pt>
                <c:pt idx="73" formatCode="0.0">
                  <c:v>272.88578901482134</c:v>
                </c:pt>
                <c:pt idx="74" formatCode="0.0">
                  <c:v>279.9692302187874</c:v>
                </c:pt>
                <c:pt idx="75" formatCode="0.0">
                  <c:v>287.54639326792346</c:v>
                </c:pt>
                <c:pt idx="76" formatCode="0.0">
                  <c:v>295.66794506055055</c:v>
                </c:pt>
                <c:pt idx="77" formatCode="0.0">
                  <c:v>304.3917998988602</c:v>
                </c:pt>
                <c:pt idx="78" formatCode="0.0">
                  <c:v>313.78446115288222</c:v>
                </c:pt>
                <c:pt idx="79" formatCode="0.0">
                  <c:v>323.92267251728276</c:v>
                </c:pt>
                <c:pt idx="80" formatCode="0.0">
                  <c:v>334.89546553679571</c:v>
                </c:pt>
                <c:pt idx="81" formatCode="0.0">
                  <c:v>346.80671896467669</c:v>
                </c:pt>
                <c:pt idx="82" formatCode="0.0">
                  <c:v>359.77838571001632</c:v>
                </c:pt>
                <c:pt idx="83" formatCode="0.0">
                  <c:v>373.95459976105138</c:v>
                </c:pt>
                <c:pt idx="84" formatCode="0.0">
                  <c:v>389.50695637024319</c:v>
                </c:pt>
                <c:pt idx="85" formatCode="0.0">
                  <c:v>406.64137608481008</c:v>
                </c:pt>
                <c:pt idx="86" formatCode="0.0">
                  <c:v>425.60713605830682</c:v>
                </c:pt>
                <c:pt idx="87" formatCode="0.0">
                  <c:v>446.70891134326644</c:v>
                </c:pt>
                <c:pt idx="88" formatCode="0.0">
                  <c:v>470.32306536438767</c:v>
                </c:pt>
                <c:pt idx="89" formatCode="0.0">
                  <c:v>496.92004826316122</c:v>
                </c:pt>
                <c:pt idx="90" formatCode="0.0">
                  <c:v>527.09575292176078</c:v>
                </c:pt>
                <c:pt idx="91" formatCode="0.0">
                  <c:v>561.61630661020592</c:v>
                </c:pt>
                <c:pt idx="92" formatCode="0.0">
                  <c:v>601.48353126561381</c:v>
                </c:pt>
                <c:pt idx="93" formatCode="0.0">
                  <c:v>648.03312629399602</c:v>
                </c:pt>
                <c:pt idx="94" formatCode="0.0">
                  <c:v>703.08639202120503</c:v>
                </c:pt>
                <c:pt idx="95" formatCode="0.0">
                  <c:v>769.19296176152568</c:v>
                </c:pt>
                <c:pt idx="96" formatCode="0.0">
                  <c:v>850.03530498071802</c:v>
                </c:pt>
                <c:pt idx="97" formatCode="0.0">
                  <c:v>951.13650176248984</c:v>
                </c:pt>
                <c:pt idx="98" formatCode="0.0">
                  <c:v>1081.1744386873925</c:v>
                </c:pt>
                <c:pt idx="99" formatCode="0.0">
                  <c:v>1254.6095879429217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</c:v>
                </c:pt>
                <c:pt idx="7" formatCode="0.000">
                  <c:v>193.4</c:v>
                </c:pt>
                <c:pt idx="8" formatCode="0.000">
                  <c:v>191.01666666666665</c:v>
                </c:pt>
                <c:pt idx="9" formatCode="0.000">
                  <c:v>178.01666666666665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153.13333333333333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142.63333333333335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</c:v>
                </c:pt>
                <c:pt idx="21" formatCode="0.000">
                  <c:v>139.86666666666667</c:v>
                </c:pt>
                <c:pt idx="22" formatCode="0.000">
                  <c:v>140.21666666666667</c:v>
                </c:pt>
                <c:pt idx="23" formatCode="0.000">
                  <c:v>137.13333333333335</c:v>
                </c:pt>
                <c:pt idx="24" formatCode="0.000">
                  <c:v>134.06666666666666</c:v>
                </c:pt>
                <c:pt idx="25" formatCode="0.000">
                  <c:v>131.88333333333333</c:v>
                </c:pt>
                <c:pt idx="26" formatCode="0.000">
                  <c:v>139.19999999999999</c:v>
                </c:pt>
                <c:pt idx="27" formatCode="0.000">
                  <c:v>137.30000000000001</c:v>
                </c:pt>
                <c:pt idx="28" formatCode="0.000">
                  <c:v>135.41666666666666</c:v>
                </c:pt>
                <c:pt idx="29" formatCode="0.000">
                  <c:v>133.73333333333332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139.19999999999999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149.41666666666666</c:v>
                </c:pt>
                <c:pt idx="43" formatCode="0.000">
                  <c:v>149.71666666666667</c:v>
                </c:pt>
                <c:pt idx="44" formatCode="0.000">
                  <c:v>141.56666666666666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157.76666666666668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172.23333333333332</c:v>
                </c:pt>
                <c:pt idx="55" formatCode="0.000">
                  <c:v>168.1</c:v>
                </c:pt>
                <c:pt idx="56" formatCode="0.000">
                  <c:v>174.48333333333332</c:v>
                </c:pt>
                <c:pt idx="57" formatCode="0.000">
                  <c:v>178.25</c:v>
                </c:pt>
                <c:pt idx="58" formatCode="0.000">
                  <c:v>165.45000000000002</c:v>
                </c:pt>
                <c:pt idx="59" formatCode="0.000">
                  <c:v>169.71666666666667</c:v>
                </c:pt>
                <c:pt idx="60" formatCode="0.000">
                  <c:v>186.6</c:v>
                </c:pt>
                <c:pt idx="61" formatCode="0.000">
                  <c:v>176.9</c:v>
                </c:pt>
                <c:pt idx="62" formatCode="0.000">
                  <c:v>172.25</c:v>
                </c:pt>
                <c:pt idx="63" formatCode="0.000">
                  <c:v>187.79999999999998</c:v>
                </c:pt>
                <c:pt idx="64" formatCode="0.000">
                  <c:v>199.3</c:v>
                </c:pt>
                <c:pt idx="65" formatCode="0.000">
                  <c:v>192.95</c:v>
                </c:pt>
                <c:pt idx="66" formatCode="0.000">
                  <c:v>199.08333333333334</c:v>
                </c:pt>
                <c:pt idx="67" formatCode="0.000">
                  <c:v>205.85</c:v>
                </c:pt>
                <c:pt idx="68" formatCode="0.000">
                  <c:v>204.9</c:v>
                </c:pt>
                <c:pt idx="69" formatCode="0.000">
                  <c:v>209.68333333333334</c:v>
                </c:pt>
                <c:pt idx="70" formatCode="0.000">
                  <c:v>207.83333333333334</c:v>
                </c:pt>
                <c:pt idx="71" formatCode="0.000">
                  <c:v>204.8</c:v>
                </c:pt>
                <c:pt idx="72" formatCode="0.000">
                  <c:v>215.48333333333335</c:v>
                </c:pt>
                <c:pt idx="73" formatCode="0.000">
                  <c:v>222.31666666666666</c:v>
                </c:pt>
                <c:pt idx="74" formatCode="0.000">
                  <c:v>211.85</c:v>
                </c:pt>
                <c:pt idx="75" formatCode="0.000">
                  <c:v>214.53333333333336</c:v>
                </c:pt>
                <c:pt idx="76" formatCode="0.000">
                  <c:v>213.45</c:v>
                </c:pt>
                <c:pt idx="77" formatCode="0.000">
                  <c:v>264.46666666666664</c:v>
                </c:pt>
                <c:pt idx="78" formatCode="0.000">
                  <c:v>259.86666666666667</c:v>
                </c:pt>
                <c:pt idx="79" formatCode="0.000">
                  <c:v>251.83333333333334</c:v>
                </c:pt>
                <c:pt idx="80" formatCode="0.000">
                  <c:v>252.73333333333332</c:v>
                </c:pt>
                <c:pt idx="81" formatCode="0.000">
                  <c:v>247.51666666666665</c:v>
                </c:pt>
                <c:pt idx="82" formatCode="0.000">
                  <c:v>274.06666666666666</c:v>
                </c:pt>
                <c:pt idx="83" formatCode="0.000">
                  <c:v>291.39999999999998</c:v>
                </c:pt>
                <c:pt idx="84" formatCode="0.000">
                  <c:v>344.36666666666667</c:v>
                </c:pt>
                <c:pt idx="85" formatCode="0.000">
                  <c:v>312.05</c:v>
                </c:pt>
                <c:pt idx="86" formatCode="0.000">
                  <c:v>391.7</c:v>
                </c:pt>
                <c:pt idx="87" formatCode="0.000">
                  <c:v>426.79999999999995</c:v>
                </c:pt>
                <c:pt idx="88" formatCode="0.000">
                  <c:v>391.53333333333336</c:v>
                </c:pt>
                <c:pt idx="89" formatCode="0.000">
                  <c:v>489.38333333333333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30347448385603731"/>
          <c:y val="3.420087484681235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4259105875266"/>
          <c:y val="0.10462589415367367"/>
          <c:w val="0.83654271348316667"/>
          <c:h val="0.7695531542491495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0.96309999999999996</c:v>
                </c:pt>
                <c:pt idx="1">
                  <c:v>0.96199999999999997</c:v>
                </c:pt>
                <c:pt idx="2">
                  <c:v>0.96160000000000001</c:v>
                </c:pt>
                <c:pt idx="3">
                  <c:v>0.96030000000000004</c:v>
                </c:pt>
                <c:pt idx="4">
                  <c:v>0.96030000000000004</c:v>
                </c:pt>
                <c:pt idx="5">
                  <c:v>0.95899999999999996</c:v>
                </c:pt>
                <c:pt idx="6">
                  <c:v>0.95930000000000004</c:v>
                </c:pt>
                <c:pt idx="7">
                  <c:v>0.95960000000000001</c:v>
                </c:pt>
                <c:pt idx="8">
                  <c:v>0.9597</c:v>
                </c:pt>
                <c:pt idx="9">
                  <c:v>0.96</c:v>
                </c:pt>
                <c:pt idx="10">
                  <c:v>0.96009999999999995</c:v>
                </c:pt>
                <c:pt idx="11">
                  <c:v>0.96079999999999999</c:v>
                </c:pt>
                <c:pt idx="12">
                  <c:v>0.96150000000000002</c:v>
                </c:pt>
                <c:pt idx="13">
                  <c:v>0.96279999999999999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0.86939999999999995</c:v>
                </c:pt>
                <c:pt idx="1">
                  <c:v>0.87529999999999997</c:v>
                </c:pt>
                <c:pt idx="2">
                  <c:v>0.87760000000000005</c:v>
                </c:pt>
                <c:pt idx="3">
                  <c:v>0.88460000000000005</c:v>
                </c:pt>
                <c:pt idx="4">
                  <c:v>0.88480000000000003</c:v>
                </c:pt>
                <c:pt idx="5">
                  <c:v>0.89180000000000004</c:v>
                </c:pt>
                <c:pt idx="6">
                  <c:v>0.88780000000000003</c:v>
                </c:pt>
                <c:pt idx="7">
                  <c:v>0.88280000000000003</c:v>
                </c:pt>
                <c:pt idx="8">
                  <c:v>0.88129999999999997</c:v>
                </c:pt>
                <c:pt idx="9">
                  <c:v>0.87649999999999995</c:v>
                </c:pt>
                <c:pt idx="10">
                  <c:v>0.87529999999999997</c:v>
                </c:pt>
                <c:pt idx="11">
                  <c:v>0.87909999999999999</c:v>
                </c:pt>
                <c:pt idx="12">
                  <c:v>0.88319999999999999</c:v>
                </c:pt>
                <c:pt idx="13">
                  <c:v>0.89080000000000004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0.77229999999999999</c:v>
                </c:pt>
                <c:pt idx="1">
                  <c:v>0.77810000000000001</c:v>
                </c:pt>
                <c:pt idx="2">
                  <c:v>0.78029999999999999</c:v>
                </c:pt>
                <c:pt idx="3">
                  <c:v>0.78710000000000002</c:v>
                </c:pt>
                <c:pt idx="4">
                  <c:v>0.7873</c:v>
                </c:pt>
                <c:pt idx="5">
                  <c:v>0.79420000000000002</c:v>
                </c:pt>
                <c:pt idx="6">
                  <c:v>0.78869999999999996</c:v>
                </c:pt>
                <c:pt idx="7">
                  <c:v>0.78200000000000003</c:v>
                </c:pt>
                <c:pt idx="8">
                  <c:v>0.77990000000000004</c:v>
                </c:pt>
                <c:pt idx="9">
                  <c:v>0.77339999999999998</c:v>
                </c:pt>
                <c:pt idx="10">
                  <c:v>0.77180000000000004</c:v>
                </c:pt>
                <c:pt idx="11">
                  <c:v>0.7752</c:v>
                </c:pt>
                <c:pt idx="12">
                  <c:v>0.77880000000000005</c:v>
                </c:pt>
                <c:pt idx="13">
                  <c:v>0.78549999999999998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0.67520000000000002</c:v>
                </c:pt>
                <c:pt idx="1">
                  <c:v>0.67889999999999995</c:v>
                </c:pt>
                <c:pt idx="2">
                  <c:v>0.68030000000000002</c:v>
                </c:pt>
                <c:pt idx="3">
                  <c:v>0.68469999999999998</c:v>
                </c:pt>
                <c:pt idx="4">
                  <c:v>0.68479999999999996</c:v>
                </c:pt>
                <c:pt idx="5">
                  <c:v>0.68920000000000003</c:v>
                </c:pt>
                <c:pt idx="6">
                  <c:v>0.68410000000000004</c:v>
                </c:pt>
                <c:pt idx="7">
                  <c:v>0.67779999999999996</c:v>
                </c:pt>
                <c:pt idx="8">
                  <c:v>0.67589999999999995</c:v>
                </c:pt>
                <c:pt idx="9">
                  <c:v>0.66979999999999995</c:v>
                </c:pt>
                <c:pt idx="10">
                  <c:v>0.66830000000000001</c:v>
                </c:pt>
                <c:pt idx="11">
                  <c:v>0.67010000000000003</c:v>
                </c:pt>
                <c:pt idx="12">
                  <c:v>0.67200000000000004</c:v>
                </c:pt>
                <c:pt idx="13">
                  <c:v>0.67549999999999999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0.57450000000000001</c:v>
                </c:pt>
                <c:pt idx="1">
                  <c:v>0.5756</c:v>
                </c:pt>
                <c:pt idx="2">
                  <c:v>0.57599999999999996</c:v>
                </c:pt>
                <c:pt idx="3">
                  <c:v>0.57730000000000004</c:v>
                </c:pt>
                <c:pt idx="4">
                  <c:v>0.57730000000000004</c:v>
                </c:pt>
                <c:pt idx="5">
                  <c:v>0.5786</c:v>
                </c:pt>
                <c:pt idx="6">
                  <c:v>0.57550000000000001</c:v>
                </c:pt>
                <c:pt idx="7">
                  <c:v>0.56599999999999995</c:v>
                </c:pt>
                <c:pt idx="8">
                  <c:v>0.56379999999999997</c:v>
                </c:pt>
                <c:pt idx="9">
                  <c:v>0.55710000000000004</c:v>
                </c:pt>
                <c:pt idx="10">
                  <c:v>0.5554</c:v>
                </c:pt>
                <c:pt idx="11">
                  <c:v>0.55520000000000003</c:v>
                </c:pt>
                <c:pt idx="12">
                  <c:v>0.55489999999999995</c:v>
                </c:pt>
                <c:pt idx="13">
                  <c:v>0.5544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0.41339999999999999</c:v>
                </c:pt>
                <c:pt idx="1">
                  <c:v>0.40699999999999997</c:v>
                </c:pt>
                <c:pt idx="2">
                  <c:v>0.40450000000000003</c:v>
                </c:pt>
                <c:pt idx="3">
                  <c:v>0.39689999999999998</c:v>
                </c:pt>
                <c:pt idx="4">
                  <c:v>0.3967</c:v>
                </c:pt>
                <c:pt idx="5">
                  <c:v>0.38900000000000001</c:v>
                </c:pt>
                <c:pt idx="6">
                  <c:v>0.3851</c:v>
                </c:pt>
                <c:pt idx="7">
                  <c:v>0.38040000000000002</c:v>
                </c:pt>
                <c:pt idx="8">
                  <c:v>0.37890000000000001</c:v>
                </c:pt>
                <c:pt idx="9">
                  <c:v>0.37419999999999998</c:v>
                </c:pt>
                <c:pt idx="10">
                  <c:v>0.37309999999999999</c:v>
                </c:pt>
                <c:pt idx="11">
                  <c:v>0.36499999999999999</c:v>
                </c:pt>
                <c:pt idx="12">
                  <c:v>0.35620000000000002</c:v>
                </c:pt>
                <c:pt idx="13">
                  <c:v>0.33989999999999998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0.3029</c:v>
                </c:pt>
                <c:pt idx="1">
                  <c:v>0.29049999999999998</c:v>
                </c:pt>
                <c:pt idx="2">
                  <c:v>0.2858</c:v>
                </c:pt>
                <c:pt idx="3">
                  <c:v>0.27100000000000002</c:v>
                </c:pt>
                <c:pt idx="4">
                  <c:v>0.27060000000000001</c:v>
                </c:pt>
                <c:pt idx="5">
                  <c:v>0.25590000000000002</c:v>
                </c:pt>
                <c:pt idx="6">
                  <c:v>0.25490000000000002</c:v>
                </c:pt>
                <c:pt idx="7">
                  <c:v>0.25369999999999998</c:v>
                </c:pt>
                <c:pt idx="8">
                  <c:v>0.25340000000000001</c:v>
                </c:pt>
                <c:pt idx="9">
                  <c:v>0.25219999999999998</c:v>
                </c:pt>
                <c:pt idx="10">
                  <c:v>0.25190000000000001</c:v>
                </c:pt>
                <c:pt idx="11">
                  <c:v>0.23710000000000001</c:v>
                </c:pt>
                <c:pt idx="12">
                  <c:v>0.22120000000000001</c:v>
                </c:pt>
                <c:pt idx="13">
                  <c:v>0.19139999999999999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Age-Factor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3542325410938"/>
          <c:y val="0.42117270700139847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Youth Female</a:t>
            </a:r>
            <a:r>
              <a:rPr lang="en-US" sz="2400" baseline="0"/>
              <a:t> </a:t>
            </a:r>
            <a:r>
              <a:rPr lang="en-US" sz="2400"/>
              <a:t>Age</a:t>
            </a:r>
            <a:r>
              <a:rPr lang="en-US" sz="2400" baseline="0"/>
              <a:t> Factor vs Distance</a:t>
            </a:r>
            <a:endParaRPr lang="en-US" sz="2400"/>
          </a:p>
        </c:rich>
      </c:tx>
      <c:layout>
        <c:manualLayout>
          <c:xMode val="edge"/>
          <c:yMode val="edge"/>
          <c:x val="0.26113149914848188"/>
          <c:y val="3.5384892240792963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5794294619424"/>
          <c:y val="0.11377070524270037"/>
          <c:w val="0.85890171956640204"/>
          <c:h val="0.73182463778424678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0.71530000000000005</c:v>
                </c:pt>
                <c:pt idx="1">
                  <c:v>0.69420000000000004</c:v>
                </c:pt>
                <c:pt idx="2">
                  <c:v>0.68600000000000005</c:v>
                </c:pt>
                <c:pt idx="3">
                  <c:v>0.66090000000000004</c:v>
                </c:pt>
                <c:pt idx="4">
                  <c:v>0.66020000000000001</c:v>
                </c:pt>
                <c:pt idx="5">
                  <c:v>0.63500000000000001</c:v>
                </c:pt>
                <c:pt idx="6">
                  <c:v>0.61760000000000004</c:v>
                </c:pt>
                <c:pt idx="7">
                  <c:v>0.59619999999999995</c:v>
                </c:pt>
                <c:pt idx="8">
                  <c:v>0.58950000000000002</c:v>
                </c:pt>
                <c:pt idx="9">
                  <c:v>0.56869999999999998</c:v>
                </c:pt>
                <c:pt idx="10">
                  <c:v>0.56359999999999999</c:v>
                </c:pt>
                <c:pt idx="11">
                  <c:v>0.55789999999999995</c:v>
                </c:pt>
                <c:pt idx="12">
                  <c:v>0.55189999999999995</c:v>
                </c:pt>
                <c:pt idx="13">
                  <c:v>0.54049999999999998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0.84099999999999997</c:v>
                </c:pt>
                <c:pt idx="1">
                  <c:v>0.8296</c:v>
                </c:pt>
                <c:pt idx="2">
                  <c:v>0.82520000000000004</c:v>
                </c:pt>
                <c:pt idx="3">
                  <c:v>0.81159999999999999</c:v>
                </c:pt>
                <c:pt idx="4">
                  <c:v>0.81130000000000002</c:v>
                </c:pt>
                <c:pt idx="5">
                  <c:v>0.79769999999999996</c:v>
                </c:pt>
                <c:pt idx="6">
                  <c:v>0.78639999999999999</c:v>
                </c:pt>
                <c:pt idx="7">
                  <c:v>0.77249999999999996</c:v>
                </c:pt>
                <c:pt idx="8">
                  <c:v>0.7681</c:v>
                </c:pt>
                <c:pt idx="9">
                  <c:v>0.75460000000000005</c:v>
                </c:pt>
                <c:pt idx="10">
                  <c:v>0.75129999999999997</c:v>
                </c:pt>
                <c:pt idx="11">
                  <c:v>0.74950000000000006</c:v>
                </c:pt>
                <c:pt idx="12">
                  <c:v>0.74750000000000005</c:v>
                </c:pt>
                <c:pt idx="13">
                  <c:v>0.74380000000000002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0.92979999999999996</c:v>
                </c:pt>
                <c:pt idx="1">
                  <c:v>0.92589999999999995</c:v>
                </c:pt>
                <c:pt idx="2">
                  <c:v>0.9244</c:v>
                </c:pt>
                <c:pt idx="3">
                  <c:v>0.91979999999999995</c:v>
                </c:pt>
                <c:pt idx="4">
                  <c:v>0.91959999999999997</c:v>
                </c:pt>
                <c:pt idx="5">
                  <c:v>0.91500000000000004</c:v>
                </c:pt>
                <c:pt idx="6">
                  <c:v>0.90839999999999999</c:v>
                </c:pt>
                <c:pt idx="7">
                  <c:v>0.90029999999999999</c:v>
                </c:pt>
                <c:pt idx="8">
                  <c:v>0.89770000000000005</c:v>
                </c:pt>
                <c:pt idx="9">
                  <c:v>0.88980000000000004</c:v>
                </c:pt>
                <c:pt idx="10">
                  <c:v>0.88790000000000002</c:v>
                </c:pt>
                <c:pt idx="11">
                  <c:v>0.88339999999999996</c:v>
                </c:pt>
                <c:pt idx="12">
                  <c:v>0.87860000000000005</c:v>
                </c:pt>
                <c:pt idx="13">
                  <c:v>0.86950000000000005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888456583704"/>
          <c:y val="0.11543390990439362"/>
          <c:w val="0.10884540654904119"/>
          <c:h val="0.21066286605498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2.7029646862324026</c:v>
                </c:pt>
                <c:pt idx="11">
                  <c:v>2.8433333333333337</c:v>
                </c:pt>
                <c:pt idx="12">
                  <c:v>2.85</c:v>
                </c:pt>
                <c:pt idx="13">
                  <c:v>2.8557184376574134</c:v>
                </c:pt>
                <c:pt idx="14">
                  <c:v>2.8645833333333335</c:v>
                </c:pt>
                <c:pt idx="15">
                  <c:v>2.868663670829025</c:v>
                </c:pt>
                <c:pt idx="16">
                  <c:v>2.8766666666666669</c:v>
                </c:pt>
                <c:pt idx="17">
                  <c:v>2.8944444444444448</c:v>
                </c:pt>
                <c:pt idx="18">
                  <c:v>2.9211111111111112</c:v>
                </c:pt>
                <c:pt idx="19">
                  <c:v>2.932872027360216</c:v>
                </c:pt>
                <c:pt idx="20">
                  <c:v>2.9749999999999996</c:v>
                </c:pt>
                <c:pt idx="21">
                  <c:v>2.9798159339574197</c:v>
                </c:pt>
                <c:pt idx="22">
                  <c:v>3</c:v>
                </c:pt>
                <c:pt idx="23">
                  <c:v>3.0277777777777781</c:v>
                </c:pt>
                <c:pt idx="24">
                  <c:v>3.0793537938934317</c:v>
                </c:pt>
                <c:pt idx="25">
                  <c:v>3.13</c:v>
                </c:pt>
                <c:pt idx="26">
                  <c:v>3.5418157957528029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2.8433333333333342</c:v>
                </c:pt>
                <c:pt idx="2">
                  <c:v>2.870322208968866</c:v>
                </c:pt>
                <c:pt idx="3">
                  <c:v>2.8937388577312091</c:v>
                </c:pt>
                <c:pt idx="5">
                  <c:v>2.9179817446273582</c:v>
                </c:pt>
                <c:pt idx="6">
                  <c:v>2.9379403142267804</c:v>
                </c:pt>
                <c:pt idx="7">
                  <c:v>2.9625535078310152</c:v>
                </c:pt>
                <c:pt idx="8">
                  <c:v>2.9703572093624753</c:v>
                </c:pt>
                <c:pt idx="9">
                  <c:v>2.9945899631811916</c:v>
                </c:pt>
                <c:pt idx="10">
                  <c:v>3.0005771295261474</c:v>
                </c:pt>
                <c:pt idx="11">
                  <c:v>3.0196777507622254</c:v>
                </c:pt>
                <c:pt idx="12">
                  <c:v>3.0403319062131229</c:v>
                </c:pt>
                <c:pt idx="13">
                  <c:v>3.0793537938934317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2.8033333333333337</c:v>
                </c:pt>
                <c:pt idx="7">
                  <c:v>2.8899999999999997</c:v>
                </c:pt>
                <c:pt idx="8">
                  <c:v>3.0738239127858749</c:v>
                </c:pt>
                <c:pt idx="9">
                  <c:v>3.2093059999210016</c:v>
                </c:pt>
                <c:pt idx="10">
                  <c:v>2.5683342612476467</c:v>
                </c:pt>
                <c:pt idx="11">
                  <c:v>2.8433333333333333</c:v>
                </c:pt>
                <c:pt idx="14">
                  <c:v>3.0583333333333331</c:v>
                </c:pt>
                <c:pt idx="15">
                  <c:v>3.0447188419629359</c:v>
                </c:pt>
                <c:pt idx="16">
                  <c:v>2.8766666666666669</c:v>
                </c:pt>
                <c:pt idx="17">
                  <c:v>3.1777777777777776</c:v>
                </c:pt>
                <c:pt idx="18">
                  <c:v>2.9555555555555557</c:v>
                </c:pt>
                <c:pt idx="19">
                  <c:v>3.0747517829210746</c:v>
                </c:pt>
                <c:pt idx="20">
                  <c:v>3.0708333333333337</c:v>
                </c:pt>
                <c:pt idx="21">
                  <c:v>2.9798159339574197</c:v>
                </c:pt>
                <c:pt idx="22">
                  <c:v>3.1513333333333331</c:v>
                </c:pt>
                <c:pt idx="23">
                  <c:v>3.2027777777777779</c:v>
                </c:pt>
                <c:pt idx="24">
                  <c:v>3.0793537938934312</c:v>
                </c:pt>
                <c:pt idx="25">
                  <c:v>3.7730000000000001</c:v>
                </c:pt>
                <c:pt idx="26">
                  <c:v>4.229052334367295</c:v>
                </c:pt>
                <c:pt idx="27">
                  <c:v>4.2061666666666664</c:v>
                </c:pt>
                <c:pt idx="28">
                  <c:v>5.5060000000000002</c:v>
                </c:pt>
                <c:pt idx="29">
                  <c:v>5.1429857962830399</c:v>
                </c:pt>
                <c:pt idx="3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177.2</c:v>
                </c:pt>
                <c:pt idx="1">
                  <c:v>177.83333333333334</c:v>
                </c:pt>
                <c:pt idx="2">
                  <c:v>178.17818937405551</c:v>
                </c:pt>
                <c:pt idx="3">
                  <c:v>179</c:v>
                </c:pt>
                <c:pt idx="4">
                  <c:v>179.2034518412471</c:v>
                </c:pt>
                <c:pt idx="5">
                  <c:v>180</c:v>
                </c:pt>
                <c:pt idx="6">
                  <c:v>181</c:v>
                </c:pt>
                <c:pt idx="7">
                  <c:v>182.66666666666666</c:v>
                </c:pt>
                <c:pt idx="8">
                  <c:v>183.36663882923725</c:v>
                </c:pt>
                <c:pt idx="9">
                  <c:v>185.95</c:v>
                </c:pt>
                <c:pt idx="10">
                  <c:v>186.23059604218508</c:v>
                </c:pt>
                <c:pt idx="11">
                  <c:v>187.36</c:v>
                </c:pt>
                <c:pt idx="12">
                  <c:v>188.93333333333334</c:v>
                </c:pt>
                <c:pt idx="13">
                  <c:v>191.89477426235337</c:v>
                </c:pt>
                <c:pt idx="14">
                  <c:v>195.06</c:v>
                </c:pt>
                <c:pt idx="15">
                  <c:v>220.72347490654576</c:v>
                </c:pt>
                <c:pt idx="16">
                  <c:v>245.02</c:v>
                </c:pt>
                <c:pt idx="17">
                  <c:v>274.89333333333332</c:v>
                </c:pt>
                <c:pt idx="18">
                  <c:v>280.74171836474983</c:v>
                </c:pt>
                <c:pt idx="19">
                  <c:v>299.13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196.2</c:v>
                </c:pt>
                <c:pt idx="1">
                  <c:v>195.33333333333334</c:v>
                </c:pt>
                <c:pt idx="2">
                  <c:v>195.2658971605822</c:v>
                </c:pt>
                <c:pt idx="3">
                  <c:v>194.25</c:v>
                </c:pt>
                <c:pt idx="4">
                  <c:v>194.48918317028551</c:v>
                </c:pt>
                <c:pt idx="5">
                  <c:v>193.5</c:v>
                </c:pt>
                <c:pt idx="6">
                  <c:v>195.58333333333334</c:v>
                </c:pt>
                <c:pt idx="7">
                  <c:v>198.53333333333333</c:v>
                </c:pt>
                <c:pt idx="8">
                  <c:v>199.64656406585539</c:v>
                </c:pt>
                <c:pt idx="9">
                  <c:v>203.65</c:v>
                </c:pt>
                <c:pt idx="10">
                  <c:v>204.24220879251095</c:v>
                </c:pt>
                <c:pt idx="11">
                  <c:v>204.76</c:v>
                </c:pt>
                <c:pt idx="12">
                  <c:v>205.7</c:v>
                </c:pt>
                <c:pt idx="13">
                  <c:v>207.41794051427894</c:v>
                </c:pt>
                <c:pt idx="14">
                  <c:v>210.82</c:v>
                </c:pt>
                <c:pt idx="15">
                  <c:v>238.55682812375724</c:v>
                </c:pt>
                <c:pt idx="16">
                  <c:v>264.83</c:v>
                </c:pt>
                <c:pt idx="17">
                  <c:v>297.11333333333334</c:v>
                </c:pt>
                <c:pt idx="18">
                  <c:v>303.43419430525728</c:v>
                </c:pt>
                <c:pt idx="19">
                  <c:v>323.30500000000001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220.8</c:v>
                </c:pt>
                <c:pt idx="1">
                  <c:v>219.83333333333334</c:v>
                </c:pt>
                <c:pt idx="2">
                  <c:v>219.65471645589756</c:v>
                </c:pt>
                <c:pt idx="3">
                  <c:v>218.375</c:v>
                </c:pt>
                <c:pt idx="4">
                  <c:v>218.59838542909407</c:v>
                </c:pt>
                <c:pt idx="5">
                  <c:v>217.3</c:v>
                </c:pt>
                <c:pt idx="6">
                  <c:v>220.16666666666666</c:v>
                </c:pt>
                <c:pt idx="7">
                  <c:v>224.13333333333333</c:v>
                </c:pt>
                <c:pt idx="8">
                  <c:v>225.61987990137595</c:v>
                </c:pt>
                <c:pt idx="9">
                  <c:v>230.8</c:v>
                </c:pt>
                <c:pt idx="10">
                  <c:v>231.63881976537505</c:v>
                </c:pt>
                <c:pt idx="11">
                  <c:v>232.2</c:v>
                </c:pt>
                <c:pt idx="12">
                  <c:v>233.26666666666668</c:v>
                </c:pt>
                <c:pt idx="13">
                  <c:v>235.21744282497926</c:v>
                </c:pt>
                <c:pt idx="14">
                  <c:v>239.08</c:v>
                </c:pt>
                <c:pt idx="15">
                  <c:v>270.54501710013517</c:v>
                </c:pt>
                <c:pt idx="16">
                  <c:v>300.33</c:v>
                </c:pt>
                <c:pt idx="17">
                  <c:v>336.94</c:v>
                </c:pt>
                <c:pt idx="18">
                  <c:v>344.10915254911316</c:v>
                </c:pt>
                <c:pt idx="19">
                  <c:v>366.64499999999998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252.6</c:v>
                </c:pt>
                <c:pt idx="1">
                  <c:v>251.83333333333334</c:v>
                </c:pt>
                <c:pt idx="2">
                  <c:v>251.81067565417956</c:v>
                </c:pt>
                <c:pt idx="3">
                  <c:v>251</c:v>
                </c:pt>
                <c:pt idx="4">
                  <c:v>251.28251014077784</c:v>
                </c:pt>
                <c:pt idx="5">
                  <c:v>250.4</c:v>
                </c:pt>
                <c:pt idx="6">
                  <c:v>253.83333333333334</c:v>
                </c:pt>
                <c:pt idx="7">
                  <c:v>258.60000000000002</c:v>
                </c:pt>
                <c:pt idx="8">
                  <c:v>260.35452954744289</c:v>
                </c:pt>
                <c:pt idx="9">
                  <c:v>266.5</c:v>
                </c:pt>
                <c:pt idx="10">
                  <c:v>267.51984832326104</c:v>
                </c:pt>
                <c:pt idx="11">
                  <c:v>268.60000000000002</c:v>
                </c:pt>
                <c:pt idx="12">
                  <c:v>270.33333333333331</c:v>
                </c:pt>
                <c:pt idx="13">
                  <c:v>273.51581940988268</c:v>
                </c:pt>
                <c:pt idx="14">
                  <c:v>278.02</c:v>
                </c:pt>
                <c:pt idx="15">
                  <c:v>314.60023462976216</c:v>
                </c:pt>
                <c:pt idx="16">
                  <c:v>349.24</c:v>
                </c:pt>
                <c:pt idx="17">
                  <c:v>391.80666666666667</c:v>
                </c:pt>
                <c:pt idx="18">
                  <c:v>400.14440666507591</c:v>
                </c:pt>
                <c:pt idx="19">
                  <c:v>426.35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297</c:v>
                </c:pt>
                <c:pt idx="1">
                  <c:v>297</c:v>
                </c:pt>
                <c:pt idx="2">
                  <c:v>297.48145828362362</c:v>
                </c:pt>
                <c:pt idx="3">
                  <c:v>297.75</c:v>
                </c:pt>
                <c:pt idx="4">
                  <c:v>298.13389803547284</c:v>
                </c:pt>
                <c:pt idx="5">
                  <c:v>298.3</c:v>
                </c:pt>
                <c:pt idx="6">
                  <c:v>301.75</c:v>
                </c:pt>
                <c:pt idx="7">
                  <c:v>309.66666666666669</c:v>
                </c:pt>
                <c:pt idx="8">
                  <c:v>312.11474986081282</c:v>
                </c:pt>
                <c:pt idx="9">
                  <c:v>320.39999999999998</c:v>
                </c:pt>
                <c:pt idx="10">
                  <c:v>321.93387842161394</c:v>
                </c:pt>
                <c:pt idx="11">
                  <c:v>324.2</c:v>
                </c:pt>
                <c:pt idx="12">
                  <c:v>327.39999999999998</c:v>
                </c:pt>
                <c:pt idx="13">
                  <c:v>333.26223486195045</c:v>
                </c:pt>
                <c:pt idx="14">
                  <c:v>338.74</c:v>
                </c:pt>
                <c:pt idx="15">
                  <c:v>383.31146106736657</c:v>
                </c:pt>
                <c:pt idx="16">
                  <c:v>425.52</c:v>
                </c:pt>
                <c:pt idx="17">
                  <c:v>477.39333333333332</c:v>
                </c:pt>
                <c:pt idx="18">
                  <c:v>487.54647856517931</c:v>
                </c:pt>
                <c:pt idx="19">
                  <c:v>519.48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ser>
          <c:idx val="5"/>
          <c:order val="5"/>
          <c:tx>
            <c:v>10 yrs</c:v>
          </c:tx>
          <c:xVal>
            <c:numRef>
              <c:f>Pace!$B$3:$P$3</c:f>
              <c:numCache>
                <c:formatCode>0.0000</c:formatCode>
                <c:ptCount val="15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</c:numCache>
            </c:numRef>
          </c:xVal>
          <c:yVal>
            <c:numRef>
              <c:f>Pace!$B$11:$P$11</c:f>
              <c:numCache>
                <c:formatCode>0</c:formatCode>
                <c:ptCount val="15"/>
                <c:pt idx="0">
                  <c:v>202.8</c:v>
                </c:pt>
                <c:pt idx="1">
                  <c:v>206.16666666666666</c:v>
                </c:pt>
                <c:pt idx="2">
                  <c:v>207.69332100532887</c:v>
                </c:pt>
                <c:pt idx="3">
                  <c:v>211.75</c:v>
                </c:pt>
                <c:pt idx="4">
                  <c:v>212.13612502982579</c:v>
                </c:pt>
                <c:pt idx="5">
                  <c:v>216.4</c:v>
                </c:pt>
                <c:pt idx="6">
                  <c:v>220.83333333333334</c:v>
                </c:pt>
                <c:pt idx="7">
                  <c:v>226.86666666666667</c:v>
                </c:pt>
                <c:pt idx="8">
                  <c:v>229.09955857790501</c:v>
                </c:pt>
                <c:pt idx="9">
                  <c:v>236.55</c:v>
                </c:pt>
                <c:pt idx="10">
                  <c:v>237.99028320891099</c:v>
                </c:pt>
                <c:pt idx="11">
                  <c:v>240.16</c:v>
                </c:pt>
                <c:pt idx="12">
                  <c:v>243.03333333333333</c:v>
                </c:pt>
                <c:pt idx="13">
                  <c:v>248.3943595212703</c:v>
                </c:pt>
                <c:pt idx="14">
                  <c:v>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1-4D9A-BD9D-1966D262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45189293678733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Road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8209826219591997"/>
          <c:y val="9.48258248451320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7.4915292473567846E-2"/>
          <c:w val="0.88605868509410035"/>
          <c:h val="0.8000964853595202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Mile!$F$6</c:f>
              <c:strCache>
                <c:ptCount val="1"/>
                <c:pt idx="0">
                  <c:v>Bernhard 2020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684-B958-DB59751EA46C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0" formatCode="0.000">
                  <c:v>4.3499999999999996</c:v>
                </c:pt>
                <c:pt idx="39" formatCode="0.000">
                  <c:v>4.7833333333333332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5.3333333333333339</c:v>
                </c:pt>
                <c:pt idx="52" formatCode="0.000">
                  <c:v>5.4166666666666661</c:v>
                </c:pt>
                <c:pt idx="53" formatCode="0.000">
                  <c:v>5.583333333333333</c:v>
                </c:pt>
                <c:pt idx="54" formatCode="0.000">
                  <c:v>5.4166666666666661</c:v>
                </c:pt>
                <c:pt idx="55" formatCode="0.000">
                  <c:v>5.45</c:v>
                </c:pt>
                <c:pt idx="56" formatCode="0.000">
                  <c:v>5.5333333333333332</c:v>
                </c:pt>
                <c:pt idx="57" formatCode="0.000">
                  <c:v>5.6</c:v>
                </c:pt>
                <c:pt idx="58" formatCode="0.000">
                  <c:v>5.9666666666666668</c:v>
                </c:pt>
                <c:pt idx="59" formatCode="0.000">
                  <c:v>5.7666666666666666</c:v>
                </c:pt>
                <c:pt idx="60" formatCode="0.000">
                  <c:v>5.7333333333333334</c:v>
                </c:pt>
                <c:pt idx="61" formatCode="0.000">
                  <c:v>6.0333333333333332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6" formatCode="0.000">
                  <c:v>6.65</c:v>
                </c:pt>
                <c:pt idx="67" formatCode="0.000">
                  <c:v>6.1000000000000005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</c:v>
                </c:pt>
                <c:pt idx="72" formatCode="0.000">
                  <c:v>6.9833333333333325</c:v>
                </c:pt>
                <c:pt idx="73" formatCode="0.000">
                  <c:v>6.8666666666666663</c:v>
                </c:pt>
                <c:pt idx="74" formatCode="0.000">
                  <c:v>6.7333333333333334</c:v>
                </c:pt>
                <c:pt idx="75" formatCode="0.000">
                  <c:v>10.25</c:v>
                </c:pt>
                <c:pt idx="79" formatCode="0.000">
                  <c:v>7.4666666666666668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  <c:pt idx="84" formatCode="0.000">
                  <c:v>14.4</c:v>
                </c:pt>
                <c:pt idx="86" formatCode="0.000">
                  <c:v>11.433333333333334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3-4684-B958-DB59751EA46C}"/>
            </c:ext>
          </c:extLst>
        </c:ser>
        <c:ser>
          <c:idx val="2"/>
          <c:order val="2"/>
          <c:tx>
            <c:strRef>
              <c:f>Mile!$G$6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General</c:formatCode>
                <c:ptCount val="100"/>
                <c:pt idx="2" formatCode="0.0000">
                  <c:v>6.7758899676375401</c:v>
                </c:pt>
                <c:pt idx="3" formatCode="0.0000">
                  <c:v>6.4612565697478184</c:v>
                </c:pt>
                <c:pt idx="4" formatCode="0.0000">
                  <c:v>6.1865189289012008</c:v>
                </c:pt>
                <c:pt idx="5" formatCode="0.0000">
                  <c:v>5.9452504547672929</c:v>
                </c:pt>
                <c:pt idx="6" formatCode="0.0000">
                  <c:v>5.7323750855578375</c:v>
                </c:pt>
                <c:pt idx="7" formatCode="0.0000">
                  <c:v>5.5438335195068476</c:v>
                </c:pt>
                <c:pt idx="8" formatCode="0.0000">
                  <c:v>5.3763440860215059</c:v>
                </c:pt>
                <c:pt idx="9" formatCode="0.0000">
                  <c:v>5.227228398673688</c:v>
                </c:pt>
                <c:pt idx="10" formatCode="0.0000">
                  <c:v>5.0942822384428226</c:v>
                </c:pt>
                <c:pt idx="11" formatCode="0.0000">
                  <c:v>4.975678586016115</c:v>
                </c:pt>
                <c:pt idx="12" formatCode="0.0000">
                  <c:v>4.8698938799244074</c:v>
                </c:pt>
                <c:pt idx="13" formatCode="0.0000">
                  <c:v>4.7756513061762718</c:v>
                </c:pt>
                <c:pt idx="14" formatCode="0.0000">
                  <c:v>4.6918767507002803</c:v>
                </c:pt>
                <c:pt idx="15" formatCode="0.0000">
                  <c:v>4.6143250688705235</c:v>
                </c:pt>
                <c:pt idx="16" formatCode="0.0000">
                  <c:v>4.5392953929539299</c:v>
                </c:pt>
                <c:pt idx="17" formatCode="0.0000">
                  <c:v>4.4846050870147254</c:v>
                </c:pt>
                <c:pt idx="18" formatCode="0.0000">
                  <c:v>4.4666666666666668</c:v>
                </c:pt>
                <c:pt idx="19" formatCode="0.0000">
                  <c:v>4.4666666666666668</c:v>
                </c:pt>
                <c:pt idx="20" formatCode="0.0000">
                  <c:v>4.4666666666666668</c:v>
                </c:pt>
                <c:pt idx="21" formatCode="0.0000">
                  <c:v>4.4666666666666668</c:v>
                </c:pt>
                <c:pt idx="22" formatCode="0.0000">
                  <c:v>4.4666666666666668</c:v>
                </c:pt>
                <c:pt idx="23" formatCode="0.0000">
                  <c:v>4.4666666666666668</c:v>
                </c:pt>
                <c:pt idx="24" formatCode="0.0000">
                  <c:v>4.4666666666666668</c:v>
                </c:pt>
                <c:pt idx="25" formatCode="0.0000">
                  <c:v>4.4666666666666668</c:v>
                </c:pt>
                <c:pt idx="26" formatCode="0.0000">
                  <c:v>4.4666666666666668</c:v>
                </c:pt>
                <c:pt idx="27" formatCode="0.0000">
                  <c:v>4.4666666666666668</c:v>
                </c:pt>
                <c:pt idx="28" formatCode="0.0000">
                  <c:v>4.4666666666666668</c:v>
                </c:pt>
                <c:pt idx="29" formatCode="0.0000">
                  <c:v>4.4666666666666668</c:v>
                </c:pt>
                <c:pt idx="30" formatCode="0.0000">
                  <c:v>4.4675601787024073</c:v>
                </c:pt>
                <c:pt idx="31" formatCode="0.0000">
                  <c:v>4.4711378044711383</c:v>
                </c:pt>
                <c:pt idx="32" formatCode="0.0000">
                  <c:v>4.4769636831378836</c:v>
                </c:pt>
                <c:pt idx="33" formatCode="0.0000">
                  <c:v>4.4850553937811695</c:v>
                </c:pt>
                <c:pt idx="34" formatCode="0.0000">
                  <c:v>4.4958899513504447</c:v>
                </c:pt>
                <c:pt idx="35" formatCode="0.0000">
                  <c:v>4.5090517531462408</c:v>
                </c:pt>
                <c:pt idx="36" formatCode="0.0000">
                  <c:v>4.525039678519569</c:v>
                </c:pt>
                <c:pt idx="37" formatCode="0.0000">
                  <c:v>4.5434509883701217</c:v>
                </c:pt>
                <c:pt idx="38" formatCode="0.0000">
                  <c:v>4.5648100834610794</c:v>
                </c:pt>
                <c:pt idx="39" formatCode="0.0000">
                  <c:v>4.5887267995342782</c:v>
                </c:pt>
                <c:pt idx="40" formatCode="0.0000">
                  <c:v>4.6152786388372258</c:v>
                </c:pt>
                <c:pt idx="41" formatCode="0.0000">
                  <c:v>4.645036051026068</c:v>
                </c:pt>
                <c:pt idx="42" formatCode="0.0000">
                  <c:v>4.6776276748001537</c:v>
                </c:pt>
                <c:pt idx="43" formatCode="0.0000">
                  <c:v>4.7136625861826369</c:v>
                </c:pt>
                <c:pt idx="44" formatCode="0.0000">
                  <c:v>4.7527842803433353</c:v>
                </c:pt>
                <c:pt idx="45" formatCode="0.0000">
                  <c:v>4.7956481282656931</c:v>
                </c:pt>
                <c:pt idx="46" formatCode="0.0000">
                  <c:v>4.8419150858175248</c:v>
                </c:pt>
                <c:pt idx="47" formatCode="0.0000">
                  <c:v>4.8917606687839958</c:v>
                </c:pt>
                <c:pt idx="48" formatCode="0.0000">
                  <c:v>4.9442845546454137</c:v>
                </c:pt>
                <c:pt idx="49" formatCode="0.0000">
                  <c:v>4.99794860318526</c:v>
                </c:pt>
                <c:pt idx="50" formatCode="0.0000">
                  <c:v>5.0527903469079938</c:v>
                </c:pt>
                <c:pt idx="51" formatCode="0.0000">
                  <c:v>5.1088489839490645</c:v>
                </c:pt>
                <c:pt idx="52" formatCode="0.0000">
                  <c:v>5.1667630614999034</c:v>
                </c:pt>
                <c:pt idx="53" formatCode="0.0000">
                  <c:v>5.2253938543128999</c:v>
                </c:pt>
                <c:pt idx="54" formatCode="0.0000">
                  <c:v>5.2853705675856908</c:v>
                </c:pt>
                <c:pt idx="55" formatCode="0.0000">
                  <c:v>5.3467400845902162</c:v>
                </c:pt>
                <c:pt idx="56" formatCode="0.0000">
                  <c:v>5.4095514916636391</c:v>
                </c:pt>
                <c:pt idx="57" formatCode="0.0000">
                  <c:v>5.4738562091503269</c:v>
                </c:pt>
                <c:pt idx="58" formatCode="0.0000">
                  <c:v>5.539708131795444</c:v>
                </c:pt>
                <c:pt idx="59" formatCode="0.0000">
                  <c:v>5.6071637793957656</c:v>
                </c:pt>
                <c:pt idx="60" formatCode="0.0000">
                  <c:v>5.67628245859279</c:v>
                </c:pt>
                <c:pt idx="61" formatCode="0.0000">
                  <c:v>5.7471264367816097</c:v>
                </c:pt>
                <c:pt idx="62" formatCode="0.0000">
                  <c:v>5.8205195030840073</c:v>
                </c:pt>
                <c:pt idx="63" formatCode="0.0000">
                  <c:v>5.8950332145528135</c:v>
                </c:pt>
                <c:pt idx="64" formatCode="0.0000">
                  <c:v>5.9714795008912658</c:v>
                </c:pt>
                <c:pt idx="65" formatCode="0.0000">
                  <c:v>6.0499345342904878</c:v>
                </c:pt>
                <c:pt idx="66" formatCode="0.0000">
                  <c:v>6.1304785433250979</c:v>
                </c:pt>
                <c:pt idx="67" formatCode="0.0000">
                  <c:v>6.2131960866138085</c:v>
                </c:pt>
                <c:pt idx="68" formatCode="0.0000">
                  <c:v>6.29817634893777</c:v>
                </c:pt>
                <c:pt idx="69" formatCode="0.0000">
                  <c:v>6.3855134619966645</c:v>
                </c:pt>
                <c:pt idx="70" formatCode="0.0000">
                  <c:v>6.4753068522276997</c:v>
                </c:pt>
                <c:pt idx="71" formatCode="0.0000">
                  <c:v>6.5676616183894527</c:v>
                </c:pt>
                <c:pt idx="72" formatCode="0.0000">
                  <c:v>6.6636829280421699</c:v>
                </c:pt>
                <c:pt idx="73" formatCode="0.0000">
                  <c:v>6.7615299222928655</c:v>
                </c:pt>
                <c:pt idx="74" formatCode="0.0000">
                  <c:v>6.8622932350079378</c:v>
                </c:pt>
                <c:pt idx="75" formatCode="0.0000">
                  <c:v>6.9661052193803288</c:v>
                </c:pt>
                <c:pt idx="76" formatCode="0.0000">
                  <c:v>7.0731063605172872</c:v>
                </c:pt>
                <c:pt idx="77" formatCode="0.0000">
                  <c:v>7.1834459097244556</c:v>
                </c:pt>
                <c:pt idx="78" formatCode="0.0000">
                  <c:v>7.2984749455337692</c:v>
                </c:pt>
                <c:pt idx="79" formatCode="0.0000">
                  <c:v>7.4283496867897343</c:v>
                </c:pt>
                <c:pt idx="80" formatCode="0.0000">
                  <c:v>7.5744728958227352</c:v>
                </c:pt>
                <c:pt idx="81" formatCode="0.0000">
                  <c:v>7.7385077385077379</c:v>
                </c:pt>
                <c:pt idx="82" formatCode="0.0000">
                  <c:v>7.9238365560877542</c:v>
                </c:pt>
                <c:pt idx="83" formatCode="0.0000">
                  <c:v>8.1315613811517693</c:v>
                </c:pt>
                <c:pt idx="84" formatCode="0.0000">
                  <c:v>8.3645443196004994</c:v>
                </c:pt>
                <c:pt idx="85" formatCode="0.0000">
                  <c:v>8.6279054793638519</c:v>
                </c:pt>
                <c:pt idx="86" formatCode="0.0000">
                  <c:v>8.926192379429791</c:v>
                </c:pt>
                <c:pt idx="87" formatCode="0.0000">
                  <c:v>9.2611790724998269</c:v>
                </c:pt>
                <c:pt idx="88" formatCode="0.0000">
                  <c:v>9.6430627518710423</c:v>
                </c:pt>
                <c:pt idx="89" formatCode="0.0000">
                  <c:v>10.080493492815767</c:v>
                </c:pt>
                <c:pt idx="90" formatCode="0.0000">
                  <c:v>10.582010582010582</c:v>
                </c:pt>
                <c:pt idx="91" formatCode="0.0000">
                  <c:v>11.161086123604864</c:v>
                </c:pt>
                <c:pt idx="92" formatCode="0.0000">
                  <c:v>11.838501634420002</c:v>
                </c:pt>
                <c:pt idx="93" formatCode="0.0000">
                  <c:v>12.635549269212637</c:v>
                </c:pt>
                <c:pt idx="94" formatCode="0.0000">
                  <c:v>13.584752635847527</c:v>
                </c:pt>
                <c:pt idx="95" formatCode="0.0000">
                  <c:v>14.736610579566701</c:v>
                </c:pt>
                <c:pt idx="96" formatCode="0.0000">
                  <c:v>16.160154365653643</c:v>
                </c:pt>
                <c:pt idx="97" formatCode="0.0000">
                  <c:v>17.945627427346992</c:v>
                </c:pt>
                <c:pt idx="98" formatCode="0.0000">
                  <c:v>20.26618269812462</c:v>
                </c:pt>
                <c:pt idx="99" formatCode="0.0000">
                  <c:v>23.397939584424659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3-4684-B958-DB59751EA46C}"/>
            </c:ext>
          </c:extLst>
        </c:ser>
        <c:ser>
          <c:idx val="3"/>
          <c:order val="3"/>
          <c:tx>
            <c:strRef>
              <c:f>Mile!$D$6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3" formatCode="0.000">
                  <c:v>6.292492405612613</c:v>
                </c:pt>
                <c:pt idx="4" formatCode="0.000">
                  <c:v>6.0249307479224372</c:v>
                </c:pt>
                <c:pt idx="5" formatCode="0.000">
                  <c:v>5.789964062292027</c:v>
                </c:pt>
                <c:pt idx="6" formatCode="0.000">
                  <c:v>5.5826488706365502</c:v>
                </c:pt>
                <c:pt idx="7" formatCode="0.000">
                  <c:v>5.3990318977286833</c:v>
                </c:pt>
                <c:pt idx="8" formatCode="0.000">
                  <c:v>5.2359171882522864</c:v>
                </c:pt>
                <c:pt idx="9" formatCode="0.000">
                  <c:v>5.0906963136337033</c:v>
                </c:pt>
                <c:pt idx="10" formatCode="0.000">
                  <c:v>4.961222627737226</c:v>
                </c:pt>
                <c:pt idx="11" formatCode="0.000">
                  <c:v>4.8457168319037534</c:v>
                </c:pt>
                <c:pt idx="12" formatCode="0.000">
                  <c:v>4.742695159180113</c:v>
                </c:pt>
                <c:pt idx="13" formatCode="0.000">
                  <c:v>4.6509141451940552</c:v>
                </c:pt>
                <c:pt idx="14" formatCode="0.000">
                  <c:v>4.5693277310924367</c:v>
                </c:pt>
                <c:pt idx="15" formatCode="0.000">
                  <c:v>4.4938016528925617</c:v>
                </c:pt>
                <c:pt idx="16" formatCode="0.000">
                  <c:v>4.4207317073170724</c:v>
                </c:pt>
                <c:pt idx="17" formatCode="0.000">
                  <c:v>4.3674698795180715</c:v>
                </c:pt>
                <c:pt idx="18" formatCode="0.000">
                  <c:v>4.3499999999999996</c:v>
                </c:pt>
                <c:pt idx="19" formatCode="0.000">
                  <c:v>4.3499999999999996</c:v>
                </c:pt>
                <c:pt idx="20" formatCode="0.000">
                  <c:v>4.3499999999999996</c:v>
                </c:pt>
                <c:pt idx="21" formatCode="0.000">
                  <c:v>4.3499999999999996</c:v>
                </c:pt>
                <c:pt idx="22" formatCode="0.000">
                  <c:v>4.3499999999999996</c:v>
                </c:pt>
                <c:pt idx="23" formatCode="0.000">
                  <c:v>4.3499999999999996</c:v>
                </c:pt>
                <c:pt idx="24" formatCode="0.000">
                  <c:v>4.3499999999999996</c:v>
                </c:pt>
                <c:pt idx="25" formatCode="0.000">
                  <c:v>4.3499999999999996</c:v>
                </c:pt>
                <c:pt idx="26" formatCode="0.000">
                  <c:v>4.3499999999999996</c:v>
                </c:pt>
                <c:pt idx="27" formatCode="0.000">
                  <c:v>4.3499999999999996</c:v>
                </c:pt>
                <c:pt idx="28" formatCode="0.000">
                  <c:v>4.3499999999999996</c:v>
                </c:pt>
                <c:pt idx="29" formatCode="0.000">
                  <c:v>4.3499999999999996</c:v>
                </c:pt>
                <c:pt idx="30" formatCode="0.000">
                  <c:v>4.3499999999999996</c:v>
                </c:pt>
                <c:pt idx="31" formatCode="0.000">
                  <c:v>4.3499999999999996</c:v>
                </c:pt>
                <c:pt idx="32" formatCode="0.000">
                  <c:v>4.3499999999999996</c:v>
                </c:pt>
                <c:pt idx="33" formatCode="0.000">
                  <c:v>4.3499999999999996</c:v>
                </c:pt>
                <c:pt idx="34" formatCode="0.000">
                  <c:v>4.3771382571946065</c:v>
                </c:pt>
                <c:pt idx="35" formatCode="0.000">
                  <c:v>4.3890626576531124</c:v>
                </c:pt>
                <c:pt idx="36" formatCode="0.000">
                  <c:v>4.4037254504960517</c:v>
                </c:pt>
                <c:pt idx="37" formatCode="0.000">
                  <c:v>4.4207317073170724</c:v>
                </c:pt>
                <c:pt idx="38" formatCode="0.000">
                  <c:v>4.4401347351229967</c:v>
                </c:pt>
                <c:pt idx="39" formatCode="0.000">
                  <c:v>4.4624538366844479</c:v>
                </c:pt>
                <c:pt idx="40" formatCode="0.000">
                  <c:v>4.4868488911810207</c:v>
                </c:pt>
                <c:pt idx="41" formatCode="0.000">
                  <c:v>4.5143212951432128</c:v>
                </c:pt>
                <c:pt idx="42" formatCode="0.000">
                  <c:v>4.5440300846129738</c:v>
                </c:pt>
                <c:pt idx="43" formatCode="0.000">
                  <c:v>4.5770202020202015</c:v>
                </c:pt>
                <c:pt idx="44" formatCode="0.000">
                  <c:v>4.6129374337221636</c:v>
                </c:pt>
                <c:pt idx="45" formatCode="0.000">
                  <c:v>4.6519088867500793</c:v>
                </c:pt>
                <c:pt idx="46" formatCode="0.000">
                  <c:v>4.6945823440535284</c:v>
                </c:pt>
                <c:pt idx="47" formatCode="0.000">
                  <c:v>4.7401111474338018</c:v>
                </c:pt>
                <c:pt idx="48" formatCode="0.000">
                  <c:v>4.7896939000220211</c:v>
                </c:pt>
                <c:pt idx="49" formatCode="0.000">
                  <c:v>4.8414023372287147</c:v>
                </c:pt>
                <c:pt idx="50" formatCode="0.000">
                  <c:v>4.8942394239423939</c:v>
                </c:pt>
                <c:pt idx="51" formatCode="0.000">
                  <c:v>4.9482425207598677</c:v>
                </c:pt>
                <c:pt idx="52" formatCode="0.000">
                  <c:v>5.0034506556245688</c:v>
                </c:pt>
                <c:pt idx="53" formatCode="0.000">
                  <c:v>5.0599046178899609</c:v>
                </c:pt>
                <c:pt idx="54" formatCode="0.000">
                  <c:v>5.117647058823529</c:v>
                </c:pt>
                <c:pt idx="55" formatCode="0.000">
                  <c:v>5.1767225990717591</c:v>
                </c:pt>
                <c:pt idx="56" formatCode="0.000">
                  <c:v>5.2371779436551886</c:v>
                </c:pt>
                <c:pt idx="57" formatCode="0.000">
                  <c:v>5.299062005116336</c:v>
                </c:pt>
                <c:pt idx="58" formatCode="0.000">
                  <c:v>5.3630871655776096</c:v>
                </c:pt>
                <c:pt idx="59" formatCode="0.000">
                  <c:v>5.428000998253057</c:v>
                </c:pt>
                <c:pt idx="60" formatCode="0.000">
                  <c:v>5.4945054945054945</c:v>
                </c:pt>
                <c:pt idx="61" formatCode="0.000">
                  <c:v>5.562659846547314</c:v>
                </c:pt>
                <c:pt idx="62" formatCode="0.000">
                  <c:v>5.6325262203806803</c:v>
                </c:pt>
                <c:pt idx="63" formatCode="0.000">
                  <c:v>5.7041699449252556</c:v>
                </c:pt>
                <c:pt idx="64" formatCode="0.000">
                  <c:v>5.7776597157657053</c:v>
                </c:pt>
                <c:pt idx="65" formatCode="0.000">
                  <c:v>5.8530678148546826</c:v>
                </c:pt>
                <c:pt idx="66" formatCode="0.000">
                  <c:v>5.930470347648261</c:v>
                </c:pt>
                <c:pt idx="67" formatCode="0.000">
                  <c:v>6.0099474993092006</c:v>
                </c:pt>
                <c:pt idx="68" formatCode="0.000">
                  <c:v>6.0924369747899156</c:v>
                </c:pt>
                <c:pt idx="69" formatCode="0.000">
                  <c:v>6.1763453073974146</c:v>
                </c:pt>
                <c:pt idx="70" formatCode="0.000">
                  <c:v>6.2625971782320757</c:v>
                </c:pt>
                <c:pt idx="71" formatCode="0.000">
                  <c:v>6.3512921594393346</c:v>
                </c:pt>
                <c:pt idx="72" formatCode="0.000">
                  <c:v>6.4425355450236959</c:v>
                </c:pt>
                <c:pt idx="73" formatCode="0.000">
                  <c:v>6.5364387678437259</c:v>
                </c:pt>
                <c:pt idx="74" formatCode="0.000">
                  <c:v>6.6331198536139055</c:v>
                </c:pt>
                <c:pt idx="75" formatCode="0.000">
                  <c:v>6.7327039158025066</c:v>
                </c:pt>
                <c:pt idx="76" formatCode="0.000">
                  <c:v>6.8353236957888122</c:v>
                </c:pt>
                <c:pt idx="77" formatCode="0.000">
                  <c:v>6.9411201531833404</c:v>
                </c:pt>
                <c:pt idx="78" formatCode="0.000">
                  <c:v>7.0525291828793764</c:v>
                </c:pt>
                <c:pt idx="79" formatCode="0.000">
                  <c:v>7.1758495546024417</c:v>
                </c:pt>
                <c:pt idx="80" formatCode="0.000">
                  <c:v>7.3158425832492426</c:v>
                </c:pt>
                <c:pt idx="81" formatCode="0.000">
                  <c:v>7.4729427933344788</c:v>
                </c:pt>
                <c:pt idx="82" formatCode="0.000">
                  <c:v>7.6503693281744631</c:v>
                </c:pt>
                <c:pt idx="83" formatCode="0.000">
                  <c:v>7.8491519307109341</c:v>
                </c:pt>
                <c:pt idx="84" formatCode="0.000">
                  <c:v>8.0734966592427622</c:v>
                </c:pt>
                <c:pt idx="85" formatCode="0.000">
                  <c:v>8.3253588516746415</c:v>
                </c:pt>
                <c:pt idx="86" formatCode="0.000">
                  <c:v>8.6087472788442501</c:v>
                </c:pt>
                <c:pt idx="87" formatCode="0.000">
                  <c:v>8.930404434407718</c:v>
                </c:pt>
                <c:pt idx="88" formatCode="0.000">
                  <c:v>9.2948717948717938</c:v>
                </c:pt>
                <c:pt idx="89" formatCode="0.000">
                  <c:v>9.709821428571427</c:v>
                </c:pt>
                <c:pt idx="90" formatCode="0.000">
                  <c:v>10.187353629976581</c:v>
                </c:pt>
                <c:pt idx="91" formatCode="0.000">
                  <c:v>10.73808936065169</c:v>
                </c:pt>
                <c:pt idx="92" formatCode="0.000">
                  <c:v>11.381475667189953</c:v>
                </c:pt>
                <c:pt idx="93" formatCode="0.000">
                  <c:v>12.137276785714285</c:v>
                </c:pt>
                <c:pt idx="94" formatCode="0.000">
                  <c:v>13.03956834532374</c:v>
                </c:pt>
                <c:pt idx="95" formatCode="0.000">
                  <c:v>14.127963624553425</c:v>
                </c:pt>
                <c:pt idx="96" formatCode="0.000">
                  <c:v>15.463917525773194</c:v>
                </c:pt>
                <c:pt idx="97" formatCode="0.000">
                  <c:v>17.14623571147024</c:v>
                </c:pt>
                <c:pt idx="98" formatCode="0.000">
                  <c:v>19.31616341030195</c:v>
                </c:pt>
                <c:pt idx="99" formatCode="0.000">
                  <c:v>22.216547497446371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3-4684-B958-DB59751EA46C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Mile!$A$27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Mile!$C$27</c:f>
              <c:numCache>
                <c:formatCode>0.000</c:formatCode>
                <c:ptCount val="1"/>
                <c:pt idx="0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F-422C-8551-3FBC17EB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10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37742686969208"/>
          <c:y val="0.21500767796516873"/>
          <c:w val="0.42098865884942277"/>
          <c:h val="0.20788315428182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40198587622760407"/>
          <c:y val="5.1007296930351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415285439515732E-2"/>
          <c:y val="3.4555502147903573E-2"/>
          <c:w val="0.91087411766482318"/>
          <c:h val="0.8409292490243112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18.466666666666669</c:v>
                </c:pt>
                <c:pt idx="7" formatCode="0.000">
                  <c:v>18.583333333333336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14.666666666666668</c:v>
                </c:pt>
                <c:pt idx="18" formatCode="0.000">
                  <c:v>14.633333333333333</c:v>
                </c:pt>
                <c:pt idx="19" formatCode="0.000">
                  <c:v>14.966666666666667</c:v>
                </c:pt>
                <c:pt idx="20" formatCode="0.000">
                  <c:v>14.316666666666666</c:v>
                </c:pt>
                <c:pt idx="21" formatCode="0.000">
                  <c:v>14.216666666666667</c:v>
                </c:pt>
                <c:pt idx="22" formatCode="0.000">
                  <c:v>14.216666666666667</c:v>
                </c:pt>
                <c:pt idx="23" formatCode="0.000">
                  <c:v>14.8</c:v>
                </c:pt>
                <c:pt idx="24" formatCode="0.000">
                  <c:v>14.649999999999999</c:v>
                </c:pt>
                <c:pt idx="25" formatCode="0.000">
                  <c:v>14.483333333333333</c:v>
                </c:pt>
                <c:pt idx="26" formatCode="0.000">
                  <c:v>14.95</c:v>
                </c:pt>
                <c:pt idx="27" formatCode="0.000">
                  <c:v>15.166666666666666</c:v>
                </c:pt>
                <c:pt idx="28" formatCode="0.000">
                  <c:v>14.716666666666665</c:v>
                </c:pt>
                <c:pt idx="29" formatCode="0.000">
                  <c:v>14.833333333333332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15.25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</c:v>
                </c:pt>
                <c:pt idx="36" formatCode="0.000">
                  <c:v>15.5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15.799999999999999</c:v>
                </c:pt>
                <c:pt idx="40" formatCode="0.000">
                  <c:v>15.883333333333335</c:v>
                </c:pt>
                <c:pt idx="41" formatCode="0.000">
                  <c:v>15.799999999999999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16.333333333333336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17.650000000000002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18.783333333333331</c:v>
                </c:pt>
                <c:pt idx="58" formatCode="0.000">
                  <c:v>18.966666666666665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19.950000000000003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21.400000000000002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23.916666666666664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25.216666666666669</c:v>
                </c:pt>
                <c:pt idx="79" formatCode="0.000">
                  <c:v>25.18333333333333</c:v>
                </c:pt>
                <c:pt idx="80" formatCode="0.000">
                  <c:v>26.81666666666667</c:v>
                </c:pt>
                <c:pt idx="81" formatCode="0.000">
                  <c:v>29.666666666666664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34.85</c:v>
                </c:pt>
                <c:pt idx="85" formatCode="0.000">
                  <c:v>34.383333333333333</c:v>
                </c:pt>
                <c:pt idx="86" formatCode="0.000">
                  <c:v>38.15</c:v>
                </c:pt>
                <c:pt idx="87" formatCode="0.000">
                  <c:v>41.433333333333337</c:v>
                </c:pt>
                <c:pt idx="88" formatCode="0.000">
                  <c:v>41.083333333333336</c:v>
                </c:pt>
                <c:pt idx="89" formatCode="0.000">
                  <c:v>43.199999999999996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3" formatCode="0.000">
                  <c:v>48.916666666666664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22.350323624595472</c:v>
                </c:pt>
                <c:pt idx="3" formatCode="0.0000">
                  <c:v>21.312503013645788</c:v>
                </c:pt>
                <c:pt idx="4" formatCode="0.0000">
                  <c:v>20.406278855032319</c:v>
                </c:pt>
                <c:pt idx="5" formatCode="0.0000">
                  <c:v>19.610452992590623</c:v>
                </c:pt>
                <c:pt idx="6" formatCode="0.0000">
                  <c:v>18.908281998631075</c:v>
                </c:pt>
                <c:pt idx="7" formatCode="0.0000">
                  <c:v>18.286376235985273</c:v>
                </c:pt>
                <c:pt idx="8" formatCode="0.0000">
                  <c:v>17.733911089712727</c:v>
                </c:pt>
                <c:pt idx="9" formatCode="0.0000">
                  <c:v>17.242051882192314</c:v>
                </c:pt>
                <c:pt idx="10" formatCode="0.0000">
                  <c:v>16.803527980535282</c:v>
                </c:pt>
                <c:pt idx="11" formatCode="0.0000">
                  <c:v>16.412312947903903</c:v>
                </c:pt>
                <c:pt idx="12" formatCode="0.0000">
                  <c:v>16.0633813054223</c:v>
                </c:pt>
                <c:pt idx="13" formatCode="0.0000">
                  <c:v>15.752521472611283</c:v>
                </c:pt>
                <c:pt idx="14" formatCode="0.0000">
                  <c:v>15.476190476190478</c:v>
                </c:pt>
                <c:pt idx="15" formatCode="0.0000">
                  <c:v>15.220385674931132</c:v>
                </c:pt>
                <c:pt idx="16" formatCode="0.0000">
                  <c:v>14.972899728997291</c:v>
                </c:pt>
                <c:pt idx="17" formatCode="0.0000">
                  <c:v>14.792503346720215</c:v>
                </c:pt>
                <c:pt idx="18" formatCode="0.0000">
                  <c:v>14.733333333333334</c:v>
                </c:pt>
                <c:pt idx="19" formatCode="0.0000">
                  <c:v>14.733333333333334</c:v>
                </c:pt>
                <c:pt idx="20" formatCode="0.0000">
                  <c:v>14.733333333333334</c:v>
                </c:pt>
                <c:pt idx="21" formatCode="0.0000">
                  <c:v>14.733333333333334</c:v>
                </c:pt>
                <c:pt idx="22" formatCode="0.0000">
                  <c:v>14.733333333333334</c:v>
                </c:pt>
                <c:pt idx="23" formatCode="0.0000">
                  <c:v>14.733333333333334</c:v>
                </c:pt>
                <c:pt idx="24" formatCode="0.0000">
                  <c:v>14.733333333333334</c:v>
                </c:pt>
                <c:pt idx="25" formatCode="0.0000">
                  <c:v>14.733333333333334</c:v>
                </c:pt>
                <c:pt idx="26" formatCode="0.0000">
                  <c:v>14.733333333333334</c:v>
                </c:pt>
                <c:pt idx="27" formatCode="0.0000">
                  <c:v>14.733333333333334</c:v>
                </c:pt>
                <c:pt idx="28" formatCode="0.0000">
                  <c:v>14.733333333333334</c:v>
                </c:pt>
                <c:pt idx="29" formatCode="0.0000">
                  <c:v>14.733333333333334</c:v>
                </c:pt>
                <c:pt idx="30" formatCode="0.0000">
                  <c:v>14.736280589451225</c:v>
                </c:pt>
                <c:pt idx="31" formatCode="0.0000">
                  <c:v>14.748081414748082</c:v>
                </c:pt>
                <c:pt idx="32" formatCode="0.0000">
                  <c:v>14.768778401496926</c:v>
                </c:pt>
                <c:pt idx="33" formatCode="0.0000">
                  <c:v>14.796960262461921</c:v>
                </c:pt>
                <c:pt idx="34" formatCode="0.0000">
                  <c:v>14.832712507131113</c:v>
                </c:pt>
                <c:pt idx="35" formatCode="0.0000">
                  <c:v>14.879148993469334</c:v>
                </c:pt>
                <c:pt idx="36" formatCode="0.0000">
                  <c:v>14.933441448746537</c:v>
                </c:pt>
                <c:pt idx="37" formatCode="0.0000">
                  <c:v>14.995759117896522</c:v>
                </c:pt>
                <c:pt idx="38" formatCode="0.0000">
                  <c:v>15.067839367287108</c:v>
                </c:pt>
                <c:pt idx="39" formatCode="0.0000">
                  <c:v>15.149957155098544</c:v>
                </c:pt>
                <c:pt idx="40" formatCode="0.0000">
                  <c:v>15.240853763663322</c:v>
                </c:pt>
                <c:pt idx="41" formatCode="0.0000">
                  <c:v>15.342427713561735</c:v>
                </c:pt>
                <c:pt idx="42" formatCode="0.0000">
                  <c:v>15.455085842162314</c:v>
                </c:pt>
                <c:pt idx="43" formatCode="0.0000">
                  <c:v>15.577641502784241</c:v>
                </c:pt>
                <c:pt idx="44" formatCode="0.0000">
                  <c:v>15.712203618783549</c:v>
                </c:pt>
                <c:pt idx="45" formatCode="0.0000">
                  <c:v>15.857640010045564</c:v>
                </c:pt>
                <c:pt idx="46" formatCode="0.0000">
                  <c:v>16.017974922084512</c:v>
                </c:pt>
                <c:pt idx="47" formatCode="0.0000">
                  <c:v>16.186918625943019</c:v>
                </c:pt>
                <c:pt idx="48" formatCode="0.0000">
                  <c:v>16.361280769942628</c:v>
                </c:pt>
                <c:pt idx="49" formatCode="0.0000">
                  <c:v>16.539440203562343</c:v>
                </c:pt>
                <c:pt idx="50" formatCode="0.0000">
                  <c:v>16.72152233949987</c:v>
                </c:pt>
                <c:pt idx="51" formatCode="0.0000">
                  <c:v>16.909598683958837</c:v>
                </c:pt>
                <c:pt idx="52" formatCode="0.0000">
                  <c:v>17.099969049829774</c:v>
                </c:pt>
                <c:pt idx="53" formatCode="0.0000">
                  <c:v>17.294674648824198</c:v>
                </c:pt>
                <c:pt idx="54" formatCode="0.0000">
                  <c:v>17.493865273490069</c:v>
                </c:pt>
                <c:pt idx="55" formatCode="0.0000">
                  <c:v>17.697697697697699</c:v>
                </c:pt>
                <c:pt idx="56" formatCode="0.0000">
                  <c:v>17.906336088154273</c:v>
                </c:pt>
                <c:pt idx="57" formatCode="0.0000">
                  <c:v>18.119952445373674</c:v>
                </c:pt>
                <c:pt idx="58" formatCode="0.0000">
                  <c:v>18.338727076591155</c:v>
                </c:pt>
                <c:pt idx="59" formatCode="0.0000">
                  <c:v>18.562849103355592</c:v>
                </c:pt>
                <c:pt idx="60" formatCode="0.0000">
                  <c:v>18.792517006802722</c:v>
                </c:pt>
                <c:pt idx="61" formatCode="0.0000">
                  <c:v>19.03039696891415</c:v>
                </c:pt>
                <c:pt idx="62" formatCode="0.0000">
                  <c:v>19.271855243078267</c:v>
                </c:pt>
                <c:pt idx="63" formatCode="0.0000">
                  <c:v>19.51951951951952</c:v>
                </c:pt>
                <c:pt idx="64" formatCode="0.0000">
                  <c:v>19.773632174652175</c:v>
                </c:pt>
                <c:pt idx="65" formatCode="0.0000">
                  <c:v>20.034448372767656</c:v>
                </c:pt>
                <c:pt idx="66" formatCode="0.0000">
                  <c:v>20.302236920674293</c:v>
                </c:pt>
                <c:pt idx="67" formatCode="0.0000">
                  <c:v>20.577281191806335</c:v>
                </c:pt>
                <c:pt idx="68" formatCode="0.0000">
                  <c:v>20.859880126480721</c:v>
                </c:pt>
                <c:pt idx="69" formatCode="0.0000">
                  <c:v>21.150349315723993</c:v>
                </c:pt>
                <c:pt idx="70" formatCode="0.0000">
                  <c:v>21.449022176930171</c:v>
                </c:pt>
                <c:pt idx="71" formatCode="0.0000">
                  <c:v>21.759464382415203</c:v>
                </c:pt>
                <c:pt idx="72" formatCode="0.0000">
                  <c:v>22.075716711617222</c:v>
                </c:pt>
                <c:pt idx="73" formatCode="0.0000">
                  <c:v>22.401297450712079</c:v>
                </c:pt>
                <c:pt idx="74" formatCode="0.0000">
                  <c:v>22.736625514403293</c:v>
                </c:pt>
                <c:pt idx="75" formatCode="0.0000">
                  <c:v>23.082145281737951</c:v>
                </c:pt>
                <c:pt idx="76" formatCode="0.0000">
                  <c:v>23.453252679613712</c:v>
                </c:pt>
                <c:pt idx="77" formatCode="0.0000">
                  <c:v>23.867379448134351</c:v>
                </c:pt>
                <c:pt idx="78" formatCode="0.0000">
                  <c:v>24.324473061471576</c:v>
                </c:pt>
                <c:pt idx="79" formatCode="0.0000">
                  <c:v>24.837042031917289</c:v>
                </c:pt>
                <c:pt idx="80" formatCode="0.0000">
                  <c:v>25.402298850574716</c:v>
                </c:pt>
                <c:pt idx="81" formatCode="0.0000">
                  <c:v>26.030624263839815</c:v>
                </c:pt>
                <c:pt idx="82" formatCode="0.0000">
                  <c:v>26.729559748427672</c:v>
                </c:pt>
                <c:pt idx="83" formatCode="0.0000">
                  <c:v>27.502955634372476</c:v>
                </c:pt>
                <c:pt idx="84" formatCode="0.0000">
                  <c:v>28.371525771872395</c:v>
                </c:pt>
                <c:pt idx="85" formatCode="0.0000">
                  <c:v>29.337581308907478</c:v>
                </c:pt>
                <c:pt idx="86" formatCode="0.0000">
                  <c:v>30.42191479110744</c:v>
                </c:pt>
                <c:pt idx="87" formatCode="0.0000">
                  <c:v>31.643757159221078</c:v>
                </c:pt>
                <c:pt idx="88" formatCode="0.0000">
                  <c:v>33.019572687882864</c:v>
                </c:pt>
                <c:pt idx="89" formatCode="0.0000">
                  <c:v>34.593410033654223</c:v>
                </c:pt>
                <c:pt idx="90" formatCode="0.0000">
                  <c:v>36.387585412035897</c:v>
                </c:pt>
                <c:pt idx="91" formatCode="0.0000">
                  <c:v>38.458191942921779</c:v>
                </c:pt>
                <c:pt idx="92" formatCode="0.0000">
                  <c:v>40.869163199260292</c:v>
                </c:pt>
                <c:pt idx="93" formatCode="0.0000">
                  <c:v>43.693159351522347</c:v>
                </c:pt>
                <c:pt idx="94" formatCode="0.0000">
                  <c:v>47.071352502662407</c:v>
                </c:pt>
                <c:pt idx="95" formatCode="0.0000">
                  <c:v>51.139650584287864</c:v>
                </c:pt>
                <c:pt idx="96" formatCode="0.0000">
                  <c:v>56.148373983739837</c:v>
                </c:pt>
                <c:pt idx="97" formatCode="0.0000">
                  <c:v>62.455842871273141</c:v>
                </c:pt>
                <c:pt idx="98" formatCode="0.0000">
                  <c:v>70.595751477399787</c:v>
                </c:pt>
                <c:pt idx="99" formatCode="0.0000">
                  <c:v>81.579918789221111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21.71809756594358</c:v>
                </c:pt>
                <c:pt idx="3" formatCode="0.000">
                  <c:v>20.73307082786447</c:v>
                </c:pt>
                <c:pt idx="4" formatCode="0.000">
                  <c:v>19.875110676173165</c:v>
                </c:pt>
                <c:pt idx="5" formatCode="0.000">
                  <c:v>19.123845395031836</c:v>
                </c:pt>
                <c:pt idx="6" formatCode="0.000">
                  <c:v>18.463203463203463</c:v>
                </c:pt>
                <c:pt idx="7" formatCode="0.000">
                  <c:v>17.880350480023477</c:v>
                </c:pt>
                <c:pt idx="8" formatCode="0.000">
                  <c:v>17.362807360364762</c:v>
                </c:pt>
                <c:pt idx="9" formatCode="0.000">
                  <c:v>16.904478795085218</c:v>
                </c:pt>
                <c:pt idx="10" formatCode="0.000">
                  <c:v>16.498394646241923</c:v>
                </c:pt>
                <c:pt idx="11" formatCode="0.000">
                  <c:v>16.138797442010066</c:v>
                </c:pt>
                <c:pt idx="12" formatCode="0.000">
                  <c:v>15.819146174103334</c:v>
                </c:pt>
                <c:pt idx="13" formatCode="0.000">
                  <c:v>15.537340619307832</c:v>
                </c:pt>
                <c:pt idx="14" formatCode="0.000">
                  <c:v>15.290026529002654</c:v>
                </c:pt>
                <c:pt idx="15" formatCode="0.000">
                  <c:v>15.063219608674155</c:v>
                </c:pt>
                <c:pt idx="16" formatCode="0.000">
                  <c:v>14.841493544907262</c:v>
                </c:pt>
                <c:pt idx="17" formatCode="0.000">
                  <c:v>14.627705182288988</c:v>
                </c:pt>
                <c:pt idx="18" formatCode="0.000">
                  <c:v>14.444896023843393</c:v>
                </c:pt>
                <c:pt idx="19" formatCode="0.000">
                  <c:v>14.316884860691507</c:v>
                </c:pt>
                <c:pt idx="20" formatCode="0.000">
                  <c:v>14.242302811727777</c:v>
                </c:pt>
                <c:pt idx="21" formatCode="0.000">
                  <c:v>14.216666666666667</c:v>
                </c:pt>
                <c:pt idx="22" formatCode="0.000">
                  <c:v>14.216666666666667</c:v>
                </c:pt>
                <c:pt idx="23" formatCode="0.000">
                  <c:v>14.216666666666667</c:v>
                </c:pt>
                <c:pt idx="24" formatCode="0.000">
                  <c:v>14.216666666666667</c:v>
                </c:pt>
                <c:pt idx="25" formatCode="0.000">
                  <c:v>14.216666666666667</c:v>
                </c:pt>
                <c:pt idx="26" formatCode="0.000">
                  <c:v>14.216666666666667</c:v>
                </c:pt>
                <c:pt idx="27" formatCode="0.000">
                  <c:v>14.216666666666667</c:v>
                </c:pt>
                <c:pt idx="28" formatCode="0.000">
                  <c:v>14.216666666666667</c:v>
                </c:pt>
                <c:pt idx="29" formatCode="0.000">
                  <c:v>14.216666666666667</c:v>
                </c:pt>
                <c:pt idx="30" formatCode="0.000">
                  <c:v>14.220932946550631</c:v>
                </c:pt>
                <c:pt idx="31" formatCode="0.000">
                  <c:v>14.236597903731891</c:v>
                </c:pt>
                <c:pt idx="32" formatCode="0.000">
                  <c:v>14.262306046013911</c:v>
                </c:pt>
                <c:pt idx="33" formatCode="0.000">
                  <c:v>14.298166214086963</c:v>
                </c:pt>
                <c:pt idx="34" formatCode="0.000">
                  <c:v>14.345778674739321</c:v>
                </c:pt>
                <c:pt idx="35" formatCode="0.000">
                  <c:v>14.405377106765291</c:v>
                </c:pt>
                <c:pt idx="36" formatCode="0.000">
                  <c:v>14.475783185690528</c:v>
                </c:pt>
                <c:pt idx="37" formatCode="0.000">
                  <c:v>14.558798429766171</c:v>
                </c:pt>
                <c:pt idx="38" formatCode="0.000">
                  <c:v>14.653336081907511</c:v>
                </c:pt>
                <c:pt idx="39" formatCode="0.000">
                  <c:v>14.761360883258922</c:v>
                </c:pt>
                <c:pt idx="40" formatCode="0.000">
                  <c:v>14.881887016295055</c:v>
                </c:pt>
                <c:pt idx="41" formatCode="0.000">
                  <c:v>15.017076863490722</c:v>
                </c:pt>
                <c:pt idx="42" formatCode="0.000">
                  <c:v>15.166062157741271</c:v>
                </c:pt>
                <c:pt idx="43" formatCode="0.000">
                  <c:v>15.324637993604254</c:v>
                </c:pt>
                <c:pt idx="44" formatCode="0.000">
                  <c:v>15.486564996368918</c:v>
                </c:pt>
                <c:pt idx="45" formatCode="0.000">
                  <c:v>15.653673933788445</c:v>
                </c:pt>
                <c:pt idx="46" formatCode="0.000">
                  <c:v>15.822667408644037</c:v>
                </c:pt>
                <c:pt idx="47" formatCode="0.000">
                  <c:v>15.995349534953494</c:v>
                </c:pt>
                <c:pt idx="48" formatCode="0.000">
                  <c:v>16.171842414590682</c:v>
                </c:pt>
                <c:pt idx="49" formatCode="0.000">
                  <c:v>16.352273598650413</c:v>
                </c:pt>
                <c:pt idx="50" formatCode="0.000">
                  <c:v>16.536776394866425</c:v>
                </c:pt>
                <c:pt idx="51" formatCode="0.000">
                  <c:v>16.725490196078432</c:v>
                </c:pt>
                <c:pt idx="52" formatCode="0.000">
                  <c:v>16.918560831449085</c:v>
                </c:pt>
                <c:pt idx="53" formatCode="0.000">
                  <c:v>17.116140942290713</c:v>
                </c:pt>
                <c:pt idx="54" formatCode="0.000">
                  <c:v>17.318390384537299</c:v>
                </c:pt>
                <c:pt idx="55" formatCode="0.000">
                  <c:v>17.527637364895408</c:v>
                </c:pt>
                <c:pt idx="56" formatCode="0.000">
                  <c:v>17.739788703102903</c:v>
                </c:pt>
                <c:pt idx="57" formatCode="0.000">
                  <c:v>17.957138646793819</c:v>
                </c:pt>
                <c:pt idx="58" formatCode="0.000">
                  <c:v>18.17988064791134</c:v>
                </c:pt>
                <c:pt idx="59" formatCode="0.000">
                  <c:v>18.408217877336096</c:v>
                </c:pt>
                <c:pt idx="60" formatCode="0.000">
                  <c:v>18.642363842993269</c:v>
                </c:pt>
                <c:pt idx="61" formatCode="0.000">
                  <c:v>18.882543055740026</c:v>
                </c:pt>
                <c:pt idx="62" formatCode="0.000">
                  <c:v>19.128991747398636</c:v>
                </c:pt>
                <c:pt idx="63" formatCode="0.000">
                  <c:v>19.381958645762325</c:v>
                </c:pt>
                <c:pt idx="64" formatCode="0.000">
                  <c:v>19.641705811918577</c:v>
                </c:pt>
                <c:pt idx="65" formatCode="0.000">
                  <c:v>19.911297852474323</c:v>
                </c:pt>
                <c:pt idx="66" formatCode="0.000">
                  <c:v>20.18552700080458</c:v>
                </c:pt>
                <c:pt idx="67" formatCode="0.000">
                  <c:v>20.46741529897303</c:v>
                </c:pt>
                <c:pt idx="68" formatCode="0.000">
                  <c:v>20.757288168589088</c:v>
                </c:pt>
                <c:pt idx="69" formatCode="0.000">
                  <c:v>21.0554897314376</c:v>
                </c:pt>
                <c:pt idx="70" formatCode="0.000">
                  <c:v>21.362384172301528</c:v>
                </c:pt>
                <c:pt idx="71" formatCode="0.000">
                  <c:v>21.678357222730504</c:v>
                </c:pt>
                <c:pt idx="72" formatCode="0.000">
                  <c:v>22.003817778465667</c:v>
                </c:pt>
                <c:pt idx="73" formatCode="0.000">
                  <c:v>22.339199664781063</c:v>
                </c:pt>
                <c:pt idx="74" formatCode="0.000">
                  <c:v>22.684963565767777</c:v>
                </c:pt>
                <c:pt idx="75" formatCode="0.000">
                  <c:v>23.045334197871075</c:v>
                </c:pt>
                <c:pt idx="76" formatCode="0.000">
                  <c:v>23.413482652613091</c:v>
                </c:pt>
                <c:pt idx="77" formatCode="0.000">
                  <c:v>23.80952380952381</c:v>
                </c:pt>
                <c:pt idx="78" formatCode="0.000">
                  <c:v>24.252246104856134</c:v>
                </c:pt>
                <c:pt idx="79" formatCode="0.000">
                  <c:v>24.746156077748768</c:v>
                </c:pt>
                <c:pt idx="80" formatCode="0.000">
                  <c:v>25.296559905100828</c:v>
                </c:pt>
                <c:pt idx="81" formatCode="0.000">
                  <c:v>25.909726019075393</c:v>
                </c:pt>
                <c:pt idx="82" formatCode="0.000">
                  <c:v>26.593091407906225</c:v>
                </c:pt>
                <c:pt idx="83" formatCode="0.000">
                  <c:v>27.355525623757295</c:v>
                </c:pt>
                <c:pt idx="84" formatCode="0.000">
                  <c:v>28.207671957671959</c:v>
                </c:pt>
                <c:pt idx="85" formatCode="0.000">
                  <c:v>29.168376419094514</c:v>
                </c:pt>
                <c:pt idx="86" formatCode="0.000">
                  <c:v>30.241792526412819</c:v>
                </c:pt>
                <c:pt idx="87" formatCode="0.000">
                  <c:v>31.452802359882007</c:v>
                </c:pt>
                <c:pt idx="88" formatCode="0.000">
                  <c:v>32.825367505579926</c:v>
                </c:pt>
                <c:pt idx="89" formatCode="0.000">
                  <c:v>34.389614578293823</c:v>
                </c:pt>
                <c:pt idx="90" formatCode="0.000">
                  <c:v>36.183931449902431</c:v>
                </c:pt>
                <c:pt idx="91" formatCode="0.000">
                  <c:v>38.257983494797273</c:v>
                </c:pt>
                <c:pt idx="92" formatCode="0.000">
                  <c:v>40.677157844539821</c:v>
                </c:pt>
                <c:pt idx="93" formatCode="0.000">
                  <c:v>43.529291692182078</c:v>
                </c:pt>
                <c:pt idx="94" formatCode="0.000">
                  <c:v>46.935182128315176</c:v>
                </c:pt>
                <c:pt idx="95" formatCode="0.000">
                  <c:v>51.083962151155831</c:v>
                </c:pt>
                <c:pt idx="96" formatCode="0.000">
                  <c:v>56.192358366271407</c:v>
                </c:pt>
                <c:pt idx="97" formatCode="0.000">
                  <c:v>62.656089319817838</c:v>
                </c:pt>
                <c:pt idx="98" formatCode="0.000">
                  <c:v>71.083333333333329</c:v>
                </c:pt>
                <c:pt idx="99" formatCode="0.000">
                  <c:v>82.511124008512283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'5K'!$C$28</c:f>
              <c:numCache>
                <c:formatCode>0.000</c:formatCode>
                <c:ptCount val="1"/>
                <c:pt idx="0">
                  <c:v>14.216666666666667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0-4C96-BC2C-F5E176C9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119577925712441"/>
          <c:y val="0.17122414894203214"/>
          <c:w val="0.31706166989049001"/>
          <c:h val="0.23789379986244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38.941604731498032</c:v>
                </c:pt>
                <c:pt idx="3" formatCode="0.000">
                  <c:v>36.638105661427119</c:v>
                </c:pt>
                <c:pt idx="4" formatCode="0.000">
                  <c:v>34.677518381420633</c:v>
                </c:pt>
                <c:pt idx="5" formatCode="0.000">
                  <c:v>33.003281258337744</c:v>
                </c:pt>
                <c:pt idx="6" formatCode="0.000">
                  <c:v>31.554166584416205</c:v>
                </c:pt>
                <c:pt idx="7" formatCode="0.000">
                  <c:v>30.295022345820541</c:v>
                </c:pt>
                <c:pt idx="8" formatCode="0.000">
                  <c:v>29.197059036256345</c:v>
                </c:pt>
                <c:pt idx="9" formatCode="0.000">
                  <c:v>28.235031744507424</c:v>
                </c:pt>
                <c:pt idx="10" formatCode="0.000">
                  <c:v>27.390029687027532</c:v>
                </c:pt>
                <c:pt idx="11" formatCode="0.000">
                  <c:v>26.64681011267287</c:v>
                </c:pt>
                <c:pt idx="12" formatCode="0.000">
                  <c:v>25.994032955999959</c:v>
                </c:pt>
                <c:pt idx="13" formatCode="0.000">
                  <c:v>25.420415709146365</c:v>
                </c:pt>
                <c:pt idx="14" formatCode="0.000">
                  <c:v>24.915797222629454</c:v>
                </c:pt>
                <c:pt idx="15" formatCode="0.000">
                  <c:v>24.455215482873008</c:v>
                </c:pt>
                <c:pt idx="16" formatCode="0.000">
                  <c:v>24.010542987012453</c:v>
                </c:pt>
                <c:pt idx="17" formatCode="0.000">
                  <c:v>23.613840537639131</c:v>
                </c:pt>
                <c:pt idx="18" formatCode="0.000">
                  <c:v>23.303829173826305</c:v>
                </c:pt>
                <c:pt idx="19" formatCode="0.000">
                  <c:v>23.087673442392841</c:v>
                </c:pt>
                <c:pt idx="20" formatCode="0.000">
                  <c:v>22.95955068051865</c:v>
                </c:pt>
                <c:pt idx="21" formatCode="0.000">
                  <c:v>22.916666666666668</c:v>
                </c:pt>
                <c:pt idx="22" formatCode="0.000">
                  <c:v>22.916666666666668</c:v>
                </c:pt>
                <c:pt idx="23" formatCode="0.000">
                  <c:v>22.916666666666668</c:v>
                </c:pt>
                <c:pt idx="24" formatCode="0.000">
                  <c:v>22.916666666666668</c:v>
                </c:pt>
                <c:pt idx="25" formatCode="0.000">
                  <c:v>22.916666666666668</c:v>
                </c:pt>
                <c:pt idx="26" formatCode="0.000">
                  <c:v>22.93844214509857</c:v>
                </c:pt>
                <c:pt idx="27" formatCode="0.000">
                  <c:v>22.957139804627147</c:v>
                </c:pt>
                <c:pt idx="28" formatCode="0.000">
                  <c:v>22.978992303020579</c:v>
                </c:pt>
                <c:pt idx="29" formatCode="0.000">
                  <c:v>23.007149576786176</c:v>
                </c:pt>
                <c:pt idx="30" formatCode="0.000">
                  <c:v>23.040753550144039</c:v>
                </c:pt>
                <c:pt idx="31" formatCode="0.000">
                  <c:v>23.086747491876402</c:v>
                </c:pt>
                <c:pt idx="32" formatCode="0.000">
                  <c:v>23.144526957099352</c:v>
                </c:pt>
                <c:pt idx="33" formatCode="0.000">
                  <c:v>23.211079260004276</c:v>
                </c:pt>
                <c:pt idx="34" formatCode="0.000">
                  <c:v>23.290524957831138</c:v>
                </c:pt>
                <c:pt idx="35" formatCode="0.000">
                  <c:v>23.379890373956716</c:v>
                </c:pt>
                <c:pt idx="36" formatCode="0.000">
                  <c:v>23.483517964877741</c:v>
                </c:pt>
                <c:pt idx="37" formatCode="0.000">
                  <c:v>23.597617645607755</c:v>
                </c:pt>
                <c:pt idx="38" formatCode="0.000">
                  <c:v>23.72335677733027</c:v>
                </c:pt>
                <c:pt idx="39" formatCode="0.000">
                  <c:v>23.863575609375236</c:v>
                </c:pt>
                <c:pt idx="40" formatCode="0.000">
                  <c:v>24.016248567086713</c:v>
                </c:pt>
                <c:pt idx="41" formatCode="0.000">
                  <c:v>24.182645046572642</c:v>
                </c:pt>
                <c:pt idx="42" formatCode="0.000">
                  <c:v>24.362463257595433</c:v>
                </c:pt>
                <c:pt idx="43" formatCode="0.000">
                  <c:v>24.553711819353133</c:v>
                </c:pt>
                <c:pt idx="44" formatCode="0.000">
                  <c:v>24.755237681112053</c:v>
                </c:pt>
                <c:pt idx="45" formatCode="0.000">
                  <c:v>24.966505982085643</c:v>
                </c:pt>
                <c:pt idx="46" formatCode="0.000">
                  <c:v>25.186150157918881</c:v>
                </c:pt>
                <c:pt idx="47" formatCode="0.000">
                  <c:v>25.415425775589018</c:v>
                </c:pt>
                <c:pt idx="48" formatCode="0.000">
                  <c:v>25.654754980372672</c:v>
                </c:pt>
                <c:pt idx="49" formatCode="0.000">
                  <c:v>25.906575337746002</c:v>
                </c:pt>
                <c:pt idx="50" formatCode="0.000">
                  <c:v>26.16946593872305</c:v>
                </c:pt>
                <c:pt idx="51" formatCode="0.000">
                  <c:v>26.443952455034449</c:v>
                </c:pt>
                <c:pt idx="52" formatCode="0.000">
                  <c:v>26.730599111311456</c:v>
                </c:pt>
                <c:pt idx="53" formatCode="0.000">
                  <c:v>27.032174084767046</c:v>
                </c:pt>
                <c:pt idx="54" formatCode="0.000">
                  <c:v>27.345055721460088</c:v>
                </c:pt>
                <c:pt idx="55" formatCode="0.000">
                  <c:v>27.67540235081648</c:v>
                </c:pt>
                <c:pt idx="56" formatCode="0.000">
                  <c:v>28.019693107309962</c:v>
                </c:pt>
                <c:pt idx="57" formatCode="0.000">
                  <c:v>28.375040048352499</c:v>
                </c:pt>
                <c:pt idx="58" formatCode="0.000">
                  <c:v>28.739515811580056</c:v>
                </c:pt>
                <c:pt idx="59" formatCode="0.000">
                  <c:v>29.11347675194493</c:v>
                </c:pt>
                <c:pt idx="60" formatCode="0.000">
                  <c:v>29.49729801660478</c:v>
                </c:pt>
                <c:pt idx="61" formatCode="0.000">
                  <c:v>29.891374800219275</c:v>
                </c:pt>
                <c:pt idx="62" formatCode="0.000">
                  <c:v>30.296123702231981</c:v>
                </c:pt>
                <c:pt idx="63" formatCode="0.000">
                  <c:v>30.711984195936868</c:v>
                </c:pt>
                <c:pt idx="64" formatCode="0.000">
                  <c:v>31.139420220219751</c:v>
                </c:pt>
                <c:pt idx="65" formatCode="0.000">
                  <c:v>31.580322851775421</c:v>
                </c:pt>
                <c:pt idx="66" formatCode="0.000">
                  <c:v>32.032448797290471</c:v>
                </c:pt>
                <c:pt idx="67" formatCode="0.000">
                  <c:v>32.497708678653041</c:v>
                </c:pt>
                <c:pt idx="68" formatCode="0.000">
                  <c:v>32.97668322797557</c:v>
                </c:pt>
                <c:pt idx="69" formatCode="0.000">
                  <c:v>33.469987926514612</c:v>
                </c:pt>
                <c:pt idx="70" formatCode="0.000">
                  <c:v>33.978275643238185</c:v>
                </c:pt>
                <c:pt idx="71" formatCode="0.000">
                  <c:v>34.50223951752205</c:v>
                </c:pt>
                <c:pt idx="72" formatCode="0.000">
                  <c:v>35.04261611274012</c:v>
                </c:pt>
                <c:pt idx="73" formatCode="0.000">
                  <c:v>35.600188870920583</c:v>
                </c:pt>
                <c:pt idx="74" formatCode="0.000">
                  <c:v>36.175791902542706</c:v>
                </c:pt>
                <c:pt idx="75" formatCode="0.000">
                  <c:v>36.772213585508382</c:v>
                </c:pt>
                <c:pt idx="76" formatCode="0.000">
                  <c:v>37.386667410888016</c:v>
                </c:pt>
                <c:pt idx="77" formatCode="0.000">
                  <c:v>38.068683424658303</c:v>
                </c:pt>
                <c:pt idx="78" formatCode="0.000">
                  <c:v>38.833066056617007</c:v>
                </c:pt>
                <c:pt idx="79" formatCode="0.000">
                  <c:v>39.697656081786498</c:v>
                </c:pt>
                <c:pt idx="80" formatCode="0.000">
                  <c:v>40.664142842013092</c:v>
                </c:pt>
                <c:pt idx="81" formatCode="0.000">
                  <c:v>41.755064843071658</c:v>
                </c:pt>
                <c:pt idx="82" formatCode="0.000">
                  <c:v>42.981425571684539</c:v>
                </c:pt>
                <c:pt idx="83" formatCode="0.000">
                  <c:v>44.368029292213805</c:v>
                </c:pt>
                <c:pt idx="84" formatCode="0.000">
                  <c:v>45.92681572235719</c:v>
                </c:pt>
                <c:pt idx="85" formatCode="0.000">
                  <c:v>47.70172803281023</c:v>
                </c:pt>
                <c:pt idx="86" formatCode="0.000">
                  <c:v>49.716594158352819</c:v>
                </c:pt>
                <c:pt idx="87" formatCode="0.000">
                  <c:v>52.019422176241655</c:v>
                </c:pt>
                <c:pt idx="88" formatCode="0.000">
                  <c:v>54.676526832081478</c:v>
                </c:pt>
                <c:pt idx="89" formatCode="0.000">
                  <c:v>57.745685548518374</c:v>
                </c:pt>
                <c:pt idx="90" formatCode="0.000">
                  <c:v>61.344227238637266</c:v>
                </c:pt>
                <c:pt idx="91" formatCode="0.000">
                  <c:v>65.596280114031202</c:v>
                </c:pt>
                <c:pt idx="92" formatCode="0.000">
                  <c:v>70.685092493507057</c:v>
                </c:pt>
                <c:pt idx="93" formatCode="0.000">
                  <c:v>76.870358697328257</c:v>
                </c:pt>
                <c:pt idx="94" formatCode="0.000">
                  <c:v>84.553791847566075</c:v>
                </c:pt>
                <c:pt idx="95" formatCode="0.000">
                  <c:v>94.317962030571636</c:v>
                </c:pt>
                <c:pt idx="96" formatCode="0.000">
                  <c:v>107.08179053355479</c:v>
                </c:pt>
                <c:pt idx="97" formatCode="0.000">
                  <c:v>124.47021214894824</c:v>
                </c:pt>
                <c:pt idx="98" formatCode="0.000">
                  <c:v>149.50769978054964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38.890712175910728</c:v>
                </c:pt>
                <c:pt idx="3">
                  <c:v>36.562789262573276</c:v>
                </c:pt>
                <c:pt idx="4">
                  <c:v>34.598540145985396</c:v>
                </c:pt>
                <c:pt idx="5">
                  <c:v>32.925812725757154</c:v>
                </c:pt>
                <c:pt idx="6">
                  <c:v>31.490831783151737</c:v>
                </c:pt>
                <c:pt idx="7">
                  <c:v>30.248883216336949</c:v>
                </c:pt>
                <c:pt idx="8">
                  <c:v>29.172821270310191</c:v>
                </c:pt>
                <c:pt idx="9">
                  <c:v>28.237817228642914</c:v>
                </c:pt>
                <c:pt idx="10">
                  <c:v>27.424207359407546</c:v>
                </c:pt>
                <c:pt idx="11">
                  <c:v>26.716266486303685</c:v>
                </c:pt>
                <c:pt idx="12">
                  <c:v>26.101321585903083</c:v>
                </c:pt>
                <c:pt idx="13">
                  <c:v>25.566343042071196</c:v>
                </c:pt>
                <c:pt idx="14">
                  <c:v>25.10593220338983</c:v>
                </c:pt>
                <c:pt idx="15">
                  <c:v>24.6875</c:v>
                </c:pt>
                <c:pt idx="16">
                  <c:v>24.282786885245901</c:v>
                </c:pt>
                <c:pt idx="17">
                  <c:v>23.956332760537755</c:v>
                </c:pt>
                <c:pt idx="18">
                  <c:v>23.764163240750026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23.7</c:v>
                </c:pt>
                <c:pt idx="27">
                  <c:v>23.7</c:v>
                </c:pt>
                <c:pt idx="28">
                  <c:v>23.704740948189638</c:v>
                </c:pt>
                <c:pt idx="29">
                  <c:v>23.721349214292864</c:v>
                </c:pt>
                <c:pt idx="30">
                  <c:v>23.749874736947589</c:v>
                </c:pt>
                <c:pt idx="31">
                  <c:v>23.790403533427021</c:v>
                </c:pt>
                <c:pt idx="32">
                  <c:v>23.840659893370887</c:v>
                </c:pt>
                <c:pt idx="33">
                  <c:v>23.903177004538577</c:v>
                </c:pt>
                <c:pt idx="34">
                  <c:v>23.97814649939296</c:v>
                </c:pt>
                <c:pt idx="35">
                  <c:v>24.063356685957963</c:v>
                </c:pt>
                <c:pt idx="36">
                  <c:v>24.161484351106125</c:v>
                </c:pt>
                <c:pt idx="37">
                  <c:v>24.272839000409665</c:v>
                </c:pt>
                <c:pt idx="38">
                  <c:v>24.397776405188385</c:v>
                </c:pt>
                <c:pt idx="39">
                  <c:v>24.534161490683228</c:v>
                </c:pt>
                <c:pt idx="40">
                  <c:v>24.684928653265285</c:v>
                </c:pt>
                <c:pt idx="41">
                  <c:v>24.850581944007548</c:v>
                </c:pt>
                <c:pt idx="42">
                  <c:v>25.031685678073512</c:v>
                </c:pt>
                <c:pt idx="43">
                  <c:v>25.226184140500266</c:v>
                </c:pt>
                <c:pt idx="44">
                  <c:v>25.437372544810561</c:v>
                </c:pt>
                <c:pt idx="45">
                  <c:v>25.666016894087068</c:v>
                </c:pt>
                <c:pt idx="46">
                  <c:v>25.910134470318138</c:v>
                </c:pt>
                <c:pt idx="47">
                  <c:v>26.173384870237438</c:v>
                </c:pt>
                <c:pt idx="48">
                  <c:v>26.456798392498325</c:v>
                </c:pt>
                <c:pt idx="49">
                  <c:v>26.752455130375889</c:v>
                </c:pt>
                <c:pt idx="50">
                  <c:v>27.051706426207055</c:v>
                </c:pt>
                <c:pt idx="51">
                  <c:v>27.360886631262989</c:v>
                </c:pt>
                <c:pt idx="52">
                  <c:v>27.677215928996848</c:v>
                </c:pt>
                <c:pt idx="53">
                  <c:v>27.997637330183107</c:v>
                </c:pt>
                <c:pt idx="54">
                  <c:v>28.328950513985177</c:v>
                </c:pt>
                <c:pt idx="55">
                  <c:v>28.664731494920176</c:v>
                </c:pt>
                <c:pt idx="56">
                  <c:v>29.012118986412045</c:v>
                </c:pt>
                <c:pt idx="57">
                  <c:v>29.368029739776947</c:v>
                </c:pt>
                <c:pt idx="58">
                  <c:v>29.729051680883089</c:v>
                </c:pt>
                <c:pt idx="59">
                  <c:v>30.10288327194208</c:v>
                </c:pt>
                <c:pt idx="60">
                  <c:v>30.486236171854902</c:v>
                </c:pt>
                <c:pt idx="61">
                  <c:v>30.875455966649298</c:v>
                </c:pt>
                <c:pt idx="62">
                  <c:v>31.278870265276492</c:v>
                </c:pt>
                <c:pt idx="63">
                  <c:v>31.692966033698848</c:v>
                </c:pt>
                <c:pt idx="64">
                  <c:v>32.113821138211378</c:v>
                </c:pt>
                <c:pt idx="65">
                  <c:v>32.550473836011534</c:v>
                </c:pt>
                <c:pt idx="66">
                  <c:v>32.999164578111944</c:v>
                </c:pt>
                <c:pt idx="67">
                  <c:v>33.455674760022582</c:v>
                </c:pt>
                <c:pt idx="68">
                  <c:v>33.929849677881172</c:v>
                </c:pt>
                <c:pt idx="69">
                  <c:v>34.417659018297996</c:v>
                </c:pt>
                <c:pt idx="70">
                  <c:v>34.914555097230405</c:v>
                </c:pt>
                <c:pt idx="71">
                  <c:v>35.431305127821794</c:v>
                </c:pt>
                <c:pt idx="72">
                  <c:v>35.963581183611531</c:v>
                </c:pt>
                <c:pt idx="73">
                  <c:v>36.506469500924212</c:v>
                </c:pt>
                <c:pt idx="74">
                  <c:v>37.07179727827311</c:v>
                </c:pt>
                <c:pt idx="75">
                  <c:v>37.654909437559581</c:v>
                </c:pt>
                <c:pt idx="76">
                  <c:v>38.269013402228325</c:v>
                </c:pt>
                <c:pt idx="77">
                  <c:v>38.961038961038966</c:v>
                </c:pt>
                <c:pt idx="78">
                  <c:v>39.731768650461021</c:v>
                </c:pt>
                <c:pt idx="79">
                  <c:v>40.596094552929088</c:v>
                </c:pt>
                <c:pt idx="80">
                  <c:v>41.549789621318368</c:v>
                </c:pt>
                <c:pt idx="81">
                  <c:v>42.618234130552054</c:v>
                </c:pt>
                <c:pt idx="82">
                  <c:v>43.80776340110905</c:v>
                </c:pt>
                <c:pt idx="83">
                  <c:v>45.125666412795127</c:v>
                </c:pt>
                <c:pt idx="84">
                  <c:v>46.616837136113297</c:v>
                </c:pt>
                <c:pt idx="85">
                  <c:v>48.278671827256062</c:v>
                </c:pt>
                <c:pt idx="86">
                  <c:v>50.148116800677101</c:v>
                </c:pt>
                <c:pt idx="87">
                  <c:v>52.271724746360825</c:v>
                </c:pt>
                <c:pt idx="88">
                  <c:v>54.683894785417628</c:v>
                </c:pt>
                <c:pt idx="89">
                  <c:v>57.440620455647114</c:v>
                </c:pt>
                <c:pt idx="90">
                  <c:v>60.613810741687978</c:v>
                </c:pt>
                <c:pt idx="91">
                  <c:v>64.314789687924019</c:v>
                </c:pt>
                <c:pt idx="92">
                  <c:v>68.635968722849697</c:v>
                </c:pt>
                <c:pt idx="93">
                  <c:v>73.785803237858033</c:v>
                </c:pt>
                <c:pt idx="94">
                  <c:v>79.986500168747881</c:v>
                </c:pt>
                <c:pt idx="95">
                  <c:v>87.58314855875831</c:v>
                </c:pt>
                <c:pt idx="96">
                  <c:v>97.091356001638658</c:v>
                </c:pt>
                <c:pt idx="97">
                  <c:v>109.36778957083526</c:v>
                </c:pt>
                <c:pt idx="98">
                  <c:v>125.72944297082228</c:v>
                </c:pt>
                <c:pt idx="99">
                  <c:v>148.49624060150376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6914017402351407"/>
          <c:y val="8.0876746688328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88955491742E-2"/>
          <c:y val="5.2327485748004082E-2"/>
          <c:w val="0.88843997171735134"/>
          <c:h val="0.81888693903700638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48.033333333333331</c:v>
                </c:pt>
                <c:pt idx="6" formatCode="0.000">
                  <c:v>46.133333333333297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36.483333333333299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  <c:pt idx="88" formatCode="0.000">
                  <c:v>84.86666666666666</c:v>
                </c:pt>
                <c:pt idx="89" formatCode="0.000">
                  <c:v>140.51666666666668</c:v>
                </c:pt>
                <c:pt idx="91" formatCode="0.000">
                  <c:v>84.86666666666666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45.683333333333337</c:v>
                </c:pt>
                <c:pt idx="8" formatCode="0.000">
                  <c:v>37.616666666666667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33.316666666666663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30.916666666666664</c:v>
                </c:pt>
                <c:pt idx="21" formatCode="0.000">
                  <c:v>28.766666666666669</c:v>
                </c:pt>
                <c:pt idx="22" formatCode="0.000">
                  <c:v>28.95</c:v>
                </c:pt>
                <c:pt idx="23" formatCode="0.000">
                  <c:v>30.65</c:v>
                </c:pt>
                <c:pt idx="24" formatCode="0.000">
                  <c:v>30.016666666666666</c:v>
                </c:pt>
                <c:pt idx="25" formatCode="0.000">
                  <c:v>30.416666666666668</c:v>
                </c:pt>
                <c:pt idx="26" formatCode="0.000">
                  <c:v>30.783333333333331</c:v>
                </c:pt>
                <c:pt idx="27" formatCode="0.000">
                  <c:v>30.5</c:v>
                </c:pt>
                <c:pt idx="28" formatCode="0.000">
                  <c:v>30.349999999999998</c:v>
                </c:pt>
                <c:pt idx="29" formatCode="0.000">
                  <c:v>29.633333333333333</c:v>
                </c:pt>
                <c:pt idx="30" formatCode="0.000">
                  <c:v>30.833333333333336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31.216666666666669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32.15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33.483333333333334</c:v>
                </c:pt>
                <c:pt idx="45" formatCode="0.000">
                  <c:v>34.016666666666666</c:v>
                </c:pt>
                <c:pt idx="46" formatCode="0.000">
                  <c:v>33.466666666666669</c:v>
                </c:pt>
                <c:pt idx="47" formatCode="0.000">
                  <c:v>34.016666666666666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35.683333333333337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41.949999999999996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45.183333333333337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49.233333333333327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53.63333333333334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54.283333333333331</c:v>
                </c:pt>
                <c:pt idx="81" formatCode="0.000">
                  <c:v>53.266666666666666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6" formatCode="0.000">
                  <c:v>75.5</c:v>
                </c:pt>
                <c:pt idx="87" formatCode="0.000">
                  <c:v>78.483333333333334</c:v>
                </c:pt>
                <c:pt idx="88" formatCode="0.000">
                  <c:v>84.866666666666674</c:v>
                </c:pt>
                <c:pt idx="89" formatCode="0.000">
                  <c:v>140.51666666666668</c:v>
                </c:pt>
                <c:pt idx="91" formatCode="0.000">
                  <c:v>84.866666666666674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46.927678085916298</c:v>
                </c:pt>
                <c:pt idx="3" formatCode="0.000">
                  <c:v>44.263219982561424</c:v>
                </c:pt>
                <c:pt idx="4" formatCode="0.000">
                  <c:v>41.995133819951299</c:v>
                </c:pt>
                <c:pt idx="5" formatCode="0.000">
                  <c:v>40.048262100329481</c:v>
                </c:pt>
                <c:pt idx="6" formatCode="0.000">
                  <c:v>38.365786431937408</c:v>
                </c:pt>
                <c:pt idx="7" formatCode="0.000">
                  <c:v>36.908733213583105</c:v>
                </c:pt>
                <c:pt idx="8" formatCode="0.000">
                  <c:v>35.637594978526593</c:v>
                </c:pt>
                <c:pt idx="9" formatCode="0.000">
                  <c:v>34.521380855234213</c:v>
                </c:pt>
                <c:pt idx="10" formatCode="0.000">
                  <c:v>33.551045797371899</c:v>
                </c:pt>
                <c:pt idx="11" formatCode="0.000">
                  <c:v>32.696825035993029</c:v>
                </c:pt>
                <c:pt idx="12" formatCode="0.000">
                  <c:v>31.948763512512961</c:v>
                </c:pt>
                <c:pt idx="13" formatCode="0.000">
                  <c:v>31.2987342690313</c:v>
                </c:pt>
                <c:pt idx="14" formatCode="0.000">
                  <c:v>30.733618233618234</c:v>
                </c:pt>
                <c:pt idx="15" formatCode="0.000">
                  <c:v>30.217086834733898</c:v>
                </c:pt>
                <c:pt idx="16" formatCode="0.000">
                  <c:v>29.717630853994493</c:v>
                </c:pt>
                <c:pt idx="17" formatCode="0.000">
                  <c:v>29.293957909029196</c:v>
                </c:pt>
                <c:pt idx="18" formatCode="0.000">
                  <c:v>28.998655913978496</c:v>
                </c:pt>
                <c:pt idx="19" formatCode="0.000">
                  <c:v>28.82431529726119</c:v>
                </c:pt>
                <c:pt idx="20" formatCode="0.000">
                  <c:v>28.766666666666669</c:v>
                </c:pt>
                <c:pt idx="21" formatCode="0.000">
                  <c:v>28.766666666666669</c:v>
                </c:pt>
                <c:pt idx="22" formatCode="0.000">
                  <c:v>28.766666666666669</c:v>
                </c:pt>
                <c:pt idx="23" formatCode="0.000">
                  <c:v>28.766666666666669</c:v>
                </c:pt>
                <c:pt idx="24" formatCode="0.000">
                  <c:v>28.766666666666669</c:v>
                </c:pt>
                <c:pt idx="25" formatCode="0.000">
                  <c:v>28.766666666666669</c:v>
                </c:pt>
                <c:pt idx="26" formatCode="0.000">
                  <c:v>28.766666666666669</c:v>
                </c:pt>
                <c:pt idx="27" formatCode="0.000">
                  <c:v>28.772421150896847</c:v>
                </c:pt>
                <c:pt idx="28" formatCode="0.000">
                  <c:v>28.79257998865646</c:v>
                </c:pt>
                <c:pt idx="29" formatCode="0.000">
                  <c:v>28.82431529726119</c:v>
                </c:pt>
                <c:pt idx="30" formatCode="0.000">
                  <c:v>28.870600829653423</c:v>
                </c:pt>
                <c:pt idx="31" formatCode="0.000">
                  <c:v>28.928667203003489</c:v>
                </c:pt>
                <c:pt idx="32" formatCode="0.000">
                  <c:v>28.998655913978496</c:v>
                </c:pt>
                <c:pt idx="33" formatCode="0.000">
                  <c:v>29.083678765207431</c:v>
                </c:pt>
                <c:pt idx="34" formatCode="0.000">
                  <c:v>29.183997835717427</c:v>
                </c:pt>
                <c:pt idx="35" formatCode="0.000">
                  <c:v>29.296941304274029</c:v>
                </c:pt>
                <c:pt idx="36" formatCode="0.000">
                  <c:v>29.422794995056428</c:v>
                </c:pt>
                <c:pt idx="37" formatCode="0.000">
                  <c:v>29.564919492977051</c:v>
                </c:pt>
                <c:pt idx="38" formatCode="0.000">
                  <c:v>29.720701174363747</c:v>
                </c:pt>
                <c:pt idx="39" formatCode="0.000">
                  <c:v>29.893657556548547</c:v>
                </c:pt>
                <c:pt idx="40" formatCode="0.000">
                  <c:v>30.081215796995366</c:v>
                </c:pt>
                <c:pt idx="41" formatCode="0.000">
                  <c:v>30.283889532231466</c:v>
                </c:pt>
                <c:pt idx="42" formatCode="0.000">
                  <c:v>30.50871425036236</c:v>
                </c:pt>
                <c:pt idx="43" formatCode="0.000">
                  <c:v>30.746757873735216</c:v>
                </c:pt>
                <c:pt idx="44" formatCode="0.000">
                  <c:v>31.005245383344114</c:v>
                </c:pt>
                <c:pt idx="45" formatCode="0.000">
                  <c:v>31.285118723944176</c:v>
                </c:pt>
                <c:pt idx="46" formatCode="0.000">
                  <c:v>31.580488161891171</c:v>
                </c:pt>
                <c:pt idx="47" formatCode="0.000">
                  <c:v>31.902702303057193</c:v>
                </c:pt>
                <c:pt idx="48" formatCode="0.000">
                  <c:v>32.246011284235699</c:v>
                </c:pt>
                <c:pt idx="49" formatCode="0.000">
                  <c:v>32.607874253759547</c:v>
                </c:pt>
                <c:pt idx="50" formatCode="0.000">
                  <c:v>32.977951010737897</c:v>
                </c:pt>
                <c:pt idx="51" formatCode="0.000">
                  <c:v>33.360392748076855</c:v>
                </c:pt>
                <c:pt idx="52" formatCode="0.000">
                  <c:v>33.747849210073518</c:v>
                </c:pt>
                <c:pt idx="53" formatCode="0.000">
                  <c:v>34.144411473788331</c:v>
                </c:pt>
                <c:pt idx="54" formatCode="0.000">
                  <c:v>34.554554554554556</c:v>
                </c:pt>
                <c:pt idx="55" formatCode="0.000">
                  <c:v>34.970418996677203</c:v>
                </c:pt>
                <c:pt idx="56" formatCode="0.000">
                  <c:v>35.400771187135945</c:v>
                </c:pt>
                <c:pt idx="57" formatCode="0.000">
                  <c:v>35.837382168514601</c:v>
                </c:pt>
                <c:pt idx="58" formatCode="0.000">
                  <c:v>36.284897410023554</c:v>
                </c:pt>
                <c:pt idx="59" formatCode="0.000">
                  <c:v>36.748424459206269</c:v>
                </c:pt>
                <c:pt idx="60" formatCode="0.000">
                  <c:v>37.219131409841722</c:v>
                </c:pt>
                <c:pt idx="61" formatCode="0.000">
                  <c:v>37.706995237471055</c:v>
                </c:pt>
                <c:pt idx="62" formatCode="0.000">
                  <c:v>38.20274457724657</c:v>
                </c:pt>
                <c:pt idx="63" formatCode="0.000">
                  <c:v>38.711703225227652</c:v>
                </c:pt>
                <c:pt idx="64" formatCode="0.000">
                  <c:v>39.239758104851546</c:v>
                </c:pt>
                <c:pt idx="65" formatCode="0.000">
                  <c:v>39.776917404129797</c:v>
                </c:pt>
                <c:pt idx="66" formatCode="0.000">
                  <c:v>40.334641989156857</c:v>
                </c:pt>
                <c:pt idx="67" formatCode="0.000">
                  <c:v>40.902412436608373</c:v>
                </c:pt>
                <c:pt idx="68" formatCode="0.000">
                  <c:v>41.486395538890491</c:v>
                </c:pt>
                <c:pt idx="69" formatCode="0.000">
                  <c:v>42.093454297141747</c:v>
                </c:pt>
                <c:pt idx="70" formatCode="0.000">
                  <c:v>42.712199950507305</c:v>
                </c:pt>
                <c:pt idx="71" formatCode="0.000">
                  <c:v>43.355940718412462</c:v>
                </c:pt>
                <c:pt idx="72" formatCode="0.000">
                  <c:v>44.012647898816816</c:v>
                </c:pt>
                <c:pt idx="73" formatCode="0.000">
                  <c:v>44.689555175806532</c:v>
                </c:pt>
                <c:pt idx="74" formatCode="0.000">
                  <c:v>45.39477144810899</c:v>
                </c:pt>
                <c:pt idx="75" formatCode="0.000">
                  <c:v>46.144797347877237</c:v>
                </c:pt>
                <c:pt idx="76" formatCode="0.000">
                  <c:v>46.981327236104313</c:v>
                </c:pt>
                <c:pt idx="77" formatCode="0.000">
                  <c:v>47.9045240077713</c:v>
                </c:pt>
                <c:pt idx="78" formatCode="0.000">
                  <c:v>48.931224131088058</c:v>
                </c:pt>
                <c:pt idx="79" formatCode="0.000">
                  <c:v>50.072526834928929</c:v>
                </c:pt>
                <c:pt idx="80" formatCode="0.000">
                  <c:v>51.332381632167504</c:v>
                </c:pt>
                <c:pt idx="81" formatCode="0.000">
                  <c:v>52.734494347693257</c:v>
                </c:pt>
                <c:pt idx="82" formatCode="0.000">
                  <c:v>54.286972384726681</c:v>
                </c:pt>
                <c:pt idx="83" formatCode="0.000">
                  <c:v>56.020772476468686</c:v>
                </c:pt>
                <c:pt idx="84" formatCode="0.000">
                  <c:v>57.962254013029757</c:v>
                </c:pt>
                <c:pt idx="85" formatCode="0.000">
                  <c:v>60.130992196209597</c:v>
                </c:pt>
                <c:pt idx="86" formatCode="0.000">
                  <c:v>62.577042999057362</c:v>
                </c:pt>
                <c:pt idx="87" formatCode="0.000">
                  <c:v>65.334241804830043</c:v>
                </c:pt>
                <c:pt idx="88" formatCode="0.000">
                  <c:v>68.475759739744518</c:v>
                </c:pt>
                <c:pt idx="89" formatCode="0.000">
                  <c:v>72.078844065814749</c:v>
                </c:pt>
                <c:pt idx="90" formatCode="0.000">
                  <c:v>76.22328210563505</c:v>
                </c:pt>
                <c:pt idx="91" formatCode="0.000">
                  <c:v>81.055696440311834</c:v>
                </c:pt>
                <c:pt idx="92" formatCode="0.000">
                  <c:v>86.724952266103912</c:v>
                </c:pt>
                <c:pt idx="93" formatCode="0.000">
                  <c:v>93.489329433430854</c:v>
                </c:pt>
                <c:pt idx="94" formatCode="0.000">
                  <c:v>101.68492989277721</c:v>
                </c:pt>
                <c:pt idx="95" formatCode="0.000">
                  <c:v>111.75861175861176</c:v>
                </c:pt>
                <c:pt idx="96" formatCode="0.000">
                  <c:v>124.47713832395789</c:v>
                </c:pt>
                <c:pt idx="97" formatCode="0.000">
                  <c:v>140.94398170831292</c:v>
                </c:pt>
                <c:pt idx="98" formatCode="0.000">
                  <c:v>163.1688409907355</c:v>
                </c:pt>
                <c:pt idx="99" formatCode="0.000">
                  <c:v>194.76416158880616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51.63645066714534</c:v>
                </c:pt>
                <c:pt idx="3" formatCode="0.000">
                  <c:v>48.193443904618313</c:v>
                </c:pt>
                <c:pt idx="4" formatCode="0.000">
                  <c:v>45.30183727034121</c:v>
                </c:pt>
                <c:pt idx="5" formatCode="0.000">
                  <c:v>42.864948095167144</c:v>
                </c:pt>
                <c:pt idx="6" formatCode="0.000">
                  <c:v>40.774864162532488</c:v>
                </c:pt>
                <c:pt idx="7" formatCode="0.000">
                  <c:v>38.973942103599335</c:v>
                </c:pt>
                <c:pt idx="8" formatCode="0.000">
                  <c:v>37.417620534165799</c:v>
                </c:pt>
                <c:pt idx="9" formatCode="0.000">
                  <c:v>36.062011616731439</c:v>
                </c:pt>
                <c:pt idx="10" formatCode="0.000">
                  <c:v>34.877141933398001</c:v>
                </c:pt>
                <c:pt idx="11" formatCode="0.000">
                  <c:v>33.839156177704588</c:v>
                </c:pt>
                <c:pt idx="12" formatCode="0.000">
                  <c:v>32.932646441518798</c:v>
                </c:pt>
                <c:pt idx="13" formatCode="0.000">
                  <c:v>32.137936171005101</c:v>
                </c:pt>
                <c:pt idx="14" formatCode="0.000">
                  <c:v>31.43897996357013</c:v>
                </c:pt>
                <c:pt idx="15" formatCode="0.000">
                  <c:v>30.802726915801124</c:v>
                </c:pt>
                <c:pt idx="16" formatCode="0.000">
                  <c:v>30.191715645116151</c:v>
                </c:pt>
                <c:pt idx="17" formatCode="0.000">
                  <c:v>29.662473362205269</c:v>
                </c:pt>
                <c:pt idx="18" formatCode="0.000">
                  <c:v>29.264157341471687</c:v>
                </c:pt>
                <c:pt idx="19" formatCode="0.000">
                  <c:v>28.986967620583101</c:v>
                </c:pt>
                <c:pt idx="20" formatCode="0.000">
                  <c:v>28.821427378686174</c:v>
                </c:pt>
                <c:pt idx="21" formatCode="0.000">
                  <c:v>28.766666666666669</c:v>
                </c:pt>
                <c:pt idx="22" formatCode="0.000">
                  <c:v>28.766666666666669</c:v>
                </c:pt>
                <c:pt idx="23" formatCode="0.000">
                  <c:v>28.766666666666669</c:v>
                </c:pt>
                <c:pt idx="24" formatCode="0.000">
                  <c:v>28.766666666666669</c:v>
                </c:pt>
                <c:pt idx="25" formatCode="0.000">
                  <c:v>28.766666666666669</c:v>
                </c:pt>
                <c:pt idx="26" formatCode="0.000">
                  <c:v>28.806996461713066</c:v>
                </c:pt>
                <c:pt idx="27" formatCode="0.000">
                  <c:v>28.841654969587598</c:v>
                </c:pt>
                <c:pt idx="28" formatCode="0.000">
                  <c:v>28.882195448460511</c:v>
                </c:pt>
                <c:pt idx="29" formatCode="0.000">
                  <c:v>28.934486689465569</c:v>
                </c:pt>
                <c:pt idx="30" formatCode="0.000">
                  <c:v>28.99281058926292</c:v>
                </c:pt>
                <c:pt idx="31" formatCode="0.000">
                  <c:v>29.063110392671923</c:v>
                </c:pt>
                <c:pt idx="32" formatCode="0.000">
                  <c:v>29.14555893279298</c:v>
                </c:pt>
                <c:pt idx="33" formatCode="0.000">
                  <c:v>29.234417344173444</c:v>
                </c:pt>
                <c:pt idx="34" formatCode="0.000">
                  <c:v>29.335780814467334</c:v>
                </c:pt>
                <c:pt idx="35" formatCode="0.000">
                  <c:v>29.443875810303656</c:v>
                </c:pt>
                <c:pt idx="36" formatCode="0.000">
                  <c:v>29.567958337616066</c:v>
                </c:pt>
                <c:pt idx="37" formatCode="0.000">
                  <c:v>29.699222245164844</c:v>
                </c:pt>
                <c:pt idx="38" formatCode="0.000">
                  <c:v>29.840940525587833</c:v>
                </c:pt>
                <c:pt idx="39" formatCode="0.000">
                  <c:v>29.996524157108102</c:v>
                </c:pt>
                <c:pt idx="40" formatCode="0.000">
                  <c:v>30.163223934850237</c:v>
                </c:pt>
                <c:pt idx="41" formatCode="0.000">
                  <c:v>30.341384523432833</c:v>
                </c:pt>
                <c:pt idx="42" formatCode="0.000">
                  <c:v>30.531380457086254</c:v>
                </c:pt>
                <c:pt idx="43" formatCode="0.000">
                  <c:v>30.733618233618234</c:v>
                </c:pt>
                <c:pt idx="44" formatCode="0.000">
                  <c:v>30.951868589053873</c:v>
                </c:pt>
                <c:pt idx="45" formatCode="0.000">
                  <c:v>31.183378500451674</c:v>
                </c:pt>
                <c:pt idx="46" formatCode="0.000">
                  <c:v>31.428675479806259</c:v>
                </c:pt>
                <c:pt idx="47" formatCode="0.000">
                  <c:v>31.688330763016818</c:v>
                </c:pt>
                <c:pt idx="48" formatCode="0.000">
                  <c:v>31.962962962962965</c:v>
                </c:pt>
                <c:pt idx="49" formatCode="0.000">
                  <c:v>32.256858787471032</c:v>
                </c:pt>
                <c:pt idx="50" formatCode="0.000">
                  <c:v>32.567266689309037</c:v>
                </c:pt>
                <c:pt idx="51" formatCode="0.000">
                  <c:v>32.894987611968745</c:v>
                </c:pt>
                <c:pt idx="52" formatCode="0.000">
                  <c:v>33.24089053231647</c:v>
                </c:pt>
                <c:pt idx="53" formatCode="0.000">
                  <c:v>33.609845386922153</c:v>
                </c:pt>
                <c:pt idx="54" formatCode="0.000">
                  <c:v>33.995115417946906</c:v>
                </c:pt>
                <c:pt idx="55" formatCode="0.000">
                  <c:v>34.405772834190493</c:v>
                </c:pt>
                <c:pt idx="56" formatCode="0.000">
                  <c:v>34.839126397803888</c:v>
                </c:pt>
                <c:pt idx="57" formatCode="0.000">
                  <c:v>35.287863918874713</c:v>
                </c:pt>
                <c:pt idx="58" formatCode="0.000">
                  <c:v>35.748312000331389</c:v>
                </c:pt>
                <c:pt idx="59" formatCode="0.000">
                  <c:v>36.220935112901877</c:v>
                </c:pt>
                <c:pt idx="60" formatCode="0.000">
                  <c:v>36.706222619199529</c:v>
                </c:pt>
                <c:pt idx="61" formatCode="0.000">
                  <c:v>37.204690463873085</c:v>
                </c:pt>
                <c:pt idx="62" formatCode="0.000">
                  <c:v>37.71688300336524</c:v>
                </c:pt>
                <c:pt idx="63" formatCode="0.000">
                  <c:v>38.243374988921389</c:v>
                </c:pt>
                <c:pt idx="64" formatCode="0.000">
                  <c:v>38.784773718035147</c:v>
                </c:pt>
                <c:pt idx="65" formatCode="0.000">
                  <c:v>39.341721371261862</c:v>
                </c:pt>
                <c:pt idx="66" formatCode="0.000">
                  <c:v>39.914897553304662</c:v>
                </c:pt>
                <c:pt idx="67" formatCode="0.000">
                  <c:v>40.505022059513756</c:v>
                </c:pt>
                <c:pt idx="68" formatCode="0.000">
                  <c:v>41.112857891477304</c:v>
                </c:pt>
                <c:pt idx="69" formatCode="0.000">
                  <c:v>41.739214548268528</c:v>
                </c:pt>
                <c:pt idx="70" formatCode="0.000">
                  <c:v>42.384951623201225</c:v>
                </c:pt>
                <c:pt idx="71" formatCode="0.000">
                  <c:v>43.050982739698696</c:v>
                </c:pt>
                <c:pt idx="72" formatCode="0.000">
                  <c:v>43.738279864173137</c:v>
                </c:pt>
                <c:pt idx="73" formatCode="0.000">
                  <c:v>44.447878038730948</c:v>
                </c:pt>
                <c:pt idx="74" formatCode="0.000">
                  <c:v>45.180880582168477</c:v>
                </c:pt>
                <c:pt idx="75" formatCode="0.000">
                  <c:v>45.938464814223366</c:v>
                </c:pt>
                <c:pt idx="76" formatCode="0.000">
                  <c:v>46.721888365545993</c:v>
                </c:pt>
                <c:pt idx="77" formatCode="0.000">
                  <c:v>47.603287550333725</c:v>
                </c:pt>
                <c:pt idx="78" formatCode="0.000">
                  <c:v>48.592342342342349</c:v>
                </c:pt>
                <c:pt idx="79" formatCode="0.000">
                  <c:v>49.717709413526912</c:v>
                </c:pt>
                <c:pt idx="80" formatCode="0.000">
                  <c:v>50.977612381121155</c:v>
                </c:pt>
                <c:pt idx="81" formatCode="0.000">
                  <c:v>52.407845995020345</c:v>
                </c:pt>
                <c:pt idx="82" formatCode="0.000">
                  <c:v>54.021909233176849</c:v>
                </c:pt>
                <c:pt idx="83" formatCode="0.000">
                  <c:v>55.857605177993534</c:v>
                </c:pt>
                <c:pt idx="84" formatCode="0.000">
                  <c:v>57.927238555510812</c:v>
                </c:pt>
                <c:pt idx="85" formatCode="0.000">
                  <c:v>60.294836861594355</c:v>
                </c:pt>
                <c:pt idx="86" formatCode="0.000">
                  <c:v>63.001898087312021</c:v>
                </c:pt>
                <c:pt idx="87" formatCode="0.000">
                  <c:v>66.115069332720452</c:v>
                </c:pt>
                <c:pt idx="88" formatCode="0.000">
                  <c:v>69.737373737373744</c:v>
                </c:pt>
                <c:pt idx="89" formatCode="0.000">
                  <c:v>73.950299914310207</c:v>
                </c:pt>
                <c:pt idx="90" formatCode="0.000">
                  <c:v>78.942553969996354</c:v>
                </c:pt>
                <c:pt idx="91" formatCode="0.000">
                  <c:v>84.907516725698557</c:v>
                </c:pt>
                <c:pt idx="92" formatCode="0.000">
                  <c:v>92.141789451206506</c:v>
                </c:pt>
                <c:pt idx="93" formatCode="0.000">
                  <c:v>101.07753572265167</c:v>
                </c:pt>
                <c:pt idx="94" formatCode="0.000">
                  <c:v>112.41370326950631</c:v>
                </c:pt>
                <c:pt idx="95" formatCode="0.000">
                  <c:v>127.17359269083407</c:v>
                </c:pt>
                <c:pt idx="96" formatCode="0.000">
                  <c:v>147.14407502131289</c:v>
                </c:pt>
                <c:pt idx="97" formatCode="0.000">
                  <c:v>175.62067562067563</c:v>
                </c:pt>
                <c:pt idx="98" formatCode="0.000">
                  <c:v>219.42537503178238</c:v>
                </c:pt>
                <c:pt idx="99" formatCode="0.000">
                  <c:v>295.64919492977049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'10K'!$C$28</c:f>
              <c:numCache>
                <c:formatCode>0.000</c:formatCode>
                <c:ptCount val="1"/>
                <c:pt idx="0">
                  <c:v>28.766666666666669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4DF5-9064-04463429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83977982976998"/>
          <c:y val="0.21641104821057366"/>
          <c:w val="0.41767214756744397"/>
          <c:h val="0.242548224696236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'12K'!$B$6</c:f>
              <c:strCache>
                <c:ptCount val="1"/>
                <c:pt idx="0">
                  <c:v>Barnard 2025 bests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62.35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51.43333333333333</c:v>
                </c:pt>
                <c:pt idx="13" formatCode="0.000">
                  <c:v>48.283333333333331</c:v>
                </c:pt>
                <c:pt idx="14" formatCode="0.000">
                  <c:v>41.366666666666667</c:v>
                </c:pt>
                <c:pt idx="15" formatCode="0.000">
                  <c:v>44.666666666666664</c:v>
                </c:pt>
                <c:pt idx="16" formatCode="0.000">
                  <c:v>41.366666666666667</c:v>
                </c:pt>
                <c:pt idx="17" formatCode="0.000">
                  <c:v>39.616666666666667</c:v>
                </c:pt>
                <c:pt idx="18" formatCode="0.000">
                  <c:v>39.883333333333333</c:v>
                </c:pt>
                <c:pt idx="19" formatCode="0.000">
                  <c:v>39.56666666666667</c:v>
                </c:pt>
                <c:pt idx="20" formatCode="0.000">
                  <c:v>38.616666666666667</c:v>
                </c:pt>
                <c:pt idx="21" formatCode="0.000">
                  <c:v>38.166666666666664</c:v>
                </c:pt>
                <c:pt idx="22" formatCode="0.000">
                  <c:v>38.35</c:v>
                </c:pt>
                <c:pt idx="23" formatCode="0.000">
                  <c:v>38.833333333333329</c:v>
                </c:pt>
                <c:pt idx="24" formatCode="0.000">
                  <c:v>39.25</c:v>
                </c:pt>
                <c:pt idx="25" formatCode="0.000">
                  <c:v>38.049999999999997</c:v>
                </c:pt>
                <c:pt idx="26" formatCode="0.000">
                  <c:v>38.866666666666667</c:v>
                </c:pt>
                <c:pt idx="27" formatCode="0.000">
                  <c:v>38.433333333333337</c:v>
                </c:pt>
                <c:pt idx="28" formatCode="0.000">
                  <c:v>37.833333333333336</c:v>
                </c:pt>
                <c:pt idx="29" formatCode="0.000">
                  <c:v>38.133333333333333</c:v>
                </c:pt>
                <c:pt idx="30" formatCode="0.000">
                  <c:v>38.6</c:v>
                </c:pt>
                <c:pt idx="31" formatCode="0.000">
                  <c:v>37.966666666666669</c:v>
                </c:pt>
                <c:pt idx="32" formatCode="0.000">
                  <c:v>39.083333333333329</c:v>
                </c:pt>
                <c:pt idx="33" formatCode="0.000">
                  <c:v>39.383333333333333</c:v>
                </c:pt>
                <c:pt idx="34" formatCode="0.000">
                  <c:v>39.283333333333331</c:v>
                </c:pt>
                <c:pt idx="35" formatCode="0.000">
                  <c:v>40.016666666666666</c:v>
                </c:pt>
                <c:pt idx="36" formatCode="0.000">
                  <c:v>39.966666666666669</c:v>
                </c:pt>
                <c:pt idx="37" formatCode="0.000">
                  <c:v>38.883333333333333</c:v>
                </c:pt>
                <c:pt idx="38" formatCode="0.000">
                  <c:v>40.366666666666667</c:v>
                </c:pt>
                <c:pt idx="39" formatCode="0.000">
                  <c:v>40.516666666666666</c:v>
                </c:pt>
                <c:pt idx="40" formatCode="0.000">
                  <c:v>40.06666666666667</c:v>
                </c:pt>
                <c:pt idx="41" formatCode="0.000">
                  <c:v>40.81666666666667</c:v>
                </c:pt>
                <c:pt idx="42" formatCode="0.000">
                  <c:v>41.466666666666669</c:v>
                </c:pt>
                <c:pt idx="43" formatCode="0.000">
                  <c:v>42.066666666666663</c:v>
                </c:pt>
                <c:pt idx="44" formatCode="0.000">
                  <c:v>43.3</c:v>
                </c:pt>
                <c:pt idx="45" formatCode="0.000">
                  <c:v>42.93333333333333</c:v>
                </c:pt>
                <c:pt idx="46" formatCode="0.000">
                  <c:v>42.966666666666669</c:v>
                </c:pt>
                <c:pt idx="47" formatCode="0.000">
                  <c:v>46.216666666666661</c:v>
                </c:pt>
                <c:pt idx="48" formatCode="0.000">
                  <c:v>45.866666666666667</c:v>
                </c:pt>
                <c:pt idx="49" formatCode="0.000">
                  <c:v>45.916666666666664</c:v>
                </c:pt>
                <c:pt idx="50" formatCode="0.000">
                  <c:v>47.083333333333336</c:v>
                </c:pt>
                <c:pt idx="51" formatCode="0.000">
                  <c:v>44.93333333333333</c:v>
                </c:pt>
                <c:pt idx="52" formatCode="0.000">
                  <c:v>47.633333333333326</c:v>
                </c:pt>
                <c:pt idx="53" formatCode="0.000">
                  <c:v>48.55</c:v>
                </c:pt>
                <c:pt idx="54" formatCode="0.000">
                  <c:v>48.366666666666667</c:v>
                </c:pt>
                <c:pt idx="55" formatCode="0.000">
                  <c:v>49.06666666666667</c:v>
                </c:pt>
                <c:pt idx="56" formatCode="0.000">
                  <c:v>46.449999999999996</c:v>
                </c:pt>
                <c:pt idx="57" formatCode="0.000">
                  <c:v>49.65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51.3</c:v>
                </c:pt>
                <c:pt idx="61" formatCode="0.000">
                  <c:v>48.983333333333327</c:v>
                </c:pt>
                <c:pt idx="62" formatCode="0.000">
                  <c:v>48.9</c:v>
                </c:pt>
                <c:pt idx="63" formatCode="0.000">
                  <c:v>49.416666666666664</c:v>
                </c:pt>
                <c:pt idx="64" formatCode="0.000">
                  <c:v>51.449999999999996</c:v>
                </c:pt>
                <c:pt idx="65" formatCode="0.000">
                  <c:v>52.483333333333334</c:v>
                </c:pt>
                <c:pt idx="66" formatCode="0.000">
                  <c:v>57.81666666666667</c:v>
                </c:pt>
                <c:pt idx="67" formatCode="0.000">
                  <c:v>62.066666666666663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61.733333333333334</c:v>
                </c:pt>
                <c:pt idx="71" formatCode="0.000">
                  <c:v>59.733333333333334</c:v>
                </c:pt>
                <c:pt idx="72" formatCode="0.000">
                  <c:v>62.099999999999994</c:v>
                </c:pt>
                <c:pt idx="73" formatCode="0.000">
                  <c:v>63.333333333333336</c:v>
                </c:pt>
                <c:pt idx="74" formatCode="0.000">
                  <c:v>54.833333333333336</c:v>
                </c:pt>
                <c:pt idx="75" formatCode="0.000">
                  <c:v>65.016666666666666</c:v>
                </c:pt>
                <c:pt idx="76" formatCode="0.000">
                  <c:v>61.18333333333333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56.242553942749403</c:v>
                </c:pt>
                <c:pt idx="5" formatCode="0.000">
                  <c:v>53.027471731921821</c:v>
                </c:pt>
                <c:pt idx="6" formatCode="0.000">
                  <c:v>50.288873558080084</c:v>
                </c:pt>
                <c:pt idx="7" formatCode="0.000">
                  <c:v>47.942899125857899</c:v>
                </c:pt>
                <c:pt idx="8" formatCode="0.000">
                  <c:v>45.922595846688196</c:v>
                </c:pt>
                <c:pt idx="9" formatCode="0.000">
                  <c:v>44.169281279339351</c:v>
                </c:pt>
                <c:pt idx="10" formatCode="0.000">
                  <c:v>42.642772004154168</c:v>
                </c:pt>
                <c:pt idx="11" formatCode="0.000">
                  <c:v>41.308884605808331</c:v>
                </c:pt>
                <c:pt idx="12" formatCode="0.000">
                  <c:v>40.146143268933777</c:v>
                </c:pt>
                <c:pt idx="13" formatCode="0.000">
                  <c:v>39.128393267930697</c:v>
                </c:pt>
                <c:pt idx="14" formatCode="0.000">
                  <c:v>38.236490102606822</c:v>
                </c:pt>
                <c:pt idx="15" formatCode="0.000">
                  <c:v>37.434472693525926</c:v>
                </c:pt>
                <c:pt idx="16" formatCode="0.000">
                  <c:v>36.67486366950483</c:v>
                </c:pt>
                <c:pt idx="17" formatCode="0.000">
                  <c:v>35.998967491957323</c:v>
                </c:pt>
                <c:pt idx="18" formatCode="0.000">
                  <c:v>35.451149107860289</c:v>
                </c:pt>
                <c:pt idx="19" formatCode="0.000">
                  <c:v>35.050217210866442</c:v>
                </c:pt>
                <c:pt idx="20" formatCode="0.000">
                  <c:v>34.812228937935103</c:v>
                </c:pt>
                <c:pt idx="21" formatCode="0.000">
                  <c:v>34.733333333333334</c:v>
                </c:pt>
                <c:pt idx="22" formatCode="0.000">
                  <c:v>34.733333333333334</c:v>
                </c:pt>
                <c:pt idx="23" formatCode="0.000">
                  <c:v>34.733333333333334</c:v>
                </c:pt>
                <c:pt idx="24" formatCode="0.000">
                  <c:v>34.733333333333334</c:v>
                </c:pt>
                <c:pt idx="25" formatCode="0.000">
                  <c:v>34.733333333333334</c:v>
                </c:pt>
                <c:pt idx="26" formatCode="0.000">
                  <c:v>34.770123690530959</c:v>
                </c:pt>
                <c:pt idx="27" formatCode="0.000">
                  <c:v>34.803423604205882</c:v>
                </c:pt>
                <c:pt idx="28" formatCode="0.000">
                  <c:v>34.846337965448576</c:v>
                </c:pt>
                <c:pt idx="29" formatCode="0.000">
                  <c:v>34.904238935143681</c:v>
                </c:pt>
                <c:pt idx="30" formatCode="0.000">
                  <c:v>34.971952215979414</c:v>
                </c:pt>
                <c:pt idx="31" formatCode="0.000">
                  <c:v>35.054074131654311</c:v>
                </c:pt>
                <c:pt idx="32" formatCode="0.000">
                  <c:v>35.151674962734489</c:v>
                </c:pt>
                <c:pt idx="33" formatCode="0.000">
                  <c:v>35.259599255570649</c:v>
                </c:pt>
                <c:pt idx="34" formatCode="0.000">
                  <c:v>35.382600026536309</c:v>
                </c:pt>
                <c:pt idx="35" formatCode="0.000">
                  <c:v>35.516383332208534</c:v>
                </c:pt>
                <c:pt idx="36" formatCode="0.000">
                  <c:v>35.669488197527087</c:v>
                </c:pt>
                <c:pt idx="37" formatCode="0.000">
                  <c:v>35.834018393210265</c:v>
                </c:pt>
                <c:pt idx="38" formatCode="0.000">
                  <c:v>36.012182662407298</c:v>
                </c:pt>
                <c:pt idx="39" formatCode="0.000">
                  <c:v>36.20814036159269</c:v>
                </c:pt>
                <c:pt idx="40" formatCode="0.000">
                  <c:v>36.419558910908393</c:v>
                </c:pt>
                <c:pt idx="41" formatCode="0.000">
                  <c:v>36.646944273210444</c:v>
                </c:pt>
                <c:pt idx="42" formatCode="0.000">
                  <c:v>36.88989339394643</c:v>
                </c:pt>
                <c:pt idx="43" formatCode="0.000">
                  <c:v>37.149941228170917</c:v>
                </c:pt>
                <c:pt idx="44" formatCode="0.000">
                  <c:v>37.430793768690926</c:v>
                </c:pt>
                <c:pt idx="45" formatCode="0.000">
                  <c:v>37.729216368151718</c:v>
                </c:pt>
                <c:pt idx="46" formatCode="0.000">
                  <c:v>38.046968709029748</c:v>
                </c:pt>
                <c:pt idx="47" formatCode="0.000">
                  <c:v>38.384911006407734</c:v>
                </c:pt>
                <c:pt idx="48" formatCode="0.000">
                  <c:v>38.743980792637416</c:v>
                </c:pt>
                <c:pt idx="49" formatCode="0.000">
                  <c:v>39.124225851268342</c:v>
                </c:pt>
                <c:pt idx="50" formatCode="0.000">
                  <c:v>39.523300854944459</c:v>
                </c:pt>
                <c:pt idx="51" formatCode="0.000">
                  <c:v>39.939890592102735</c:v>
                </c:pt>
                <c:pt idx="52" formatCode="0.000">
                  <c:v>40.377141283410765</c:v>
                </c:pt>
                <c:pt idx="53" formatCode="0.000">
                  <c:v>40.837410237376652</c:v>
                </c:pt>
                <c:pt idx="54" formatCode="0.000">
                  <c:v>41.31692123971002</c:v>
                </c:pt>
                <c:pt idx="55" formatCode="0.000">
                  <c:v>41.821816027813604</c:v>
                </c:pt>
                <c:pt idx="56" formatCode="0.000">
                  <c:v>42.352169509756152</c:v>
                </c:pt>
                <c:pt idx="57" formatCode="0.000">
                  <c:v>42.89885722420285</c:v>
                </c:pt>
                <c:pt idx="58" formatCode="0.000">
                  <c:v>43.461170981150815</c:v>
                </c:pt>
                <c:pt idx="59" formatCode="0.000">
                  <c:v>44.037058484061674</c:v>
                </c:pt>
                <c:pt idx="60" formatCode="0.000">
                  <c:v>44.629813082596563</c:v>
                </c:pt>
                <c:pt idx="61" formatCode="0.000">
                  <c:v>45.237303889445911</c:v>
                </c:pt>
                <c:pt idx="62" formatCode="0.000">
                  <c:v>45.863039846981529</c:v>
                </c:pt>
                <c:pt idx="63" formatCode="0.000">
                  <c:v>46.504808688310241</c:v>
                </c:pt>
                <c:pt idx="64" formatCode="0.000">
                  <c:v>47.16635729735934</c:v>
                </c:pt>
                <c:pt idx="65" formatCode="0.000">
                  <c:v>47.845389482442798</c:v>
                </c:pt>
                <c:pt idx="66" formatCode="0.000">
                  <c:v>48.545915634578442</c:v>
                </c:pt>
                <c:pt idx="67" formatCode="0.000">
                  <c:v>49.265553475464863</c:v>
                </c:pt>
                <c:pt idx="68" formatCode="0.000">
                  <c:v>50.008606282813538</c:v>
                </c:pt>
                <c:pt idx="69" formatCode="0.000">
                  <c:v>50.77260410159704</c:v>
                </c:pt>
                <c:pt idx="70" formatCode="0.000">
                  <c:v>51.562177024035265</c:v>
                </c:pt>
                <c:pt idx="71" formatCode="0.000">
                  <c:v>52.37476665353185</c:v>
                </c:pt>
                <c:pt idx="72" formatCode="0.000">
                  <c:v>53.215369281204836</c:v>
                </c:pt>
                <c:pt idx="73" formatCode="0.000">
                  <c:v>54.081338470949035</c:v>
                </c:pt>
                <c:pt idx="74" formatCode="0.000">
                  <c:v>54.978082685796316</c:v>
                </c:pt>
                <c:pt idx="75" formatCode="0.000">
                  <c:v>55.909462160491316</c:v>
                </c:pt>
                <c:pt idx="76" formatCode="0.000">
                  <c:v>56.891141899292933</c:v>
                </c:pt>
                <c:pt idx="77" formatCode="0.000">
                  <c:v>57.994932154749648</c:v>
                </c:pt>
                <c:pt idx="78" formatCode="0.000">
                  <c:v>59.228241180824512</c:v>
                </c:pt>
                <c:pt idx="79" formatCode="0.000">
                  <c:v>60.353182661209971</c:v>
                </c:pt>
                <c:pt idx="80" formatCode="0.000">
                  <c:v>62.18631723312371</c:v>
                </c:pt>
                <c:pt idx="81" formatCode="0.000">
                  <c:v>63.949537221964</c:v>
                </c:pt>
                <c:pt idx="82" formatCode="0.000">
                  <c:v>65.934499027901936</c:v>
                </c:pt>
                <c:pt idx="83" formatCode="0.000">
                  <c:v>68.183784014362871</c:v>
                </c:pt>
                <c:pt idx="84" formatCode="0.000">
                  <c:v>70.721313532166064</c:v>
                </c:pt>
                <c:pt idx="85" formatCode="0.000">
                  <c:v>73.611052499185632</c:v>
                </c:pt>
                <c:pt idx="86" formatCode="0.000">
                  <c:v>76.908644600230602</c:v>
                </c:pt>
                <c:pt idx="87" formatCode="0.000">
                  <c:v>80.698038789262881</c:v>
                </c:pt>
                <c:pt idx="88" formatCode="0.000">
                  <c:v>85.088620761407512</c:v>
                </c:pt>
                <c:pt idx="89" formatCode="0.000">
                  <c:v>90.189036958252942</c:v>
                </c:pt>
                <c:pt idx="90" formatCode="0.000">
                  <c:v>96.219277085399398</c:v>
                </c:pt>
                <c:pt idx="91" formatCode="0.000">
                  <c:v>103.39815975724075</c:v>
                </c:pt>
                <c:pt idx="92" formatCode="0.000">
                  <c:v>112.07757295894203</c:v>
                </c:pt>
                <c:pt idx="93" formatCode="0.000">
                  <c:v>122.75893288954548</c:v>
                </c:pt>
                <c:pt idx="94" formatCode="0.000">
                  <c:v>136.25021229541073</c:v>
                </c:pt>
                <c:pt idx="95" formatCode="0.000">
                  <c:v>153.70077547344655</c:v>
                </c:pt>
                <c:pt idx="96" formatCode="0.000">
                  <c:v>177.1330633987929</c:v>
                </c:pt>
                <c:pt idx="97" formatCode="0.000">
                  <c:v>210.2292905600315</c:v>
                </c:pt>
                <c:pt idx="98" formatCode="0.000">
                  <c:v>260.33074931667358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9684838380814585"/>
          <c:y val="0.10031763113429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6.2310661081371177E-2"/>
          <c:w val="0.86783367103383802"/>
          <c:h val="0.82378155168869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78.929710482023538</c:v>
                </c:pt>
                <c:pt idx="4" formatCode="0.000">
                  <c:v>73.490479899862621</c:v>
                </c:pt>
                <c:pt idx="5" formatCode="0.000">
                  <c:v>68.969017279893464</c:v>
                </c:pt>
                <c:pt idx="6" formatCode="0.000">
                  <c:v>65.151642718413001</c:v>
                </c:pt>
                <c:pt idx="7" formatCode="0.000">
                  <c:v>61.905891396960079</c:v>
                </c:pt>
                <c:pt idx="8" formatCode="0.000">
                  <c:v>59.123691001766957</c:v>
                </c:pt>
                <c:pt idx="9" formatCode="0.000">
                  <c:v>56.72060711841813</c:v>
                </c:pt>
                <c:pt idx="10" formatCode="0.000">
                  <c:v>54.638655083325553</c:v>
                </c:pt>
                <c:pt idx="11" formatCode="0.000">
                  <c:v>52.825403457235979</c:v>
                </c:pt>
                <c:pt idx="12" formatCode="0.000">
                  <c:v>51.248753630924405</c:v>
                </c:pt>
                <c:pt idx="13" formatCode="0.000">
                  <c:v>49.871595633140295</c:v>
                </c:pt>
                <c:pt idx="14" formatCode="0.000">
                  <c:v>48.66994216293962</c:v>
                </c:pt>
                <c:pt idx="15" formatCode="0.000">
                  <c:v>47.604509269421101</c:v>
                </c:pt>
                <c:pt idx="16" formatCode="0.000">
                  <c:v>46.611638076779769</c:v>
                </c:pt>
                <c:pt idx="17" formatCode="0.000">
                  <c:v>45.700677936750289</c:v>
                </c:pt>
                <c:pt idx="18" formatCode="0.000">
                  <c:v>44.9043988363591</c:v>
                </c:pt>
                <c:pt idx="19" formatCode="0.000">
                  <c:v>44.295246488124064</c:v>
                </c:pt>
                <c:pt idx="20" formatCode="0.000">
                  <c:v>43.935937645454246</c:v>
                </c:pt>
                <c:pt idx="21" formatCode="0.000">
                  <c:v>43.81666666666667</c:v>
                </c:pt>
                <c:pt idx="22" formatCode="0.000">
                  <c:v>43.81666666666667</c:v>
                </c:pt>
                <c:pt idx="23" formatCode="0.000">
                  <c:v>43.81666666666667</c:v>
                </c:pt>
                <c:pt idx="24" formatCode="0.000">
                  <c:v>43.81666666666667</c:v>
                </c:pt>
                <c:pt idx="25" formatCode="0.000">
                  <c:v>43.81666666666667</c:v>
                </c:pt>
                <c:pt idx="26" formatCode="0.000">
                  <c:v>43.844712109153541</c:v>
                </c:pt>
                <c:pt idx="27" formatCode="0.000">
                  <c:v>43.873550901419058</c:v>
                </c:pt>
                <c:pt idx="28" formatCode="0.000">
                  <c:v>43.918398214982972</c:v>
                </c:pt>
                <c:pt idx="29" formatCode="0.000">
                  <c:v>43.983386306578474</c:v>
                </c:pt>
                <c:pt idx="30" formatCode="0.000">
                  <c:v>44.064644093781759</c:v>
                </c:pt>
                <c:pt idx="31" formatCode="0.000">
                  <c:v>44.164001138361556</c:v>
                </c:pt>
                <c:pt idx="32" formatCode="0.000">
                  <c:v>44.284131307185298</c:v>
                </c:pt>
                <c:pt idx="33" formatCode="0.000">
                  <c:v>44.421255092946559</c:v>
                </c:pt>
                <c:pt idx="34" formatCode="0.000">
                  <c:v>44.577363839210442</c:v>
                </c:pt>
                <c:pt idx="35" formatCode="0.000">
                  <c:v>44.75115551197117</c:v>
                </c:pt>
                <c:pt idx="36" formatCode="0.000">
                  <c:v>44.94935143394305</c:v>
                </c:pt>
                <c:pt idx="37" formatCode="0.000">
                  <c:v>45.166201506503967</c:v>
                </c:pt>
                <c:pt idx="38" formatCode="0.000">
                  <c:v>45.401816203652345</c:v>
                </c:pt>
                <c:pt idx="39" formatCode="0.000">
                  <c:v>45.661509704321219</c:v>
                </c:pt>
                <c:pt idx="40" formatCode="0.000">
                  <c:v>45.943867743175709</c:v>
                </c:pt>
                <c:pt idx="41" formatCode="0.000">
                  <c:v>46.249678924254418</c:v>
                </c:pt>
                <c:pt idx="42" formatCode="0.000">
                  <c:v>46.577124293687326</c:v>
                </c:pt>
                <c:pt idx="43" formatCode="0.000">
                  <c:v>46.92976927289493</c:v>
                </c:pt>
                <c:pt idx="44" formatCode="0.000">
                  <c:v>47.310991493387959</c:v>
                </c:pt>
                <c:pt idx="45" formatCode="0.000">
                  <c:v>47.716862328212784</c:v>
                </c:pt>
                <c:pt idx="46" formatCode="0.000">
                  <c:v>48.151369604045925</c:v>
                </c:pt>
                <c:pt idx="47" formatCode="0.000">
                  <c:v>48.615894140390623</c:v>
                </c:pt>
                <c:pt idx="48" formatCode="0.000">
                  <c:v>49.111951807599084</c:v>
                </c:pt>
                <c:pt idx="49" formatCode="0.000">
                  <c:v>49.63156097656114</c:v>
                </c:pt>
                <c:pt idx="50" formatCode="0.000">
                  <c:v>50.173275463413532</c:v>
                </c:pt>
                <c:pt idx="51" formatCode="0.000">
                  <c:v>50.731806379733193</c:v>
                </c:pt>
                <c:pt idx="52" formatCode="0.000">
                  <c:v>51.314410839326776</c:v>
                </c:pt>
                <c:pt idx="53" formatCode="0.000">
                  <c:v>51.918452709646843</c:v>
                </c:pt>
                <c:pt idx="54" formatCode="0.000">
                  <c:v>52.546063758999324</c:v>
                </c:pt>
                <c:pt idx="55" formatCode="0.000">
                  <c:v>53.197328780124103</c:v>
                </c:pt>
                <c:pt idx="56" formatCode="0.000">
                  <c:v>53.877615821382889</c:v>
                </c:pt>
                <c:pt idx="57" formatCode="0.000">
                  <c:v>54.574941247365842</c:v>
                </c:pt>
                <c:pt idx="58" formatCode="0.000">
                  <c:v>55.294343447721324</c:v>
                </c:pt>
                <c:pt idx="59" formatCode="0.000">
                  <c:v>56.029073838687637</c:v>
                </c:pt>
                <c:pt idx="60" formatCode="0.000">
                  <c:v>56.787589685783161</c:v>
                </c:pt>
                <c:pt idx="61" formatCode="0.000">
                  <c:v>57.562817476853091</c:v>
                </c:pt>
                <c:pt idx="62" formatCode="0.000">
                  <c:v>58.363725844055963</c:v>
                </c:pt>
                <c:pt idx="63" formatCode="0.000">
                  <c:v>59.182894000385289</c:v>
                </c:pt>
                <c:pt idx="64" formatCode="0.000">
                  <c:v>60.029850764829916</c:v>
                </c:pt>
                <c:pt idx="65" formatCode="0.000">
                  <c:v>60.896803893444051</c:v>
                </c:pt>
                <c:pt idx="66" formatCode="0.000">
                  <c:v>61.793897721330907</c:v>
                </c:pt>
                <c:pt idx="67" formatCode="0.000">
                  <c:v>62.71294239440855</c:v>
                </c:pt>
                <c:pt idx="68" formatCode="0.000">
                  <c:v>63.664760733265645</c:v>
                </c:pt>
                <c:pt idx="69" formatCode="0.000">
                  <c:v>64.640737019513622</c:v>
                </c:pt>
                <c:pt idx="70" formatCode="0.000">
                  <c:v>65.652444544627485</c:v>
                </c:pt>
                <c:pt idx="71" formatCode="0.000">
                  <c:v>66.690811255772701</c:v>
                </c:pt>
                <c:pt idx="72" formatCode="0.000">
                  <c:v>67.768243601754094</c:v>
                </c:pt>
                <c:pt idx="73" formatCode="0.000">
                  <c:v>68.875180423169553</c:v>
                </c:pt>
                <c:pt idx="74" formatCode="0.000">
                  <c:v>70.024956791686691</c:v>
                </c:pt>
                <c:pt idx="75" formatCode="0.000">
                  <c:v>71.226346889920208</c:v>
                </c:pt>
                <c:pt idx="76" formatCode="0.000">
                  <c:v>72.521794653705172</c:v>
                </c:pt>
                <c:pt idx="77" formatCode="0.000">
                  <c:v>73.977476678311348</c:v>
                </c:pt>
                <c:pt idx="78" formatCode="0.000">
                  <c:v>75.595867524271526</c:v>
                </c:pt>
                <c:pt idx="79" formatCode="0.000">
                  <c:v>77.414608230183205</c:v>
                </c:pt>
                <c:pt idx="80" formatCode="0.000">
                  <c:v>79.452471801539389</c:v>
                </c:pt>
                <c:pt idx="81" formatCode="0.000">
                  <c:v>81.734895725462579</c:v>
                </c:pt>
                <c:pt idx="82" formatCode="0.000">
                  <c:v>84.29664315105056</c:v>
                </c:pt>
                <c:pt idx="83" formatCode="0.000">
                  <c:v>87.186431251140831</c:v>
                </c:pt>
                <c:pt idx="84" formatCode="0.000">
                  <c:v>90.44911132797462</c:v>
                </c:pt>
                <c:pt idx="85" formatCode="0.000">
                  <c:v>94.143698291065505</c:v>
                </c:pt>
                <c:pt idx="86" formatCode="0.000">
                  <c:v>98.349345972170781</c:v>
                </c:pt>
                <c:pt idx="87" formatCode="0.000">
                  <c:v>103.17757169781176</c:v>
                </c:pt>
                <c:pt idx="88" formatCode="0.000">
                  <c:v>108.74204192606864</c:v>
                </c:pt>
                <c:pt idx="89" formatCode="0.000">
                  <c:v>115.19647710162543</c:v>
                </c:pt>
                <c:pt idx="90" formatCode="0.000">
                  <c:v>122.80575016362884</c:v>
                </c:pt>
                <c:pt idx="91" formatCode="0.000">
                  <c:v>131.82251638431467</c:v>
                </c:pt>
                <c:pt idx="92" formatCode="0.000">
                  <c:v>142.68123041873773</c:v>
                </c:pt>
                <c:pt idx="93" formatCode="0.000">
                  <c:v>155.98288309937448</c:v>
                </c:pt>
                <c:pt idx="94" formatCode="0.000">
                  <c:v>172.69177519818203</c:v>
                </c:pt>
                <c:pt idx="95" formatCode="0.000">
                  <c:v>194.12712121812916</c:v>
                </c:pt>
                <c:pt idx="96" formatCode="0.000">
                  <c:v>222.64176048236911</c:v>
                </c:pt>
                <c:pt idx="97" formatCode="0.000">
                  <c:v>262.45382041136384</c:v>
                </c:pt>
                <c:pt idx="98" formatCode="0.000">
                  <c:v>321.56781364761684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80.068784146990097</c:v>
                </c:pt>
                <c:pt idx="5" formatCode="0.000">
                  <c:v>75.027986617154937</c:v>
                </c:pt>
                <c:pt idx="6" formatCode="0.000">
                  <c:v>70.784483373336471</c:v>
                </c:pt>
                <c:pt idx="7" formatCode="0.000">
                  <c:v>67.185185872969143</c:v>
                </c:pt>
                <c:pt idx="8" formatCode="0.000">
                  <c:v>64.104731130611782</c:v>
                </c:pt>
                <c:pt idx="9" formatCode="0.000">
                  <c:v>61.448178160518125</c:v>
                </c:pt>
                <c:pt idx="10" formatCode="0.000">
                  <c:v>59.150276362815895</c:v>
                </c:pt>
                <c:pt idx="11" formatCode="0.000">
                  <c:v>57.151113644793448</c:v>
                </c:pt>
                <c:pt idx="12" formatCode="0.000">
                  <c:v>55.414258481965291</c:v>
                </c:pt>
                <c:pt idx="13" formatCode="0.000">
                  <c:v>53.898227217516379</c:v>
                </c:pt>
                <c:pt idx="14" formatCode="0.000">
                  <c:v>52.577184704232323</c:v>
                </c:pt>
                <c:pt idx="15" formatCode="0.000">
                  <c:v>51.410874505416821</c:v>
                </c:pt>
                <c:pt idx="16" formatCode="0.000">
                  <c:v>50.329366456031856</c:v>
                </c:pt>
                <c:pt idx="17" formatCode="0.000">
                  <c:v>49.327918671422289</c:v>
                </c:pt>
                <c:pt idx="18" formatCode="0.000">
                  <c:v>48.433940143647717</c:v>
                </c:pt>
                <c:pt idx="19" formatCode="0.000">
                  <c:v>47.742370986408616</c:v>
                </c:pt>
                <c:pt idx="20" formatCode="0.000">
                  <c:v>47.335190544552077</c:v>
                </c:pt>
                <c:pt idx="21" formatCode="0.000">
                  <c:v>47.2</c:v>
                </c:pt>
                <c:pt idx="22" formatCode="0.000">
                  <c:v>47.2</c:v>
                </c:pt>
                <c:pt idx="23" formatCode="0.000">
                  <c:v>47.2</c:v>
                </c:pt>
                <c:pt idx="24" formatCode="0.000">
                  <c:v>47.2</c:v>
                </c:pt>
                <c:pt idx="25" formatCode="0.000">
                  <c:v>47.2</c:v>
                </c:pt>
                <c:pt idx="26" formatCode="0.000">
                  <c:v>47.223976031817465</c:v>
                </c:pt>
                <c:pt idx="27" formatCode="0.000">
                  <c:v>47.250575034493579</c:v>
                </c:pt>
                <c:pt idx="28" formatCode="0.000">
                  <c:v>47.295736621851546</c:v>
                </c:pt>
                <c:pt idx="29" formatCode="0.000">
                  <c:v>47.363014118180992</c:v>
                </c:pt>
                <c:pt idx="30" formatCode="0.000">
                  <c:v>47.449136282661151</c:v>
                </c:pt>
                <c:pt idx="31" formatCode="0.000">
                  <c:v>47.554729346219752</c:v>
                </c:pt>
                <c:pt idx="32" formatCode="0.000">
                  <c:v>47.683121640035104</c:v>
                </c:pt>
                <c:pt idx="33" formatCode="0.000">
                  <c:v>47.831163603431328</c:v>
                </c:pt>
                <c:pt idx="34" formatCode="0.000">
                  <c:v>47.999644878259645</c:v>
                </c:pt>
                <c:pt idx="35" formatCode="0.000">
                  <c:v>48.188556030770428</c:v>
                </c:pt>
                <c:pt idx="36" formatCode="0.000">
                  <c:v>48.403766442752882</c:v>
                </c:pt>
                <c:pt idx="37" formatCode="0.000">
                  <c:v>48.640508993568197</c:v>
                </c:pt>
                <c:pt idx="38" formatCode="0.000">
                  <c:v>48.897997556055692</c:v>
                </c:pt>
                <c:pt idx="39" formatCode="0.000">
                  <c:v>49.181980404436707</c:v>
                </c:pt>
                <c:pt idx="40" formatCode="0.000">
                  <c:v>49.491454335744997</c:v>
                </c:pt>
                <c:pt idx="41" formatCode="0.000">
                  <c:v>49.827322781781859</c:v>
                </c:pt>
                <c:pt idx="42" formatCode="0.000">
                  <c:v>50.18718369014568</c:v>
                </c:pt>
                <c:pt idx="43" formatCode="0.000">
                  <c:v>50.575435326332837</c:v>
                </c:pt>
                <c:pt idx="44" formatCode="0.000">
                  <c:v>50.995277908090266</c:v>
                </c:pt>
                <c:pt idx="45" formatCode="0.000">
                  <c:v>51.442534566238095</c:v>
                </c:pt>
                <c:pt idx="46" formatCode="0.000">
                  <c:v>51.922110200258309</c:v>
                </c:pt>
                <c:pt idx="47" formatCode="0.000">
                  <c:v>52.435600867466107</c:v>
                </c:pt>
                <c:pt idx="48" formatCode="0.000">
                  <c:v>52.984762539206741</c:v>
                </c:pt>
                <c:pt idx="49" formatCode="0.000">
                  <c:v>53.558234845588181</c:v>
                </c:pt>
                <c:pt idx="50" formatCode="0.000">
                  <c:v>54.154974737410214</c:v>
                </c:pt>
                <c:pt idx="51" formatCode="0.000">
                  <c:v>54.768025448694381</c:v>
                </c:pt>
                <c:pt idx="52" formatCode="0.000">
                  <c:v>55.406333895352091</c:v>
                </c:pt>
                <c:pt idx="53" formatCode="0.000">
                  <c:v>56.065111774211523</c:v>
                </c:pt>
                <c:pt idx="54" formatCode="0.000">
                  <c:v>56.749039639731912</c:v>
                </c:pt>
                <c:pt idx="55" formatCode="0.000">
                  <c:v>57.455547019583321</c:v>
                </c:pt>
                <c:pt idx="56" formatCode="0.000">
                  <c:v>58.192243174336127</c:v>
                </c:pt>
                <c:pt idx="57" formatCode="0.000">
                  <c:v>58.946054281728244</c:v>
                </c:pt>
                <c:pt idx="58" formatCode="0.000">
                  <c:v>59.724467355058707</c:v>
                </c:pt>
                <c:pt idx="59" formatCode="0.000">
                  <c:v>60.518768264402823</c:v>
                </c:pt>
                <c:pt idx="60" formatCode="0.000">
                  <c:v>61.339561643546524</c:v>
                </c:pt>
                <c:pt idx="61" formatCode="0.000">
                  <c:v>62.17770449798374</c:v>
                </c:pt>
                <c:pt idx="62" formatCode="0.000">
                  <c:v>63.044435925279757</c:v>
                </c:pt>
                <c:pt idx="63" formatCode="0.000">
                  <c:v>63.93015338126596</c:v>
                </c:pt>
                <c:pt idx="64" formatCode="0.000">
                  <c:v>64.846790262500861</c:v>
                </c:pt>
                <c:pt idx="65" formatCode="0.000">
                  <c:v>65.784251055514005</c:v>
                </c:pt>
                <c:pt idx="66" formatCode="0.000">
                  <c:v>66.755231168717117</c:v>
                </c:pt>
                <c:pt idx="67" formatCode="0.000">
                  <c:v>67.749105708326411</c:v>
                </c:pt>
                <c:pt idx="68" formatCode="0.000">
                  <c:v>68.779409037525213</c:v>
                </c:pt>
                <c:pt idx="69" formatCode="0.000">
                  <c:v>69.834947209159694</c:v>
                </c:pt>
                <c:pt idx="70" formatCode="0.000">
                  <c:v>70.930181356313554</c:v>
                </c:pt>
                <c:pt idx="71" formatCode="0.000">
                  <c:v>72.053305264541663</c:v>
                </c:pt>
                <c:pt idx="72" formatCode="0.000">
                  <c:v>73.219807531193638</c:v>
                </c:pt>
                <c:pt idx="73" formatCode="0.000">
                  <c:v>74.417222642671675</c:v>
                </c:pt>
                <c:pt idx="74" formatCode="0.000">
                  <c:v>75.6621827042961</c:v>
                </c:pt>
                <c:pt idx="75" formatCode="0.000">
                  <c:v>76.965500930588703</c:v>
                </c:pt>
                <c:pt idx="76" formatCode="0.000">
                  <c:v>78.380816663373182</c:v>
                </c:pt>
                <c:pt idx="77" formatCode="0.000">
                  <c:v>79.970919420190526</c:v>
                </c:pt>
                <c:pt idx="78" formatCode="0.000">
                  <c:v>81.736073975187921</c:v>
                </c:pt>
                <c:pt idx="79" formatCode="0.000">
                  <c:v>83.715631556990459</c:v>
                </c:pt>
                <c:pt idx="80" formatCode="0.000">
                  <c:v>85.934033228556473</c:v>
                </c:pt>
                <c:pt idx="81" formatCode="0.000">
                  <c:v>88.412937394190934</c:v>
                </c:pt>
                <c:pt idx="82" formatCode="0.000">
                  <c:v>91.192576307036532</c:v>
                </c:pt>
                <c:pt idx="83" formatCode="0.000">
                  <c:v>94.323660725375277</c:v>
                </c:pt>
                <c:pt idx="84" formatCode="0.000">
                  <c:v>97.859663606263865</c:v>
                </c:pt>
                <c:pt idx="85" formatCode="0.000">
                  <c:v>101.85651677446654</c:v>
                </c:pt>
                <c:pt idx="86" formatCode="0.000">
                  <c:v>106.40263337002851</c:v>
                </c:pt>
                <c:pt idx="87" formatCode="0.000">
                  <c:v>111.62011127522499</c:v>
                </c:pt>
                <c:pt idx="88" formatCode="0.000">
                  <c:v>117.62283477109077</c:v>
                </c:pt>
                <c:pt idx="89" formatCode="0.000">
                  <c:v>124.58226594880036</c:v>
                </c:pt>
                <c:pt idx="90" formatCode="0.000">
                  <c:v>132.77930277845067</c:v>
                </c:pt>
                <c:pt idx="91" formatCode="0.000">
                  <c:v>142.47798043364449</c:v>
                </c:pt>
                <c:pt idx="92" formatCode="0.000">
                  <c:v>154.14313438078685</c:v>
                </c:pt>
                <c:pt idx="93" formatCode="0.000">
                  <c:v>168.41142896658721</c:v>
                </c:pt>
                <c:pt idx="94" formatCode="0.000">
                  <c:v>186.30309380757305</c:v>
                </c:pt>
                <c:pt idx="95" formatCode="0.000">
                  <c:v>209.19539242311706</c:v>
                </c:pt>
                <c:pt idx="96" formatCode="0.000">
                  <c:v>239.55786316532465</c:v>
                </c:pt>
                <c:pt idx="97" formatCode="0.000">
                  <c:v>281.79670652740106</c:v>
                </c:pt>
                <c:pt idx="98" formatCode="0.000">
                  <c:v>344.13661624016061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262757</xdr:colOff>
      <xdr:row>28</xdr:row>
      <xdr:rowOff>32846</xdr:rowOff>
    </xdr:from>
    <xdr:to>
      <xdr:col>23</xdr:col>
      <xdr:colOff>317499</xdr:colOff>
      <xdr:row>64</xdr:row>
      <xdr:rowOff>10951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72</xdr:row>
      <xdr:rowOff>98534</xdr:rowOff>
    </xdr:from>
    <xdr:to>
      <xdr:col>33</xdr:col>
      <xdr:colOff>134774</xdr:colOff>
      <xdr:row>109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700690</xdr:colOff>
      <xdr:row>27</xdr:row>
      <xdr:rowOff>32844</xdr:rowOff>
    </xdr:from>
    <xdr:to>
      <xdr:col>9</xdr:col>
      <xdr:colOff>814552</xdr:colOff>
      <xdr:row>49</xdr:row>
      <xdr:rowOff>106351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983" y="573689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9</xdr:col>
      <xdr:colOff>579671</xdr:colOff>
      <xdr:row>70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361293</xdr:colOff>
      <xdr:row>46</xdr:row>
      <xdr:rowOff>164225</xdr:rowOff>
    </xdr:from>
    <xdr:to>
      <xdr:col>25</xdr:col>
      <xdr:colOff>182943</xdr:colOff>
      <xdr:row>82</xdr:row>
      <xdr:rowOff>32845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1171470</xdr:colOff>
      <xdr:row>2</xdr:row>
      <xdr:rowOff>120430</xdr:rowOff>
    </xdr:from>
    <xdr:to>
      <xdr:col>31</xdr:col>
      <xdr:colOff>730254</xdr:colOff>
      <xdr:row>37</xdr:row>
      <xdr:rowOff>54741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383846</xdr:colOff>
      <xdr:row>5</xdr:row>
      <xdr:rowOff>55289</xdr:rowOff>
    </xdr:from>
    <xdr:to>
      <xdr:col>23</xdr:col>
      <xdr:colOff>409683</xdr:colOff>
      <xdr:row>42</xdr:row>
      <xdr:rowOff>98534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832070</xdr:colOff>
      <xdr:row>5</xdr:row>
      <xdr:rowOff>437928</xdr:rowOff>
    </xdr:from>
    <xdr:to>
      <xdr:col>22</xdr:col>
      <xdr:colOff>372242</xdr:colOff>
      <xdr:row>38</xdr:row>
      <xdr:rowOff>10948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314000</xdr:colOff>
      <xdr:row>17</xdr:row>
      <xdr:rowOff>25730</xdr:rowOff>
    </xdr:from>
    <xdr:to>
      <xdr:col>31</xdr:col>
      <xdr:colOff>350344</xdr:colOff>
      <xdr:row>53</xdr:row>
      <xdr:rowOff>32845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733536</xdr:colOff>
      <xdr:row>22</xdr:row>
      <xdr:rowOff>51458</xdr:rowOff>
    </xdr:from>
    <xdr:to>
      <xdr:col>17</xdr:col>
      <xdr:colOff>262760</xdr:colOff>
      <xdr:row>55</xdr:row>
      <xdr:rowOff>10949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678793</xdr:colOff>
      <xdr:row>10</xdr:row>
      <xdr:rowOff>87586</xdr:rowOff>
    </xdr:from>
    <xdr:to>
      <xdr:col>21</xdr:col>
      <xdr:colOff>821120</xdr:colOff>
      <xdr:row>49</xdr:row>
      <xdr:rowOff>54741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5</xdr:row>
      <xdr:rowOff>371474</xdr:rowOff>
    </xdr:from>
    <xdr:to>
      <xdr:col>15</xdr:col>
      <xdr:colOff>2247901</xdr:colOff>
      <xdr:row>32</xdr:row>
      <xdr:rowOff>95249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372243</xdr:colOff>
      <xdr:row>5</xdr:row>
      <xdr:rowOff>678793</xdr:rowOff>
    </xdr:from>
    <xdr:to>
      <xdr:col>19</xdr:col>
      <xdr:colOff>602154</xdr:colOff>
      <xdr:row>41</xdr:row>
      <xdr:rowOff>86163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636422</xdr:colOff>
      <xdr:row>13</xdr:row>
      <xdr:rowOff>10948</xdr:rowOff>
    </xdr:from>
    <xdr:to>
      <xdr:col>26</xdr:col>
      <xdr:colOff>710979</xdr:colOff>
      <xdr:row>49</xdr:row>
      <xdr:rowOff>165647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217321</xdr:colOff>
      <xdr:row>8</xdr:row>
      <xdr:rowOff>175172</xdr:rowOff>
    </xdr:from>
    <xdr:to>
      <xdr:col>13</xdr:col>
      <xdr:colOff>32842</xdr:colOff>
      <xdr:row>40</xdr:row>
      <xdr:rowOff>76638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974400</xdr:colOff>
      <xdr:row>6</xdr:row>
      <xdr:rowOff>2</xdr:rowOff>
    </xdr:from>
    <xdr:to>
      <xdr:col>22</xdr:col>
      <xdr:colOff>273711</xdr:colOff>
      <xdr:row>37</xdr:row>
      <xdr:rowOff>66678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186122</xdr:colOff>
      <xdr:row>16</xdr:row>
      <xdr:rowOff>131379</xdr:rowOff>
    </xdr:from>
    <xdr:to>
      <xdr:col>15</xdr:col>
      <xdr:colOff>229915</xdr:colOff>
      <xdr:row>51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426983</xdr:colOff>
      <xdr:row>8</xdr:row>
      <xdr:rowOff>153274</xdr:rowOff>
    </xdr:from>
    <xdr:to>
      <xdr:col>29</xdr:col>
      <xdr:colOff>85506</xdr:colOff>
      <xdr:row>48</xdr:row>
      <xdr:rowOff>32842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437931</xdr:colOff>
      <xdr:row>5</xdr:row>
      <xdr:rowOff>405634</xdr:rowOff>
    </xdr:from>
    <xdr:to>
      <xdr:col>26</xdr:col>
      <xdr:colOff>308304</xdr:colOff>
      <xdr:row>43</xdr:row>
      <xdr:rowOff>65690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topLeftCell="N1" zoomScale="87" zoomScaleNormal="87" workbookViewId="0">
      <selection activeCell="X17" sqref="X17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0" style="1" customWidth="1"/>
    <col min="26" max="26" width="8.886718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1175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0</v>
      </c>
      <c r="AK1" s="2" t="s">
        <v>58</v>
      </c>
      <c r="AL1" s="2" t="s">
        <v>59</v>
      </c>
      <c r="AM1" s="1" t="s">
        <v>60</v>
      </c>
      <c r="AN1" s="1" t="s">
        <v>61</v>
      </c>
      <c r="AO1" s="1" t="s">
        <v>62</v>
      </c>
    </row>
    <row r="2" spans="1:47" ht="18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206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1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52</v>
      </c>
      <c r="AK6" s="6"/>
      <c r="AL6" s="7">
        <v>2.2888888888888888</v>
      </c>
      <c r="AT6" s="1">
        <v>0.876</v>
      </c>
      <c r="AU6" s="3" t="s">
        <v>66</v>
      </c>
    </row>
    <row r="7" spans="1:47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19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1">
        <f>(LOG10(+B7)-LOG10(+$B$13))/+$Z$9</f>
        <v>-1.6354553573597614</v>
      </c>
      <c r="AA7" s="22">
        <f>$V$13*(1-$Z7)++$V$18*$Z7</f>
        <v>40.076277679894552</v>
      </c>
      <c r="AB7" s="22">
        <f>$W$13*(1-$Z7)++$W$18*$Z7</f>
        <v>20.430716068435302</v>
      </c>
      <c r="AC7" s="22">
        <f>$X$13*(1-$Z7)++$X$18*$Z7</f>
        <v>77.490636607207932</v>
      </c>
      <c r="AD7" s="11">
        <f>$Q$13*(1-$Z7)++$Q$18*$Z7</f>
        <v>8.4179902676857904E-3</v>
      </c>
      <c r="AE7" s="11">
        <f>$R$13*(1-$Z7)++$R$18*$Z7</f>
        <v>2.2009991069042625E-4</v>
      </c>
      <c r="AK7" s="6"/>
      <c r="AL7" s="7">
        <v>2.3094295978154245</v>
      </c>
      <c r="AT7" s="1">
        <v>0.79700000000000004</v>
      </c>
      <c r="AU7" s="3" t="s">
        <v>67</v>
      </c>
    </row>
    <row r="8" spans="1:47">
      <c r="A8" s="3" t="s">
        <v>7</v>
      </c>
      <c r="B8" s="4">
        <v>5</v>
      </c>
      <c r="C8" s="4">
        <f>(+D8/B8)</f>
        <v>2.8033333333333337</v>
      </c>
      <c r="D8" s="4">
        <f t="shared" si="0"/>
        <v>14.016666666666667</v>
      </c>
      <c r="E8" s="8">
        <v>9.7337962962962959E-3</v>
      </c>
      <c r="F8" s="5">
        <f t="shared" ref="F8:F13" si="2">(E8)*86400</f>
        <v>841</v>
      </c>
      <c r="G8" s="8">
        <v>9.7337962962962959E-3</v>
      </c>
      <c r="H8" s="19">
        <f>G8*86400</f>
        <v>841</v>
      </c>
      <c r="I8" s="5">
        <v>841</v>
      </c>
      <c r="J8" s="4"/>
      <c r="K8" s="4">
        <f>(+I8/B8)/60</f>
        <v>2.8033333333333332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4"/>
      <c r="AK8" s="6"/>
      <c r="AL8" s="7">
        <v>2.5333333333333337</v>
      </c>
      <c r="AT8" s="5">
        <f>L26-L13</f>
        <v>0.92629098688486333</v>
      </c>
    </row>
    <row r="9" spans="1:47" ht="15.75" thickBot="1">
      <c r="A9" s="3" t="s">
        <v>8</v>
      </c>
      <c r="B9" s="4">
        <v>10</v>
      </c>
      <c r="C9" s="4">
        <f>(+D9/B9)</f>
        <v>2.8899999999999997</v>
      </c>
      <c r="D9" s="4">
        <f t="shared" si="0"/>
        <v>28.9</v>
      </c>
      <c r="E9" s="8">
        <v>2.0069444444444445E-2</v>
      </c>
      <c r="F9" s="5">
        <f t="shared" si="2"/>
        <v>1734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1">
        <f>LOG10(B18)-LOG10(B13)</f>
        <v>0.30102999566398114</v>
      </c>
      <c r="AK9" s="6"/>
      <c r="AL9" s="7">
        <v>2.6383333333333332</v>
      </c>
    </row>
    <row r="10" spans="1:47">
      <c r="A10" s="1" t="s">
        <v>9</v>
      </c>
      <c r="B10" s="4">
        <v>21.0975</v>
      </c>
      <c r="C10" s="4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2"/>
        <v>3890.9999999999995</v>
      </c>
      <c r="G10" s="8">
        <v>4.5821759259259257E-2</v>
      </c>
      <c r="H10" s="9">
        <f t="shared" ref="H10:H32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1">
        <f>LOG10(B26)-LOG10(B23)</f>
        <v>0.30102999566398125</v>
      </c>
      <c r="AF10" s="1" t="s">
        <v>155</v>
      </c>
      <c r="AK10" s="13"/>
      <c r="AL10" s="14">
        <v>2.8099695856539082</v>
      </c>
    </row>
    <row r="11" spans="1:47" ht="15.75" thickBot="1">
      <c r="A11" s="1" t="s">
        <v>10</v>
      </c>
      <c r="B11" s="77">
        <v>42.195</v>
      </c>
      <c r="C11" s="77">
        <f>D11/B11</f>
        <v>3.2093059999210016</v>
      </c>
      <c r="D11" s="77">
        <f>E11*1440</f>
        <v>135.41666666666666</v>
      </c>
      <c r="E11" s="78">
        <v>9.4039351851851846E-2</v>
      </c>
      <c r="F11" s="79">
        <f t="shared" si="2"/>
        <v>8124.9999999999991</v>
      </c>
      <c r="G11" s="78">
        <v>9.4039351851851846E-2</v>
      </c>
      <c r="H11" s="80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1">
        <f>LOG10(B23)-LOG10(B18)</f>
        <v>0.32423099555690094</v>
      </c>
      <c r="AA11" s="15" t="s">
        <v>53</v>
      </c>
      <c r="AB11" s="15" t="s">
        <v>54</v>
      </c>
      <c r="AC11" s="15" t="s">
        <v>55</v>
      </c>
      <c r="AD11" s="15" t="s">
        <v>56</v>
      </c>
      <c r="AE11" s="15" t="s">
        <v>57</v>
      </c>
      <c r="AF11" s="110" t="s">
        <v>156</v>
      </c>
      <c r="AG11" s="110" t="s">
        <v>157</v>
      </c>
      <c r="AK11" s="6"/>
      <c r="AL11" s="7">
        <v>2.9604613500809736</v>
      </c>
      <c r="AS11" s="1" t="s">
        <v>64</v>
      </c>
      <c r="AT11" s="1" t="s">
        <v>65</v>
      </c>
      <c r="AU11" s="3" t="s">
        <v>68</v>
      </c>
    </row>
    <row r="12" spans="1:47" ht="15.75">
      <c r="A12" s="1" t="s">
        <v>6</v>
      </c>
      <c r="B12" s="4">
        <v>1.6093440000000001</v>
      </c>
      <c r="C12" s="4">
        <f>D12/B12</f>
        <v>2.5683342612476467</v>
      </c>
      <c r="D12" s="4">
        <f>E12*1440</f>
        <v>4.1333333333333329</v>
      </c>
      <c r="E12" s="87">
        <v>2.8703703703703703E-3</v>
      </c>
      <c r="F12" s="9">
        <f t="shared" si="2"/>
        <v>248</v>
      </c>
      <c r="G12" s="8">
        <v>3.0208333333333333E-3</v>
      </c>
      <c r="H12" s="9">
        <f t="shared" si="3"/>
        <v>261</v>
      </c>
      <c r="I12" s="16"/>
      <c r="J12" s="4">
        <f t="shared" ref="J12:J32" si="4">1440*(+G12/B12)</f>
        <v>2.7029646862324026</v>
      </c>
      <c r="K12" s="16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Y12" s="31" t="s">
        <v>0</v>
      </c>
      <c r="Z12" s="402" t="s">
        <v>2301</v>
      </c>
      <c r="AA12" s="15"/>
      <c r="AB12" s="15"/>
      <c r="AC12" s="15"/>
      <c r="AD12" s="15"/>
      <c r="AE12" s="15"/>
      <c r="AF12" s="110"/>
      <c r="AG12" s="110"/>
      <c r="AK12" s="6"/>
      <c r="AL12" s="7"/>
      <c r="AU12" s="3"/>
    </row>
    <row r="13" spans="1:47" ht="15.75" thickBot="1">
      <c r="A13" s="3" t="s">
        <v>11</v>
      </c>
      <c r="B13" s="4">
        <v>5</v>
      </c>
      <c r="C13" s="4">
        <f>D13/B13</f>
        <v>2.8433333333333333</v>
      </c>
      <c r="D13" s="4">
        <f>E13*1440</f>
        <v>14.216666666666667</v>
      </c>
      <c r="E13" s="87">
        <v>9.8726851851851857E-3</v>
      </c>
      <c r="F13" s="9">
        <f t="shared" si="2"/>
        <v>853</v>
      </c>
      <c r="G13" s="8">
        <v>9.8726851851851857E-3</v>
      </c>
      <c r="H13" s="9">
        <f t="shared" si="3"/>
        <v>853</v>
      </c>
      <c r="I13" s="4"/>
      <c r="J13" s="4">
        <f t="shared" si="4"/>
        <v>2.8433333333333337</v>
      </c>
      <c r="K13" s="4"/>
      <c r="L13" s="6">
        <f t="shared" ref="L13:L26" si="5">LOG10(B13)</f>
        <v>0.69897000433601886</v>
      </c>
      <c r="M13" s="6">
        <f>LOG10(J13)</f>
        <v>0.45382777644786065</v>
      </c>
      <c r="N13" s="6">
        <f>10^(+M$13+(L13-L$13)*(M$26-M$13)/(L$26-L$13))</f>
        <v>2.8433333333333342</v>
      </c>
      <c r="O13" s="10">
        <f>'5K'!F4</f>
        <v>1.405E-2</v>
      </c>
      <c r="P13" s="10">
        <f>'5K'!F5</f>
        <v>7.3999999999999999E-4</v>
      </c>
      <c r="Q13" s="11">
        <f>'5K'!G4</f>
        <v>9.7099999999999999E-3</v>
      </c>
      <c r="R13" s="11">
        <f>'5K'!G5</f>
        <v>4.0000000000000002E-4</v>
      </c>
      <c r="S13" s="18">
        <f>'5K'!H$3</f>
        <v>22</v>
      </c>
      <c r="T13" s="18">
        <f>'5K'!H4</f>
        <v>18</v>
      </c>
      <c r="U13" s="18">
        <f>'5K'!H5</f>
        <v>15</v>
      </c>
      <c r="V13" s="18">
        <f>'5K'!I3</f>
        <v>30.1</v>
      </c>
      <c r="W13" s="18">
        <f>'5K'!I4</f>
        <v>43</v>
      </c>
      <c r="X13" s="18">
        <f>'5K'!I5</f>
        <v>77</v>
      </c>
      <c r="Y13" s="3" t="s">
        <v>11</v>
      </c>
      <c r="Z13" s="11">
        <f>(LOG10(+B13)-LOG10(+$B$13))/+$Z$9</f>
        <v>0</v>
      </c>
      <c r="AA13" s="22">
        <f>$V$13*(1-$Z13)++$V$18*$Z13</f>
        <v>30.1</v>
      </c>
      <c r="AB13" s="22">
        <f>$W$13*(1-$Z13)++$W$18*$Z13</f>
        <v>43</v>
      </c>
      <c r="AC13" s="22">
        <f>$X$13*(1-$Z13)++$X$18*$Z13</f>
        <v>77</v>
      </c>
      <c r="AD13" s="11">
        <f>$Q$13*(1-$Z13)++$Q$18*$Z13</f>
        <v>9.7099999999999999E-3</v>
      </c>
      <c r="AE13" s="11">
        <f>$R$13*(1-$Z13)++$R$18*$Z13</f>
        <v>4.0000000000000002E-4</v>
      </c>
      <c r="AF13" s="19">
        <f>+F13</f>
        <v>853</v>
      </c>
      <c r="AG13" s="25">
        <f>AF13/60</f>
        <v>14.216666666666667</v>
      </c>
      <c r="AK13" s="6">
        <v>2.58</v>
      </c>
      <c r="AL13" s="7">
        <v>2.6</v>
      </c>
      <c r="AM13" s="4">
        <f t="shared" ref="AM13:AM32" si="6">2.35*(B13^0.0631)</f>
        <v>2.6011947544716691</v>
      </c>
      <c r="AN13" s="4">
        <f t="shared" ref="AN13:AN32" si="7">2.78333*(B13^0.0425)</f>
        <v>2.9803750963887921</v>
      </c>
      <c r="AO13" s="9">
        <f>(2783/D13)*(B13^1.0425)</f>
        <v>1048.0732945349923</v>
      </c>
      <c r="AP13" s="19">
        <v>5</v>
      </c>
      <c r="AS13" s="3" t="s">
        <v>11</v>
      </c>
      <c r="AT13" s="6">
        <f t="shared" ref="AT13:AT26" si="8">(+L13-L$13)/AT$8</f>
        <v>0</v>
      </c>
      <c r="AU13" s="6">
        <f t="shared" ref="AU13:AU26" si="9">AT$6*(1-AT13)+AT$7*AT13</f>
        <v>0.876</v>
      </c>
    </row>
    <row r="14" spans="1:47">
      <c r="A14" s="3" t="s">
        <v>12</v>
      </c>
      <c r="B14" s="4">
        <v>6</v>
      </c>
      <c r="C14" s="4"/>
      <c r="D14" s="4"/>
      <c r="E14" s="8"/>
      <c r="F14" s="9"/>
      <c r="G14" s="8">
        <v>1.1875E-2</v>
      </c>
      <c r="H14" s="9">
        <f t="shared" si="3"/>
        <v>1026</v>
      </c>
      <c r="I14" s="4"/>
      <c r="J14" s="4">
        <f t="shared" si="4"/>
        <v>2.85</v>
      </c>
      <c r="K14" s="4"/>
      <c r="L14" s="6">
        <f t="shared" si="5"/>
        <v>0.77815125038364363</v>
      </c>
      <c r="M14" s="6"/>
      <c r="N14" s="6"/>
      <c r="O14" s="10">
        <f>'6K'!F4</f>
        <v>1.89E-2</v>
      </c>
      <c r="P14" s="10">
        <f>'6K'!F5</f>
        <v>9.1E-4</v>
      </c>
      <c r="Q14" s="11">
        <f>'6K'!G4</f>
        <v>1.0500000000000001E-2</v>
      </c>
      <c r="R14" s="11">
        <f>'6K'!G5</f>
        <v>5.1000000000000004E-4</v>
      </c>
      <c r="S14" s="18">
        <f>'6K'!H$3</f>
        <v>22</v>
      </c>
      <c r="T14" s="18">
        <f>'6K'!H4</f>
        <v>17</v>
      </c>
      <c r="U14" s="18">
        <f>'6K'!H5</f>
        <v>15</v>
      </c>
      <c r="V14" s="18">
        <f>'6K'!I3</f>
        <v>24</v>
      </c>
      <c r="W14" s="18">
        <f>'6K'!I4</f>
        <v>56.8</v>
      </c>
      <c r="X14" s="18">
        <f>'6K'!I5</f>
        <v>76.7</v>
      </c>
      <c r="Y14" s="3" t="s">
        <v>12</v>
      </c>
      <c r="Z14" s="11">
        <f>(LOG10(+B14)-LOG10(+$B$13))/+$Z$9</f>
        <v>0.26303440583379373</v>
      </c>
      <c r="AA14" s="22">
        <f>$V$13*(1-$Z14)++$V$18*$Z14</f>
        <v>28.495490124413863</v>
      </c>
      <c r="AB14" s="22">
        <f>$W$13*(1-$Z14)++$W$18*$Z14</f>
        <v>46.629874800506357</v>
      </c>
      <c r="AC14" s="22">
        <f>$X$13*(1-$Z14)++$X$18*$Z14</f>
        <v>76.921089678249871</v>
      </c>
      <c r="AD14" s="11">
        <f>$Q$13*(1-$Z14)++$Q$18*$Z14</f>
        <v>9.9177971806086972E-3</v>
      </c>
      <c r="AE14" s="11">
        <f>$R$13*(1-$Z14)++$R$18*$Z14</f>
        <v>4.2893378464171732E-4</v>
      </c>
      <c r="AF14" s="109">
        <f>$F$13*(1-$Z14)++$F$18*$Z14</f>
        <v>1082.6290362929019</v>
      </c>
      <c r="AG14" s="25">
        <f t="shared" ref="AG14:AG26" si="10">AF14/60</f>
        <v>18.043817271548367</v>
      </c>
      <c r="AK14" s="6">
        <v>2.6111111111111112</v>
      </c>
      <c r="AL14" s="7"/>
      <c r="AM14" s="4">
        <f t="shared" si="6"/>
        <v>2.6312929744937663</v>
      </c>
      <c r="AN14" s="4">
        <f t="shared" si="7"/>
        <v>3.0035587331855651</v>
      </c>
      <c r="AO14" s="9"/>
      <c r="AP14" s="20">
        <v>6</v>
      </c>
      <c r="AS14" s="3" t="s">
        <v>12</v>
      </c>
      <c r="AT14" s="6">
        <f t="shared" si="8"/>
        <v>8.5482043082285644E-2</v>
      </c>
      <c r="AU14" s="6">
        <f t="shared" si="9"/>
        <v>0.86924691859649938</v>
      </c>
    </row>
    <row r="15" spans="1:47">
      <c r="A15" s="3" t="s">
        <v>13</v>
      </c>
      <c r="B15" s="4">
        <f>MILE*4</f>
        <v>6.4373760000000004</v>
      </c>
      <c r="C15" s="4"/>
      <c r="D15" s="4"/>
      <c r="E15" s="8"/>
      <c r="F15" s="9"/>
      <c r="G15" s="8">
        <v>1.2766203703703703E-2</v>
      </c>
      <c r="H15" s="9">
        <f t="shared" si="3"/>
        <v>1103</v>
      </c>
      <c r="I15" s="4"/>
      <c r="J15" s="4">
        <f t="shared" si="4"/>
        <v>2.8557184376574134</v>
      </c>
      <c r="K15" s="4"/>
      <c r="L15" s="6">
        <f t="shared" si="5"/>
        <v>0.80870887652933754</v>
      </c>
      <c r="M15" s="6">
        <f>LOG10(J15)</f>
        <v>0.45571538552720936</v>
      </c>
      <c r="N15" s="6">
        <f>10^(+M$13+(L15-L$13)*(M$26-M$13)/(L$26-L$13))</f>
        <v>2.870322208968866</v>
      </c>
      <c r="O15" s="10">
        <f>'4MI'!F4</f>
        <v>1.89E-2</v>
      </c>
      <c r="P15" s="10">
        <f>'4MI'!F5</f>
        <v>9.1E-4</v>
      </c>
      <c r="Q15" s="11">
        <f>'4MI'!G4</f>
        <v>1.0500000000000001E-2</v>
      </c>
      <c r="R15" s="11">
        <f>'4MI'!G5</f>
        <v>5.1000000000000004E-4</v>
      </c>
      <c r="S15" s="18">
        <f>'4MI'!H$3</f>
        <v>22</v>
      </c>
      <c r="T15" s="18">
        <f>'4MI'!H4</f>
        <v>17</v>
      </c>
      <c r="U15" s="18">
        <f>'4MI'!H5</f>
        <v>15</v>
      </c>
      <c r="V15" s="18">
        <f>'4MI'!I3</f>
        <v>24</v>
      </c>
      <c r="W15" s="18">
        <f>'4MI'!I4</f>
        <v>56.8</v>
      </c>
      <c r="X15" s="18">
        <f>'4MI'!I5</f>
        <v>76.7</v>
      </c>
      <c r="Y15" s="3" t="s">
        <v>13</v>
      </c>
      <c r="Z15" s="11">
        <f>(LOG10(+B15)-LOG10(+$B$13))/+$Z$9</f>
        <v>0.36454464264023895</v>
      </c>
      <c r="AA15" s="22">
        <f>$V$13*(1-$Z15)++$V$18*$Z15</f>
        <v>27.876277679894542</v>
      </c>
      <c r="AB15" s="22">
        <f>$W$13*(1-$Z15)++$W$18*$Z15</f>
        <v>48.030716068435297</v>
      </c>
      <c r="AC15" s="22">
        <f>$X$13*(1-$Z15)++$X$18*$Z15</f>
        <v>76.890636607207924</v>
      </c>
      <c r="AD15" s="11">
        <f>$Q$13*(1-$Z15)++$Q$18*$Z15</f>
        <v>9.9979902676857885E-3</v>
      </c>
      <c r="AE15" s="11">
        <f>$R$13*(1-$Z15)++$R$18*$Z15</f>
        <v>4.4009991069042628E-4</v>
      </c>
      <c r="AF15" s="109">
        <f>$F$13*(1-$Z15)++$F$18*$Z15</f>
        <v>1171.2474730249287</v>
      </c>
      <c r="AG15" s="25">
        <f t="shared" si="10"/>
        <v>19.520791217082145</v>
      </c>
      <c r="AK15" s="6">
        <v>2.6175261472997695</v>
      </c>
      <c r="AL15" s="7"/>
      <c r="AM15" s="4">
        <f t="shared" si="6"/>
        <v>2.6430013951486009</v>
      </c>
      <c r="AN15" s="4">
        <f t="shared" si="7"/>
        <v>3.0125539134726247</v>
      </c>
      <c r="AO15" s="9"/>
      <c r="AP15" s="19">
        <f>AP7*4</f>
        <v>0</v>
      </c>
      <c r="AS15" s="3" t="s">
        <v>13</v>
      </c>
      <c r="AT15" s="6">
        <f t="shared" si="8"/>
        <v>0.11847127279341547</v>
      </c>
      <c r="AU15" s="6">
        <f t="shared" si="9"/>
        <v>0.86664076944932023</v>
      </c>
    </row>
    <row r="16" spans="1:47">
      <c r="A16" s="3" t="s">
        <v>14</v>
      </c>
      <c r="B16" s="4">
        <v>8</v>
      </c>
      <c r="C16" s="4">
        <f>D16/B16</f>
        <v>3.0583333333333331</v>
      </c>
      <c r="D16" s="4">
        <f>E16*1440</f>
        <v>24.466666666666665</v>
      </c>
      <c r="E16" s="8">
        <v>1.699074074074074E-2</v>
      </c>
      <c r="F16" s="9">
        <f>(E16)*86400</f>
        <v>1468</v>
      </c>
      <c r="G16" s="8">
        <v>1.5914351851851853E-2</v>
      </c>
      <c r="H16" s="9">
        <f t="shared" si="3"/>
        <v>1375</v>
      </c>
      <c r="I16" s="4"/>
      <c r="J16" s="4">
        <f t="shared" si="4"/>
        <v>2.8645833333333335</v>
      </c>
      <c r="K16" s="4"/>
      <c r="L16" s="6">
        <f t="shared" si="5"/>
        <v>0.90308998699194354</v>
      </c>
      <c r="M16" s="6">
        <f>LOG10(J16)</f>
        <v>0.45706146079069426</v>
      </c>
      <c r="N16" s="6">
        <f>10^(+M$13+(L16-L$13)*(M$26-M$13)/(L$26-L$13))</f>
        <v>2.8937388577312091</v>
      </c>
      <c r="O16" s="10">
        <f>'8K'!F4</f>
        <v>1.89E-2</v>
      </c>
      <c r="P16" s="10">
        <f>'8K'!F5</f>
        <v>9.1E-4</v>
      </c>
      <c r="Q16" s="11">
        <f>'8K'!G4</f>
        <v>1.0500000000000001E-2</v>
      </c>
      <c r="R16" s="11">
        <f>'8K'!G5</f>
        <v>5.1000000000000004E-4</v>
      </c>
      <c r="S16" s="18">
        <f>'8K'!H3</f>
        <v>22</v>
      </c>
      <c r="T16" s="18">
        <f>'8K'!H4</f>
        <v>17</v>
      </c>
      <c r="U16" s="18">
        <f>'8K'!H5</f>
        <v>15</v>
      </c>
      <c r="V16" s="18">
        <f>'8K'!I3</f>
        <v>24</v>
      </c>
      <c r="W16" s="18">
        <f>'8K'!I4</f>
        <v>56.8</v>
      </c>
      <c r="X16" s="18">
        <f>'8K'!I5</f>
        <v>76.7</v>
      </c>
      <c r="Y16" s="3" t="s">
        <v>14</v>
      </c>
      <c r="Z16" s="11">
        <f>(LOG10(+B16)-LOG10(+$B$13))/+$Z$9</f>
        <v>0.67807190511263749</v>
      </c>
      <c r="AA16" s="22">
        <f>$V$13*(1-$Z16)++$V$18*$Z16</f>
        <v>25.963761378812912</v>
      </c>
      <c r="AB16" s="22">
        <f>$W$13*(1-$Z16)++$W$18*$Z16</f>
        <v>52.357392290554401</v>
      </c>
      <c r="AC16" s="22">
        <f>$X$13*(1-$Z16)++$X$18*$Z16</f>
        <v>76.796578428466205</v>
      </c>
      <c r="AD16" s="11">
        <f>$Q$13*(1-$Z16)++$Q$18*$Z16</f>
        <v>1.0245676805038984E-2</v>
      </c>
      <c r="AE16" s="11">
        <f>$R$13*(1-$Z16)++$R$18*$Z16</f>
        <v>4.745879095623902E-4</v>
      </c>
      <c r="AF16" s="109">
        <f>$F$13*(1-$Z16)++$F$18*$Z16</f>
        <v>1444.9567731633326</v>
      </c>
      <c r="AG16" s="25">
        <f t="shared" si="10"/>
        <v>24.082612886055543</v>
      </c>
      <c r="AK16" s="6">
        <v>2.65</v>
      </c>
      <c r="AL16" s="7">
        <v>2.7562500000000001</v>
      </c>
      <c r="AM16" s="4">
        <f t="shared" si="6"/>
        <v>2.6794943180815198</v>
      </c>
      <c r="AN16" s="4">
        <f t="shared" si="7"/>
        <v>3.0405071224784468</v>
      </c>
      <c r="AO16" s="9">
        <f>(2783/D16)*(B16^1.0425)</f>
        <v>994.05339426150294</v>
      </c>
      <c r="AP16" s="19">
        <v>8</v>
      </c>
      <c r="AS16" s="3" t="s">
        <v>14</v>
      </c>
      <c r="AT16" s="6">
        <f t="shared" si="8"/>
        <v>0.22036269978442152</v>
      </c>
      <c r="AU16" s="6">
        <f t="shared" si="9"/>
        <v>0.85859134671703075</v>
      </c>
    </row>
    <row r="17" spans="1:47">
      <c r="A17" s="3" t="s">
        <v>15</v>
      </c>
      <c r="B17" s="4">
        <f>MILE*5</f>
        <v>8.0467200000000005</v>
      </c>
      <c r="C17" s="4">
        <f>D17/B17</f>
        <v>3.0447188419629359</v>
      </c>
      <c r="D17" s="4">
        <f>E17*1440</f>
        <v>24.499999999999996</v>
      </c>
      <c r="E17" s="8">
        <v>1.7013888888888887E-2</v>
      </c>
      <c r="F17" s="9">
        <f>(E17)*86400</f>
        <v>1469.9999999999998</v>
      </c>
      <c r="G17" s="8">
        <v>1.6030092592592592E-2</v>
      </c>
      <c r="H17" s="9">
        <f t="shared" si="3"/>
        <v>1385</v>
      </c>
      <c r="I17" s="4"/>
      <c r="J17" s="4">
        <f t="shared" si="4"/>
        <v>2.868663670829025</v>
      </c>
      <c r="K17" s="4"/>
      <c r="L17" s="6">
        <f t="shared" si="5"/>
        <v>0.905618889537394</v>
      </c>
      <c r="M17" s="6"/>
      <c r="N17" s="6"/>
      <c r="O17" s="10">
        <v>1.6E-2</v>
      </c>
      <c r="P17" s="10">
        <f>'5MI'!F5</f>
        <v>9.1E-4</v>
      </c>
      <c r="Q17" s="11">
        <v>1.09E-2</v>
      </c>
      <c r="R17" s="11">
        <v>5.9999999999999995E-4</v>
      </c>
      <c r="S17" s="18">
        <f>'5MI'!H3</f>
        <v>22</v>
      </c>
      <c r="T17" s="18">
        <v>17</v>
      </c>
      <c r="U17" s="18">
        <v>15</v>
      </c>
      <c r="V17" s="18">
        <v>29</v>
      </c>
      <c r="W17" s="18">
        <v>48</v>
      </c>
      <c r="X17" s="18">
        <v>79</v>
      </c>
      <c r="Y17" s="3" t="s">
        <v>51</v>
      </c>
      <c r="Z17" s="11">
        <f>(LOG10(+B17)-LOG10(+$B$13))/+$Z$9</f>
        <v>0.68647273752760152</v>
      </c>
      <c r="AA17" s="22">
        <f>$V$13*(1-$Z17)++$V$18*$Z17</f>
        <v>25.912516301081631</v>
      </c>
      <c r="AB17" s="22">
        <f>$W$13*(1-$Z17)++$W$18*$Z17</f>
        <v>52.4733237778809</v>
      </c>
      <c r="AC17" s="22">
        <f>$X$13*(1-$Z17)++$X$18*$Z17</f>
        <v>76.794058178741722</v>
      </c>
      <c r="AD17" s="11">
        <f>$Q$13*(1-$Z17)++$Q$18*$Z17</f>
        <v>1.0252313462646805E-2</v>
      </c>
      <c r="AE17" s="11">
        <f>$R$13*(1-$Z17)++$R$18*$Z17</f>
        <v>4.7551200112803623E-4</v>
      </c>
      <c r="AF17" s="109">
        <f>$F$13*(1-$Z17)++$F$18*$Z17</f>
        <v>1452.2906998615963</v>
      </c>
      <c r="AG17" s="25">
        <f t="shared" si="10"/>
        <v>24.204844997693272</v>
      </c>
      <c r="AK17" s="6">
        <v>2.6511837535459581</v>
      </c>
      <c r="AL17" s="7"/>
      <c r="AM17" s="4">
        <f t="shared" si="6"/>
        <v>2.6804790313079039</v>
      </c>
      <c r="AN17" s="4">
        <f t="shared" si="7"/>
        <v>3.0412596744150644</v>
      </c>
      <c r="AO17" s="9"/>
      <c r="AP17" s="19">
        <f>AP7*5</f>
        <v>0</v>
      </c>
      <c r="AS17" s="3" t="s">
        <v>15</v>
      </c>
      <c r="AT17" s="6">
        <f t="shared" si="8"/>
        <v>0.2230928381332305</v>
      </c>
      <c r="AU17" s="6">
        <f t="shared" si="9"/>
        <v>0.85837566578747482</v>
      </c>
    </row>
    <row r="18" spans="1:47">
      <c r="A18" s="3" t="s">
        <v>16</v>
      </c>
      <c r="B18" s="4">
        <v>10</v>
      </c>
      <c r="C18" s="4">
        <f t="shared" ref="C18:C32" si="11">D18/B18</f>
        <v>2.8766666666666669</v>
      </c>
      <c r="D18" s="4">
        <f t="shared" ref="D18:D32" si="12">E18*1440</f>
        <v>28.766666666666669</v>
      </c>
      <c r="E18" s="8">
        <v>1.9976851851851853E-2</v>
      </c>
      <c r="F18" s="9">
        <f t="shared" ref="F18:F32" si="13">(E18)*86400</f>
        <v>1726.0000000000002</v>
      </c>
      <c r="G18" s="8">
        <v>1.9976851851851853E-2</v>
      </c>
      <c r="H18" s="9">
        <f t="shared" si="3"/>
        <v>1726.0000000000002</v>
      </c>
      <c r="I18" s="4"/>
      <c r="J18" s="4">
        <f t="shared" si="4"/>
        <v>2.8766666666666669</v>
      </c>
      <c r="K18" s="4"/>
      <c r="L18" s="6">
        <f t="shared" si="5"/>
        <v>1</v>
      </c>
      <c r="M18" s="6">
        <f t="shared" ref="M18:M26" si="14">LOG10(J18)</f>
        <v>0.45888954099554718</v>
      </c>
      <c r="N18" s="6">
        <f t="shared" ref="N18:N26" si="15">10^(+M$13+(L18-L$13)*(M$26-M$13)/(L$26-L$13))</f>
        <v>2.9179817446273582</v>
      </c>
      <c r="O18" s="10">
        <f>'10K'!F4</f>
        <v>1.89E-2</v>
      </c>
      <c r="P18" s="10">
        <f>'10K'!F5</f>
        <v>9.1E-4</v>
      </c>
      <c r="Q18" s="11">
        <f>'10K'!G4</f>
        <v>1.0500000000000001E-2</v>
      </c>
      <c r="R18" s="11">
        <f>'10K'!G5</f>
        <v>5.1000000000000004E-4</v>
      </c>
      <c r="S18" s="18">
        <f>'10K'!H3</f>
        <v>22</v>
      </c>
      <c r="T18" s="18">
        <f>'10K'!H4</f>
        <v>17</v>
      </c>
      <c r="U18" s="18">
        <f>'10K'!H5</f>
        <v>15</v>
      </c>
      <c r="V18" s="18">
        <f>'10K'!I3</f>
        <v>24</v>
      </c>
      <c r="W18" s="18">
        <f>'10K'!I4</f>
        <v>56.8</v>
      </c>
      <c r="X18" s="18">
        <f>'10K'!I5</f>
        <v>76.7</v>
      </c>
      <c r="Y18" s="3" t="s">
        <v>16</v>
      </c>
      <c r="Z18" s="11">
        <f>(LOG10(+B18)-LOG10(+$B$18))/+$Z$11</f>
        <v>0</v>
      </c>
      <c r="AA18" s="22">
        <f>$V$18*(1-$Z18)++$V$23*$Z18</f>
        <v>24</v>
      </c>
      <c r="AB18" s="22">
        <f>$W$18*(1-$Z18)++$W$23*$Z18</f>
        <v>56.8</v>
      </c>
      <c r="AC18" s="22">
        <f>$X$18*(1-$Z18)++$X$23*$Z18</f>
        <v>76.7</v>
      </c>
      <c r="AD18" s="11">
        <f>$Q$18*(1-$Z18)++$Q$23*$Z18</f>
        <v>1.0500000000000001E-2</v>
      </c>
      <c r="AE18" s="11">
        <f>$R$18*(1-$Z18)++$R$23*$Z18</f>
        <v>5.1000000000000004E-4</v>
      </c>
      <c r="AF18" s="19">
        <f>+F18</f>
        <v>1726.0000000000002</v>
      </c>
      <c r="AG18" s="25">
        <f t="shared" si="10"/>
        <v>28.766666666666669</v>
      </c>
      <c r="AK18" s="6">
        <v>2.6850000000000001</v>
      </c>
      <c r="AL18" s="7">
        <v>2.7183333333333333</v>
      </c>
      <c r="AM18" s="4">
        <f t="shared" si="6"/>
        <v>2.7174894221810897</v>
      </c>
      <c r="AN18" s="4">
        <f t="shared" si="7"/>
        <v>3.0694792415204732</v>
      </c>
      <c r="AO18" s="9">
        <f t="shared" ref="AO18:AO32" si="16">(2783/D18)*(B18^1.0425)</f>
        <v>1066.8998776836513</v>
      </c>
      <c r="AP18" s="19">
        <v>10</v>
      </c>
      <c r="AQ18" s="3" t="s">
        <v>63</v>
      </c>
      <c r="AS18" s="3" t="s">
        <v>16</v>
      </c>
      <c r="AT18" s="6">
        <f t="shared" si="8"/>
        <v>0.32498426512423656</v>
      </c>
      <c r="AU18" s="6">
        <f t="shared" si="9"/>
        <v>0.85032624305518545</v>
      </c>
    </row>
    <row r="19" spans="1:47">
      <c r="A19" s="3" t="s">
        <v>17</v>
      </c>
      <c r="B19" s="4">
        <v>12</v>
      </c>
      <c r="C19" s="4">
        <f t="shared" si="11"/>
        <v>3.1777777777777776</v>
      </c>
      <c r="D19" s="4">
        <f t="shared" si="12"/>
        <v>38.133333333333333</v>
      </c>
      <c r="E19" s="8">
        <v>2.6481481481481481E-2</v>
      </c>
      <c r="F19" s="9">
        <f t="shared" si="13"/>
        <v>2288</v>
      </c>
      <c r="G19" s="8">
        <v>2.4120370370370372E-2</v>
      </c>
      <c r="H19" s="9">
        <f t="shared" si="3"/>
        <v>2084</v>
      </c>
      <c r="I19" s="4"/>
      <c r="J19" s="4">
        <f t="shared" si="4"/>
        <v>2.8944444444444448</v>
      </c>
      <c r="K19" s="4"/>
      <c r="L19" s="6">
        <f t="shared" si="5"/>
        <v>1.0791812460476249</v>
      </c>
      <c r="M19" s="6">
        <f t="shared" si="14"/>
        <v>0.46156521819621849</v>
      </c>
      <c r="N19" s="6">
        <f t="shared" si="15"/>
        <v>2.9379403142267804</v>
      </c>
      <c r="O19" s="10">
        <f>'12K'!F4</f>
        <v>1.89E-2</v>
      </c>
      <c r="P19" s="10">
        <f>'12K'!F5</f>
        <v>9.1E-4</v>
      </c>
      <c r="Q19" s="11">
        <f>'12K'!G4</f>
        <v>1.0500000000000001E-2</v>
      </c>
      <c r="R19" s="11">
        <f>'12K'!G5</f>
        <v>5.1000000000000004E-4</v>
      </c>
      <c r="S19" s="18">
        <f>'12K'!H3</f>
        <v>22</v>
      </c>
      <c r="T19" s="18">
        <f>'12K'!H4</f>
        <v>17</v>
      </c>
      <c r="U19" s="18">
        <f>'12K'!H5</f>
        <v>15</v>
      </c>
      <c r="V19" s="18">
        <f>'12K'!I3</f>
        <v>24</v>
      </c>
      <c r="W19" s="18">
        <f>'12K'!I4</f>
        <v>56.8</v>
      </c>
      <c r="X19" s="18">
        <f>'12K'!I5</f>
        <v>76.7</v>
      </c>
      <c r="Y19" s="3" t="s">
        <v>17</v>
      </c>
      <c r="Z19" s="11">
        <f>(LOG10(+B19)-LOG10(+$B$18))/+$Z$11</f>
        <v>0.24421245079182743</v>
      </c>
      <c r="AA19" s="22">
        <f>$V$18*(1-$Z19)++$V$23*$Z19</f>
        <v>24.732637352375484</v>
      </c>
      <c r="AB19" s="22">
        <f>$W$18*(1-$Z19)++$W$23*$Z19</f>
        <v>54.870721638744563</v>
      </c>
      <c r="AC19" s="22">
        <f>$X$18*(1-$Z19)++$X$23*$Z19</f>
        <v>76.321470701272673</v>
      </c>
      <c r="AD19" s="11">
        <f>$Q$18*(1-$Z19)++$Q$23*$Z19</f>
        <v>1.0463368132381226E-2</v>
      </c>
      <c r="AE19" s="11">
        <f>$R$18*(1-$Z19)++$R$23*$Z19</f>
        <v>4.8313663041289908E-4</v>
      </c>
      <c r="AF19" s="109">
        <f>$F$18*(1-$Z19)++$F$23*$Z19</f>
        <v>2225.6586743200792</v>
      </c>
      <c r="AG19" s="25">
        <f t="shared" si="10"/>
        <v>37.094311238667984</v>
      </c>
      <c r="AK19" s="6">
        <v>2.7097222222222221</v>
      </c>
      <c r="AL19" s="7">
        <v>2.7930555555555556</v>
      </c>
      <c r="AM19" s="4">
        <f t="shared" si="6"/>
        <v>2.7489332786612395</v>
      </c>
      <c r="AN19" s="4">
        <f t="shared" si="7"/>
        <v>3.0933559985021257</v>
      </c>
      <c r="AO19" s="9">
        <f t="shared" si="16"/>
        <v>973.31829258607252</v>
      </c>
      <c r="AP19" s="19">
        <v>12</v>
      </c>
      <c r="AS19" s="3" t="s">
        <v>17</v>
      </c>
      <c r="AT19" s="6">
        <f t="shared" si="8"/>
        <v>0.4104663082065223</v>
      </c>
      <c r="AU19" s="6">
        <f t="shared" si="9"/>
        <v>0.84357316165168472</v>
      </c>
    </row>
    <row r="20" spans="1:47">
      <c r="A20" s="3" t="s">
        <v>18</v>
      </c>
      <c r="B20" s="4">
        <v>15</v>
      </c>
      <c r="C20" s="4">
        <f t="shared" si="11"/>
        <v>2.9555555555555557</v>
      </c>
      <c r="D20" s="4">
        <f t="shared" si="12"/>
        <v>44.333333333333336</v>
      </c>
      <c r="E20" s="8">
        <v>3.0787037037037036E-2</v>
      </c>
      <c r="F20" s="9">
        <f t="shared" si="13"/>
        <v>2660</v>
      </c>
      <c r="G20" s="8">
        <v>3.0428240740740742E-2</v>
      </c>
      <c r="H20" s="9">
        <f t="shared" si="3"/>
        <v>2629</v>
      </c>
      <c r="I20" s="4"/>
      <c r="J20" s="4">
        <f t="shared" si="4"/>
        <v>2.9211111111111112</v>
      </c>
      <c r="K20" s="4"/>
      <c r="L20" s="6">
        <f t="shared" si="5"/>
        <v>1.1760912590556813</v>
      </c>
      <c r="M20" s="6">
        <f t="shared" si="14"/>
        <v>0.46554807666703785</v>
      </c>
      <c r="N20" s="6">
        <f t="shared" si="15"/>
        <v>2.9625535078310152</v>
      </c>
      <c r="O20" s="10">
        <f>'15K'!F4</f>
        <v>1.89E-2</v>
      </c>
      <c r="P20" s="10">
        <f>'15K'!F5</f>
        <v>9.1E-4</v>
      </c>
      <c r="Q20" s="11">
        <f>'15K'!G4</f>
        <v>1.0500000000000001E-2</v>
      </c>
      <c r="R20" s="11">
        <f>'15K'!G5</f>
        <v>5.1000000000000004E-4</v>
      </c>
      <c r="S20" s="18">
        <f>'15K'!H3</f>
        <v>22</v>
      </c>
      <c r="T20" s="18">
        <f>'15K'!H4</f>
        <v>17</v>
      </c>
      <c r="U20" s="18">
        <f>'15K'!H5</f>
        <v>15</v>
      </c>
      <c r="V20" s="18">
        <f>'15K'!I3</f>
        <v>24</v>
      </c>
      <c r="W20" s="18">
        <f>'15K'!I4</f>
        <v>56.8</v>
      </c>
      <c r="X20" s="18">
        <f>'15K'!I5</f>
        <v>76.7</v>
      </c>
      <c r="Y20" s="3" t="s">
        <v>18</v>
      </c>
      <c r="Z20" s="11">
        <f>(LOG10(+B20)-LOG10(+$B$18))/+$Z$11</f>
        <v>0.54310433446754847</v>
      </c>
      <c r="AA20" s="22">
        <f>$V$18*(1-$Z20)++$V$23*$Z20</f>
        <v>25.629313003402643</v>
      </c>
      <c r="AB20" s="22">
        <f>$W$18*(1-$Z20)++$W$23*$Z20</f>
        <v>52.509475757706369</v>
      </c>
      <c r="AC20" s="22">
        <f>$X$18*(1-$Z20)++$X$23*$Z20</f>
        <v>75.858188281575309</v>
      </c>
      <c r="AD20" s="11">
        <f>$Q$18*(1-$Z20)++$Q$23*$Z20</f>
        <v>1.0418534349829867E-2</v>
      </c>
      <c r="AE20" s="11">
        <f>$R$18*(1-$Z20)++$R$23*$Z20</f>
        <v>4.5025852320856972E-4</v>
      </c>
      <c r="AF20" s="109">
        <f>$F$18*(1-$Z20)++$F$23*$Z20</f>
        <v>2837.1914683206041</v>
      </c>
      <c r="AG20" s="25">
        <f t="shared" si="10"/>
        <v>47.286524472010072</v>
      </c>
      <c r="AK20" s="6">
        <v>2.7433333333333332</v>
      </c>
      <c r="AL20" s="7">
        <v>2.7655555555555558</v>
      </c>
      <c r="AM20" s="4">
        <f t="shared" si="6"/>
        <v>2.7879130239738878</v>
      </c>
      <c r="AN20" s="4">
        <f t="shared" si="7"/>
        <v>3.1228316993039442</v>
      </c>
      <c r="AO20" s="9">
        <f t="shared" si="16"/>
        <v>1056.4719181438381</v>
      </c>
      <c r="AP20" s="19">
        <v>15</v>
      </c>
      <c r="AS20" s="3" t="s">
        <v>18</v>
      </c>
      <c r="AT20" s="6">
        <f t="shared" si="8"/>
        <v>0.51508787354633734</v>
      </c>
      <c r="AU20" s="6">
        <f t="shared" si="9"/>
        <v>0.83530805798983931</v>
      </c>
    </row>
    <row r="21" spans="1:47">
      <c r="A21" s="3" t="s">
        <v>19</v>
      </c>
      <c r="B21" s="4">
        <f>MILE*10</f>
        <v>16.093440000000001</v>
      </c>
      <c r="C21" s="4">
        <f t="shared" si="11"/>
        <v>3.0747517829210746</v>
      </c>
      <c r="D21" s="4">
        <f t="shared" si="12"/>
        <v>49.483333333333341</v>
      </c>
      <c r="E21" s="8">
        <v>3.4363425925925929E-2</v>
      </c>
      <c r="F21" s="9">
        <f t="shared" si="13"/>
        <v>2969.0000000000005</v>
      </c>
      <c r="G21" s="8">
        <v>3.2777777777777781E-2</v>
      </c>
      <c r="H21" s="9">
        <f t="shared" si="3"/>
        <v>2832.0000000000005</v>
      </c>
      <c r="I21" s="4"/>
      <c r="J21" s="4">
        <f t="shared" si="4"/>
        <v>2.932872027360216</v>
      </c>
      <c r="K21" s="4"/>
      <c r="L21" s="6">
        <f t="shared" si="5"/>
        <v>1.2066488852013753</v>
      </c>
      <c r="M21" s="6">
        <f t="shared" si="14"/>
        <v>0.46729311343271257</v>
      </c>
      <c r="N21" s="6">
        <f t="shared" si="15"/>
        <v>2.9703572093624753</v>
      </c>
      <c r="O21" s="10">
        <f>'10MI'!F4</f>
        <v>1.89E-2</v>
      </c>
      <c r="P21" s="10">
        <f>'10MI'!F5</f>
        <v>9.1E-4</v>
      </c>
      <c r="Q21" s="11">
        <f>'10MI'!G4</f>
        <v>1.0500000000000001E-2</v>
      </c>
      <c r="R21" s="11">
        <f>'10MI'!G5</f>
        <v>5.1000000000000004E-4</v>
      </c>
      <c r="S21" s="18">
        <f>'10MI'!H3</f>
        <v>22</v>
      </c>
      <c r="T21" s="18">
        <f>'10MI'!H4</f>
        <v>17</v>
      </c>
      <c r="U21" s="18">
        <f>'10MI'!H5</f>
        <v>15</v>
      </c>
      <c r="V21" s="18">
        <f>'10MI'!I3</f>
        <v>24</v>
      </c>
      <c r="W21" s="18">
        <f>'10MI'!I4</f>
        <v>56.8</v>
      </c>
      <c r="X21" s="18">
        <f>'10MI'!I5</f>
        <v>76.7</v>
      </c>
      <c r="Y21" s="3" t="s">
        <v>19</v>
      </c>
      <c r="Z21" s="11">
        <f>(LOG10(+B21)-LOG10(+$B$18))/+$Z$11</f>
        <v>0.63735080246240494</v>
      </c>
      <c r="AA21" s="22">
        <f>$V$18*(1-$Z21)++$V$23*$Z21</f>
        <v>25.912052407387215</v>
      </c>
      <c r="AB21" s="22">
        <f>$W$18*(1-$Z21)++$W$23*$Z21</f>
        <v>51.764928660547</v>
      </c>
      <c r="AC21" s="22">
        <f>$X$18*(1-$Z21)++$X$23*$Z21</f>
        <v>75.712106256183276</v>
      </c>
      <c r="AD21" s="11">
        <f>$Q$18*(1-$Z21)++$Q$23*$Z21</f>
        <v>1.0404397379630639E-2</v>
      </c>
      <c r="AE21" s="11">
        <f>$R$18*(1-$Z21)++$R$23*$Z21</f>
        <v>4.3989141172913547E-4</v>
      </c>
      <c r="AF21" s="109">
        <f>$F$18*(1-$Z21)++$F$23*$Z21</f>
        <v>3030.0197418380803</v>
      </c>
      <c r="AG21" s="25">
        <f t="shared" si="10"/>
        <v>50.500329030634674</v>
      </c>
      <c r="AK21" s="6">
        <v>2.7578524748800337</v>
      </c>
      <c r="AL21" s="7">
        <v>2.8085977889127496</v>
      </c>
      <c r="AM21" s="4">
        <f t="shared" si="6"/>
        <v>2.8003183542621493</v>
      </c>
      <c r="AN21" s="4">
        <f t="shared" si="7"/>
        <v>3.1321840831381662</v>
      </c>
      <c r="AO21" s="9">
        <f t="shared" si="16"/>
        <v>1018.5579009472297</v>
      </c>
      <c r="AP21" s="19">
        <f>AP7*10</f>
        <v>0</v>
      </c>
      <c r="AS21" s="3" t="s">
        <v>19</v>
      </c>
      <c r="AT21" s="6">
        <f t="shared" si="8"/>
        <v>0.54807710325746717</v>
      </c>
      <c r="AU21" s="6">
        <f t="shared" si="9"/>
        <v>0.83270190884266015</v>
      </c>
    </row>
    <row r="22" spans="1:47">
      <c r="A22" s="3" t="s">
        <v>20</v>
      </c>
      <c r="B22" s="4">
        <v>20</v>
      </c>
      <c r="C22" s="4">
        <f t="shared" si="11"/>
        <v>3.0708333333333337</v>
      </c>
      <c r="D22" s="4">
        <f t="shared" si="12"/>
        <v>61.416666666666671</v>
      </c>
      <c r="E22" s="82">
        <v>4.2650462962962966E-2</v>
      </c>
      <c r="F22" s="9">
        <f t="shared" si="13"/>
        <v>3685.0000000000005</v>
      </c>
      <c r="G22" s="8">
        <v>4.1319444444444443E-2</v>
      </c>
      <c r="H22" s="9">
        <f t="shared" si="3"/>
        <v>3570</v>
      </c>
      <c r="I22" s="4"/>
      <c r="J22" s="4">
        <f t="shared" si="4"/>
        <v>2.9749999999999996</v>
      </c>
      <c r="K22" s="4"/>
      <c r="L22" s="6">
        <f t="shared" si="5"/>
        <v>1.3010299956639813</v>
      </c>
      <c r="M22" s="6">
        <f t="shared" si="14"/>
        <v>0.4734869700645683</v>
      </c>
      <c r="N22" s="6">
        <f t="shared" si="15"/>
        <v>2.9945899631811916</v>
      </c>
      <c r="O22" s="10">
        <f>'20K'!F4</f>
        <v>1.89E-2</v>
      </c>
      <c r="P22" s="10">
        <f>'20K'!F5</f>
        <v>9.1E-4</v>
      </c>
      <c r="Q22" s="11">
        <f>'20K'!G4</f>
        <v>1.0500000000000001E-2</v>
      </c>
      <c r="R22" s="11">
        <f>'20K'!G5</f>
        <v>5.1000000000000004E-4</v>
      </c>
      <c r="S22" s="18">
        <f>'20K'!H3</f>
        <v>22</v>
      </c>
      <c r="T22" s="18">
        <f>'20K'!H4</f>
        <v>17</v>
      </c>
      <c r="U22" s="18">
        <f>'20K'!H5</f>
        <v>15</v>
      </c>
      <c r="V22" s="18">
        <f>'20K'!I3</f>
        <v>24</v>
      </c>
      <c r="W22" s="18">
        <f>'20K'!I4</f>
        <v>56.8</v>
      </c>
      <c r="X22" s="18">
        <f>'20K'!I5</f>
        <v>76.7</v>
      </c>
      <c r="Y22" s="3" t="s">
        <v>20</v>
      </c>
      <c r="Z22" s="11">
        <f>(LOG10(+B22)-LOG10(+$B$18))/+$Z$11</f>
        <v>0.92844299215419079</v>
      </c>
      <c r="AA22" s="22">
        <f>$V$18*(1-$Z22)++$V$23*$Z22</f>
        <v>26.785328976462573</v>
      </c>
      <c r="AB22" s="22">
        <f>$W$18*(1-$Z22)++$W$23*$Z22</f>
        <v>49.465300361981889</v>
      </c>
      <c r="AC22" s="22">
        <f>$X$18*(1-$Z22)++$X$23*$Z22</f>
        <v>75.26091336216102</v>
      </c>
      <c r="AD22" s="11">
        <f>$Q$18*(1-$Z22)++$Q$23*$Z22</f>
        <v>1.036073355117687E-2</v>
      </c>
      <c r="AE22" s="11">
        <f>$R$18*(1-$Z22)++$R$23*$Z22</f>
        <v>4.07871270863039E-4</v>
      </c>
      <c r="AF22" s="109">
        <f>$F$18*(1-$Z22)++$F$23*$Z22</f>
        <v>3625.5943619474742</v>
      </c>
      <c r="AG22" s="25">
        <f t="shared" si="10"/>
        <v>60.42657269912457</v>
      </c>
      <c r="AK22" s="6">
        <v>2.7983333333333338</v>
      </c>
      <c r="AL22" s="7">
        <v>2.8149999999999999</v>
      </c>
      <c r="AM22" s="4">
        <f t="shared" si="6"/>
        <v>2.8389834121305668</v>
      </c>
      <c r="AN22" s="4">
        <f t="shared" si="7"/>
        <v>3.1612473294187096</v>
      </c>
      <c r="AO22" s="9">
        <f t="shared" si="16"/>
        <v>1029.3207671316939</v>
      </c>
      <c r="AP22" s="19">
        <v>20</v>
      </c>
      <c r="AS22" s="3" t="s">
        <v>20</v>
      </c>
      <c r="AT22" s="6">
        <f t="shared" si="8"/>
        <v>0.64996853024847323</v>
      </c>
      <c r="AU22" s="6">
        <f t="shared" si="9"/>
        <v>0.82465248611037067</v>
      </c>
    </row>
    <row r="23" spans="1:47">
      <c r="A23" s="1" t="s">
        <v>9</v>
      </c>
      <c r="B23" s="4">
        <v>21.0975</v>
      </c>
      <c r="C23" s="4">
        <f t="shared" si="11"/>
        <v>2.9798159339574197</v>
      </c>
      <c r="D23" s="4">
        <f t="shared" si="12"/>
        <v>62.866666666666667</v>
      </c>
      <c r="E23" s="8">
        <v>4.3657407407407409E-2</v>
      </c>
      <c r="F23" s="9">
        <f t="shared" si="13"/>
        <v>3772</v>
      </c>
      <c r="G23" s="8">
        <v>4.3657407407407409E-2</v>
      </c>
      <c r="H23" s="9">
        <f t="shared" si="3"/>
        <v>3772</v>
      </c>
      <c r="I23" s="4"/>
      <c r="J23" s="4">
        <f t="shared" si="4"/>
        <v>2.9798159339574197</v>
      </c>
      <c r="K23" s="4"/>
      <c r="L23" s="6">
        <f t="shared" si="5"/>
        <v>1.3242309955569009</v>
      </c>
      <c r="M23" s="6">
        <f t="shared" si="14"/>
        <v>0.47418943812474612</v>
      </c>
      <c r="N23" s="6">
        <f t="shared" si="15"/>
        <v>3.0005771295261474</v>
      </c>
      <c r="O23" s="10">
        <f>H.Marathon!F4</f>
        <v>2.019E-2</v>
      </c>
      <c r="P23" s="10">
        <f>H.Marathon!F5</f>
        <v>1.0200000000000001E-3</v>
      </c>
      <c r="Q23" s="11">
        <f>H.Marathon!G4</f>
        <v>1.035E-2</v>
      </c>
      <c r="R23" s="11">
        <f>H.Marathon!G5</f>
        <v>4.0000000000000002E-4</v>
      </c>
      <c r="S23" s="18">
        <f>H.Marathon!H3</f>
        <v>22</v>
      </c>
      <c r="T23" s="18">
        <f>H.Marathon!H4</f>
        <v>19</v>
      </c>
      <c r="U23" s="18">
        <f>H.Marathon!H5</f>
        <v>16</v>
      </c>
      <c r="V23" s="18">
        <f>H.Marathon!I3</f>
        <v>27</v>
      </c>
      <c r="W23" s="18">
        <f>H.Marathon!I4</f>
        <v>48.9</v>
      </c>
      <c r="X23" s="18">
        <f>H.Marathon!I5</f>
        <v>75.150000000000006</v>
      </c>
      <c r="Y23" s="1" t="s">
        <v>9</v>
      </c>
      <c r="Z23" s="11">
        <f>(LOG10(+B23)-LOG10(+$B$23))/+$Z$10</f>
        <v>0</v>
      </c>
      <c r="AA23" s="22">
        <f>$V$23*(1-$Z23)++$V$26*$Z23</f>
        <v>27</v>
      </c>
      <c r="AB23" s="22">
        <f>$W$23*(1-$Z23)++$W$26*$Z23</f>
        <v>48.9</v>
      </c>
      <c r="AC23" s="22">
        <f>$X$23*(1-$Z23)++$X$26*$Z23</f>
        <v>75.150000000000006</v>
      </c>
      <c r="AD23" s="11">
        <f>$Q$23*(1-$Z23)++$Q$26*$Z23</f>
        <v>1.035E-2</v>
      </c>
      <c r="AE23" s="11">
        <f>$R$23*(1-$Z23)++$R$26*$Z23</f>
        <v>4.0000000000000002E-4</v>
      </c>
      <c r="AF23" s="19">
        <f>+F23</f>
        <v>3772</v>
      </c>
      <c r="AG23" s="25">
        <f t="shared" si="10"/>
        <v>62.866666666666667</v>
      </c>
      <c r="AK23" s="6">
        <v>2.8068096535924476</v>
      </c>
      <c r="AL23" s="7">
        <v>2.8099695856539082</v>
      </c>
      <c r="AM23" s="4">
        <f t="shared" si="6"/>
        <v>2.8485696191191034</v>
      </c>
      <c r="AN23" s="4">
        <f t="shared" si="7"/>
        <v>3.1684329273190817</v>
      </c>
      <c r="AO23" s="9">
        <f t="shared" si="16"/>
        <v>1063.1721349805102</v>
      </c>
      <c r="AP23" s="19">
        <v>21.0975</v>
      </c>
      <c r="AS23" s="1" t="s">
        <v>9</v>
      </c>
      <c r="AT23" s="6">
        <f t="shared" si="8"/>
        <v>0.67501573487576338</v>
      </c>
      <c r="AU23" s="6">
        <f t="shared" si="9"/>
        <v>0.8226737569448147</v>
      </c>
    </row>
    <row r="24" spans="1:47">
      <c r="A24" s="3" t="s">
        <v>21</v>
      </c>
      <c r="B24" s="4">
        <v>25</v>
      </c>
      <c r="C24" s="4">
        <f t="shared" si="11"/>
        <v>3.1513333333333331</v>
      </c>
      <c r="D24" s="4">
        <f t="shared" si="12"/>
        <v>78.783333333333331</v>
      </c>
      <c r="E24" s="8">
        <v>5.4710648148148147E-2</v>
      </c>
      <c r="F24" s="9">
        <f t="shared" si="13"/>
        <v>4727</v>
      </c>
      <c r="G24" s="8">
        <v>5.2083333333333336E-2</v>
      </c>
      <c r="H24" s="9">
        <f t="shared" si="3"/>
        <v>4500</v>
      </c>
      <c r="I24" s="4"/>
      <c r="J24" s="4">
        <f t="shared" si="4"/>
        <v>3</v>
      </c>
      <c r="K24" s="4"/>
      <c r="L24" s="6">
        <f t="shared" si="5"/>
        <v>1.3979400086720377</v>
      </c>
      <c r="M24" s="6">
        <f t="shared" si="14"/>
        <v>0.47712125471966244</v>
      </c>
      <c r="N24" s="6">
        <f t="shared" si="15"/>
        <v>3.0196777507622254</v>
      </c>
      <c r="O24" s="10">
        <f>'25K'!F4</f>
        <v>1.9E-2</v>
      </c>
      <c r="P24" s="10">
        <f>'25K'!F5</f>
        <v>9.1E-4</v>
      </c>
      <c r="Q24" s="11">
        <f>'25K'!G4</f>
        <v>1.0509156426983836E-2</v>
      </c>
      <c r="R24" s="11">
        <f>'25K'!G5</f>
        <v>4.3672840622703915E-4</v>
      </c>
      <c r="S24" s="18">
        <f>'25K'!H3</f>
        <v>22</v>
      </c>
      <c r="T24" s="18">
        <f>'25K'!H4</f>
        <v>17</v>
      </c>
      <c r="U24" s="18">
        <f>'25K'!H5</f>
        <v>15</v>
      </c>
      <c r="V24" s="18">
        <f>'25K'!I3</f>
        <v>26.755143958486407</v>
      </c>
      <c r="W24" s="18">
        <f>'25K'!I4</f>
        <v>50.393621853232922</v>
      </c>
      <c r="X24" s="18">
        <f>'25K'!I5</f>
        <v>75.235699614529764</v>
      </c>
      <c r="Y24" s="3" t="s">
        <v>21</v>
      </c>
      <c r="Z24" s="11">
        <f>(LOG10(+B24)-LOG10(+$B$23))/+$Z$10</f>
        <v>0.24485604151359389</v>
      </c>
      <c r="AA24" s="22">
        <f>$V$23*(1-$Z24)++$V$26*$Z24</f>
        <v>26.755143958486407</v>
      </c>
      <c r="AB24" s="22">
        <f>$W$23*(1-$Z24)++$W$26*$Z24</f>
        <v>50.393621853232922</v>
      </c>
      <c r="AC24" s="22">
        <f>$X$23*(1-$Z24)++$X$26*$Z24</f>
        <v>75.235699614529764</v>
      </c>
      <c r="AD24" s="11">
        <f>$Q$23*(1-$Z24)++$Q$26*$Z24</f>
        <v>1.0509156426983836E-2</v>
      </c>
      <c r="AE24" s="11">
        <f>$R$23*(1-$Z24)++$R$26*$Z24</f>
        <v>4.3672840622703915E-4</v>
      </c>
      <c r="AF24" s="109">
        <f>$F$23*(1-$Z24)++$F$26*$Z24</f>
        <v>4757.3007110507024</v>
      </c>
      <c r="AG24" s="25">
        <f t="shared" si="10"/>
        <v>79.288345184178368</v>
      </c>
      <c r="AK24" s="6">
        <v>2.8393333333333328</v>
      </c>
      <c r="AL24" s="7">
        <v>2.9146666666666663</v>
      </c>
      <c r="AM24" s="4">
        <f t="shared" si="6"/>
        <v>2.8792400641237994</v>
      </c>
      <c r="AN24" s="4">
        <f t="shared" si="7"/>
        <v>3.1913699472123334</v>
      </c>
      <c r="AO24" s="9">
        <f t="shared" si="16"/>
        <v>1012.5845891999503</v>
      </c>
      <c r="AP24" s="19">
        <v>25</v>
      </c>
      <c r="AS24" s="3" t="s">
        <v>21</v>
      </c>
      <c r="AT24" s="6">
        <f t="shared" si="8"/>
        <v>0.75459009558828827</v>
      </c>
      <c r="AU24" s="6">
        <f t="shared" si="9"/>
        <v>0.81638738244852527</v>
      </c>
    </row>
    <row r="25" spans="1:47">
      <c r="A25" s="3" t="s">
        <v>22</v>
      </c>
      <c r="B25" s="4">
        <v>30</v>
      </c>
      <c r="C25" s="4">
        <f t="shared" si="11"/>
        <v>3.2027777777777779</v>
      </c>
      <c r="D25" s="4">
        <f t="shared" si="12"/>
        <v>96.083333333333343</v>
      </c>
      <c r="E25" s="8">
        <v>6.6724537037037041E-2</v>
      </c>
      <c r="F25" s="9">
        <f t="shared" si="13"/>
        <v>5765</v>
      </c>
      <c r="G25" s="8">
        <v>6.3078703703703706E-2</v>
      </c>
      <c r="H25" s="9">
        <f t="shared" si="3"/>
        <v>5450</v>
      </c>
      <c r="I25" s="4"/>
      <c r="J25" s="4">
        <f t="shared" si="4"/>
        <v>3.0277777777777781</v>
      </c>
      <c r="K25" s="4"/>
      <c r="L25" s="6">
        <f t="shared" si="5"/>
        <v>1.4771212547196624</v>
      </c>
      <c r="M25" s="6">
        <f t="shared" si="14"/>
        <v>0.48112399717333643</v>
      </c>
      <c r="N25" s="6">
        <f t="shared" si="15"/>
        <v>3.0403319062131229</v>
      </c>
      <c r="O25" s="10">
        <f>'30K'!F4</f>
        <v>1.89E-2</v>
      </c>
      <c r="P25" s="10">
        <f>'30K'!F5</f>
        <v>9.1E-4</v>
      </c>
      <c r="Q25" s="11">
        <f>'30K'!G4</f>
        <v>1.0500000000000001E-2</v>
      </c>
      <c r="R25" s="11">
        <f>'30K'!G5</f>
        <v>5.1000000000000004E-4</v>
      </c>
      <c r="S25" s="18">
        <f>'30K'!H3</f>
        <v>22</v>
      </c>
      <c r="T25" s="18">
        <f>'30K'!H4</f>
        <v>17</v>
      </c>
      <c r="U25" s="18">
        <f>'30K'!H5</f>
        <v>15</v>
      </c>
      <c r="V25" s="18">
        <f>'30K'!I3</f>
        <v>24</v>
      </c>
      <c r="W25" s="18">
        <f>'30K'!I4</f>
        <v>56.8</v>
      </c>
      <c r="X25" s="18">
        <f>'30K'!I5</f>
        <v>76.7</v>
      </c>
      <c r="Y25" s="3" t="s">
        <v>22</v>
      </c>
      <c r="Z25" s="11">
        <f>(LOG10(+B25)-LOG10(+$B$23))/+$Z$10</f>
        <v>0.50789044734738709</v>
      </c>
      <c r="AA25" s="22">
        <f>$V$23*(1-$Z25)++$V$26*$Z25</f>
        <v>26.492109552652614</v>
      </c>
      <c r="AB25" s="22">
        <f>$W$23*(1-$Z25)++$W$26*$Z25</f>
        <v>51.998131728819061</v>
      </c>
      <c r="AC25" s="22">
        <f>$X$23*(1-$Z25)++$X$26*$Z25</f>
        <v>75.327761656571596</v>
      </c>
      <c r="AD25" s="11">
        <f>$Q$23*(1-$Z25)++$Q$26*$Z25</f>
        <v>1.0680128790775801E-2</v>
      </c>
      <c r="AE25" s="11">
        <f>$R$23*(1-$Z25)++$R$26*$Z25</f>
        <v>4.7618356710210804E-4</v>
      </c>
      <c r="AF25" s="109">
        <f>$F$23*(1-$Z25)++$F$26*$Z25</f>
        <v>5815.7511601258857</v>
      </c>
      <c r="AG25" s="25">
        <f t="shared" si="10"/>
        <v>96.929186002098092</v>
      </c>
      <c r="AK25" s="6">
        <v>2.8772222222222221</v>
      </c>
      <c r="AL25" s="7">
        <v>2.9794444444444443</v>
      </c>
      <c r="AM25" s="4">
        <f t="shared" si="6"/>
        <v>2.9125555245665282</v>
      </c>
      <c r="AN25" s="4">
        <f t="shared" si="7"/>
        <v>3.2161948633210322</v>
      </c>
      <c r="AO25" s="9">
        <f t="shared" si="16"/>
        <v>1004.0701430707687</v>
      </c>
      <c r="AP25" s="19">
        <v>30</v>
      </c>
      <c r="AS25" s="3" t="s">
        <v>22</v>
      </c>
      <c r="AT25" s="6">
        <f t="shared" si="8"/>
        <v>0.84007213867057373</v>
      </c>
      <c r="AU25" s="6">
        <f t="shared" si="9"/>
        <v>0.80963430104502465</v>
      </c>
    </row>
    <row r="26" spans="1:47">
      <c r="A26" s="1" t="s">
        <v>10</v>
      </c>
      <c r="B26" s="4">
        <v>42.195</v>
      </c>
      <c r="C26" s="4">
        <f t="shared" si="11"/>
        <v>3.0793537938934312</v>
      </c>
      <c r="D26" s="4">
        <f t="shared" si="12"/>
        <v>129.93333333333334</v>
      </c>
      <c r="E26" s="8">
        <v>9.0231481481481482E-2</v>
      </c>
      <c r="F26" s="9">
        <f t="shared" si="13"/>
        <v>7796</v>
      </c>
      <c r="G26" s="8">
        <v>9.0231481481481482E-2</v>
      </c>
      <c r="H26" s="9">
        <f t="shared" si="3"/>
        <v>7796</v>
      </c>
      <c r="I26" s="4"/>
      <c r="J26" s="4">
        <f t="shared" si="4"/>
        <v>3.0793537938934317</v>
      </c>
      <c r="K26" s="4"/>
      <c r="L26" s="6">
        <f t="shared" si="5"/>
        <v>1.6252609912208822</v>
      </c>
      <c r="M26" s="6">
        <f t="shared" si="14"/>
        <v>0.48845958884105806</v>
      </c>
      <c r="N26" s="6">
        <f t="shared" si="15"/>
        <v>3.0793537938934317</v>
      </c>
      <c r="O26" s="10">
        <f>Marathon!F4</f>
        <v>1.7399999999999999E-2</v>
      </c>
      <c r="P26" s="10">
        <f>Marathon!F5</f>
        <v>1.5499999999999999E-3</v>
      </c>
      <c r="Q26" s="11">
        <f>Marathon!G4</f>
        <v>1.0999999999999999E-2</v>
      </c>
      <c r="R26" s="11">
        <f>Marathon!G5</f>
        <v>5.5000000000000003E-4</v>
      </c>
      <c r="S26" s="18">
        <f>Marathon!H3</f>
        <v>26</v>
      </c>
      <c r="T26" s="18">
        <f>Marathon!H4</f>
        <v>19</v>
      </c>
      <c r="U26" s="18">
        <f>Marathon!H5</f>
        <v>15</v>
      </c>
      <c r="V26" s="18">
        <f>Marathon!I3</f>
        <v>26</v>
      </c>
      <c r="W26" s="18">
        <f>Marathon!I4</f>
        <v>55</v>
      </c>
      <c r="X26" s="18">
        <f>Marathon!I5</f>
        <v>75.5</v>
      </c>
      <c r="Y26" s="1" t="s">
        <v>10</v>
      </c>
      <c r="Z26" s="11">
        <f>(LOG10(+B26)-LOG10(+$B$23))/+$Z$10</f>
        <v>1</v>
      </c>
      <c r="AA26" s="22">
        <f>$V$23*(1-$Z26)++$V$26*$Z26</f>
        <v>26</v>
      </c>
      <c r="AB26" s="22">
        <f>$W$23*(1-$Z26)++$W$26*$Z26</f>
        <v>55</v>
      </c>
      <c r="AC26" s="22">
        <f>$X$23*(1-$Z26)++$X$26*$Z26</f>
        <v>75.5</v>
      </c>
      <c r="AD26" s="11">
        <f>$Q$21*(1-$Z26)++$Q$26*$Z26</f>
        <v>1.0999999999999999E-2</v>
      </c>
      <c r="AE26" s="11">
        <f>$R$23*(1-$Z26)++$R$26*$Z26</f>
        <v>5.5000000000000003E-4</v>
      </c>
      <c r="AF26" s="19">
        <f>+F26</f>
        <v>7796</v>
      </c>
      <c r="AG26" s="25">
        <f t="shared" si="10"/>
        <v>129.93333333333334</v>
      </c>
      <c r="AK26" s="6">
        <v>2.9604613500809731</v>
      </c>
      <c r="AL26" s="7">
        <v>2.9604613500809736</v>
      </c>
      <c r="AM26" s="4">
        <f t="shared" si="6"/>
        <v>2.9759239653221776</v>
      </c>
      <c r="AN26" s="4">
        <f t="shared" si="7"/>
        <v>3.2631594292744608</v>
      </c>
      <c r="AO26" s="9">
        <f t="shared" si="16"/>
        <v>1059.5640376628187</v>
      </c>
      <c r="AP26" s="19">
        <v>42.195</v>
      </c>
      <c r="AS26" s="1" t="s">
        <v>10</v>
      </c>
      <c r="AT26" s="6">
        <f t="shared" si="8"/>
        <v>1</v>
      </c>
      <c r="AU26" s="6">
        <f t="shared" si="9"/>
        <v>0.79700000000000004</v>
      </c>
    </row>
    <row r="27" spans="1:47">
      <c r="A27" s="3" t="s">
        <v>23</v>
      </c>
      <c r="B27" s="4">
        <v>50</v>
      </c>
      <c r="C27" s="4">
        <f t="shared" si="11"/>
        <v>3.7730000000000001</v>
      </c>
      <c r="D27" s="4">
        <f t="shared" si="12"/>
        <v>188.65</v>
      </c>
      <c r="E27" s="8">
        <v>0.13100694444444444</v>
      </c>
      <c r="F27" s="9">
        <f t="shared" si="13"/>
        <v>11319</v>
      </c>
      <c r="G27" s="8">
        <v>0.10868055555555556</v>
      </c>
      <c r="H27" s="9">
        <f t="shared" si="3"/>
        <v>9390</v>
      </c>
      <c r="I27" s="4"/>
      <c r="J27" s="4">
        <f t="shared" si="4"/>
        <v>3.13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3"/>
      <c r="AK27" s="6">
        <v>3.0266666666666673</v>
      </c>
      <c r="AL27" s="7">
        <v>3.2726666666666664</v>
      </c>
      <c r="AM27" s="4">
        <f t="shared" si="6"/>
        <v>3.0079656299190201</v>
      </c>
      <c r="AN27" s="4">
        <f t="shared" si="7"/>
        <v>3.286782196257712</v>
      </c>
      <c r="AO27" s="9">
        <f t="shared" si="16"/>
        <v>871.02902344203267</v>
      </c>
      <c r="AP27" s="19">
        <v>50</v>
      </c>
    </row>
    <row r="28" spans="1:47">
      <c r="A28" s="3" t="s">
        <v>24</v>
      </c>
      <c r="B28" s="4">
        <f>MILE*50</f>
        <v>80.467200000000005</v>
      </c>
      <c r="C28" s="4">
        <f t="shared" si="11"/>
        <v>4.229052334367295</v>
      </c>
      <c r="D28" s="4">
        <f t="shared" si="12"/>
        <v>340.3</v>
      </c>
      <c r="E28" s="8">
        <v>0.23631944444444444</v>
      </c>
      <c r="F28" s="9">
        <f t="shared" si="13"/>
        <v>20418</v>
      </c>
      <c r="G28" s="8">
        <v>0.19791666666666666</v>
      </c>
      <c r="H28" s="9">
        <f t="shared" si="3"/>
        <v>17100</v>
      </c>
      <c r="I28" s="4"/>
      <c r="J28" s="4">
        <f t="shared" si="4"/>
        <v>3.5418157957528029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3"/>
      <c r="AK28" s="6">
        <v>3.3305429679810552</v>
      </c>
      <c r="AL28" s="7">
        <v>3.6145090381988418</v>
      </c>
      <c r="AM28" s="4">
        <f t="shared" si="6"/>
        <v>3.0996482612584857</v>
      </c>
      <c r="AN28" s="4">
        <f t="shared" si="7"/>
        <v>3.3539262102195408</v>
      </c>
      <c r="AO28" s="9">
        <f t="shared" si="16"/>
        <v>792.97400303123004</v>
      </c>
      <c r="AP28" s="19">
        <f>AP7*50</f>
        <v>0</v>
      </c>
    </row>
    <row r="29" spans="1:47">
      <c r="A29" s="3" t="s">
        <v>25</v>
      </c>
      <c r="B29" s="4">
        <v>100</v>
      </c>
      <c r="C29" s="4">
        <f t="shared" si="11"/>
        <v>4.2061666666666664</v>
      </c>
      <c r="D29" s="4">
        <f t="shared" si="12"/>
        <v>420.61666666666667</v>
      </c>
      <c r="E29" s="8">
        <v>0.2920949074074074</v>
      </c>
      <c r="F29" s="9">
        <f t="shared" si="13"/>
        <v>25237</v>
      </c>
      <c r="G29" s="8">
        <v>0.27304398148148146</v>
      </c>
      <c r="H29" s="9">
        <f t="shared" si="3"/>
        <v>23590.999999999996</v>
      </c>
      <c r="I29" s="4"/>
      <c r="J29" s="4">
        <f t="shared" si="4"/>
        <v>3.9318333333333326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3"/>
      <c r="AK29" s="6">
        <v>3.56</v>
      </c>
      <c r="AL29" s="7">
        <v>3.7033333333333331</v>
      </c>
      <c r="AM29" s="4">
        <f t="shared" si="6"/>
        <v>3.1424462807089837</v>
      </c>
      <c r="AN29" s="4">
        <f t="shared" si="7"/>
        <v>3.3850469811790553</v>
      </c>
      <c r="AO29" s="9">
        <f t="shared" si="16"/>
        <v>804.68652529195481</v>
      </c>
      <c r="AP29" s="19">
        <v>100</v>
      </c>
    </row>
    <row r="30" spans="1:47">
      <c r="A30" s="3" t="s">
        <v>26</v>
      </c>
      <c r="B30" s="4">
        <v>150</v>
      </c>
      <c r="C30" s="4">
        <f t="shared" si="11"/>
        <v>5.5060000000000002</v>
      </c>
      <c r="D30" s="4">
        <f t="shared" si="12"/>
        <v>825.9</v>
      </c>
      <c r="E30" s="8">
        <v>0.57354166666666662</v>
      </c>
      <c r="F30" s="9">
        <f t="shared" si="13"/>
        <v>49553.999999999993</v>
      </c>
      <c r="G30" s="8">
        <v>0.45949074074074076</v>
      </c>
      <c r="H30" s="9">
        <f t="shared" si="3"/>
        <v>39700</v>
      </c>
      <c r="I30" s="4"/>
      <c r="J30" s="4">
        <f t="shared" si="4"/>
        <v>4.4111111111111114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3"/>
      <c r="AK30" s="6">
        <v>4.0333333333333332</v>
      </c>
      <c r="AL30" s="7">
        <v>4.2446666666666673</v>
      </c>
      <c r="AM30" s="4">
        <f t="shared" si="6"/>
        <v>3.2238826181318867</v>
      </c>
      <c r="AN30" s="4">
        <f t="shared" si="7"/>
        <v>3.4438845109187777</v>
      </c>
      <c r="AO30" s="9">
        <f t="shared" si="16"/>
        <v>625.40432139185793</v>
      </c>
      <c r="AP30" s="19">
        <v>150</v>
      </c>
    </row>
    <row r="31" spans="1:47">
      <c r="A31" s="3" t="s">
        <v>27</v>
      </c>
      <c r="B31" s="4">
        <f>MILE*100</f>
        <v>160.93440000000001</v>
      </c>
      <c r="C31" s="4">
        <f t="shared" si="11"/>
        <v>5.1429857962830399</v>
      </c>
      <c r="D31" s="4">
        <f t="shared" si="12"/>
        <v>827.68333333333328</v>
      </c>
      <c r="E31" s="8">
        <v>0.57478009259259255</v>
      </c>
      <c r="F31" s="9">
        <f t="shared" si="13"/>
        <v>49661</v>
      </c>
      <c r="G31" s="8">
        <v>0.50347222222222221</v>
      </c>
      <c r="H31" s="9">
        <f t="shared" si="3"/>
        <v>43500</v>
      </c>
      <c r="I31" s="4"/>
      <c r="J31" s="4">
        <f t="shared" si="4"/>
        <v>4.5049411437206706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3"/>
      <c r="AK31" s="6">
        <v>4.1269403351096265</v>
      </c>
      <c r="AL31" s="7">
        <v>4.2753444881889759</v>
      </c>
      <c r="AM31" s="4">
        <f t="shared" si="6"/>
        <v>3.2382278750838078</v>
      </c>
      <c r="AN31" s="4">
        <f t="shared" si="7"/>
        <v>3.4541983968172794</v>
      </c>
      <c r="AO31" s="9">
        <f t="shared" si="16"/>
        <v>671.55325591853421</v>
      </c>
      <c r="AP31" s="19">
        <f>AP7*100</f>
        <v>0</v>
      </c>
    </row>
    <row r="32" spans="1:47">
      <c r="A32" s="3" t="s">
        <v>28</v>
      </c>
      <c r="B32" s="4">
        <v>200</v>
      </c>
      <c r="C32" s="4">
        <f t="shared" si="11"/>
        <v>5.9480000000000004</v>
      </c>
      <c r="D32" s="4">
        <f t="shared" si="12"/>
        <v>1189.6000000000001</v>
      </c>
      <c r="E32" s="8">
        <v>0.82611111111111113</v>
      </c>
      <c r="F32" s="9">
        <f t="shared" si="13"/>
        <v>71376</v>
      </c>
      <c r="G32" s="8">
        <v>0.66666666666666663</v>
      </c>
      <c r="H32" s="9">
        <f t="shared" si="3"/>
        <v>57600</v>
      </c>
      <c r="I32" s="4"/>
      <c r="J32" s="4">
        <f t="shared" si="4"/>
        <v>4.8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3"/>
      <c r="AK32" s="6">
        <v>4.4000000000000004</v>
      </c>
      <c r="AL32" s="7">
        <v>4.4083333333333332</v>
      </c>
      <c r="AM32" s="4">
        <f t="shared" si="6"/>
        <v>3.2829393158350597</v>
      </c>
      <c r="AN32" s="4">
        <f t="shared" si="7"/>
        <v>3.4862495841178602</v>
      </c>
      <c r="AO32" s="9">
        <f t="shared" si="16"/>
        <v>586.05182310890859</v>
      </c>
      <c r="AP32" s="19">
        <v>200</v>
      </c>
    </row>
    <row r="33" spans="1:34">
      <c r="A33" t="s">
        <v>145</v>
      </c>
      <c r="H33" s="9"/>
      <c r="T33" s="3"/>
      <c r="U33" s="3"/>
      <c r="V33" s="3"/>
      <c r="W33" s="3"/>
      <c r="X33" s="3"/>
      <c r="AH33" s="23"/>
    </row>
    <row r="34" spans="1:34">
      <c r="A34" t="s">
        <v>146</v>
      </c>
      <c r="H34" s="9"/>
      <c r="T34" s="3"/>
      <c r="U34" s="3"/>
      <c r="V34" s="3"/>
      <c r="W34" s="3"/>
      <c r="X34" s="3"/>
      <c r="AH34" s="23"/>
    </row>
    <row r="35" spans="1:34">
      <c r="A35" s="1" t="s">
        <v>1176</v>
      </c>
      <c r="H35" s="9"/>
      <c r="AH35" s="23"/>
    </row>
    <row r="36" spans="1:34" ht="18">
      <c r="A36" s="165" t="s">
        <v>1177</v>
      </c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>
      <c r="A37" s="3"/>
      <c r="B37" s="24"/>
      <c r="C37" s="25" t="s">
        <v>1179</v>
      </c>
      <c r="D37" s="4"/>
      <c r="F37" s="26"/>
      <c r="G37" s="26"/>
      <c r="H37" s="9"/>
      <c r="I37" s="8"/>
      <c r="J37" s="8"/>
      <c r="K37" s="6"/>
    </row>
    <row r="38" spans="1:34">
      <c r="A38" s="3"/>
      <c r="B38" s="24"/>
      <c r="C38" s="7">
        <f>(+C13-+C29)/(+B13-+B29)</f>
        <v>1.4345614035087717E-2</v>
      </c>
      <c r="D38" s="4"/>
      <c r="F38" s="26"/>
      <c r="G38" s="27"/>
      <c r="H38" s="9"/>
      <c r="I38" s="8"/>
      <c r="J38" s="8"/>
      <c r="K38" s="6"/>
    </row>
    <row r="39" spans="1:34">
      <c r="A39" s="3"/>
      <c r="B39" s="24"/>
      <c r="C39" s="25"/>
      <c r="D39" s="4"/>
      <c r="F39" s="26"/>
      <c r="G39" s="27"/>
      <c r="H39" s="27"/>
      <c r="I39" s="8"/>
      <c r="J39" s="8"/>
      <c r="K39" s="6"/>
    </row>
    <row r="40" spans="1:34">
      <c r="A40" s="3"/>
      <c r="B40" s="24"/>
      <c r="C40" s="25"/>
      <c r="D40" s="4"/>
      <c r="F40" s="26"/>
      <c r="G40" s="27"/>
      <c r="H40" s="27"/>
      <c r="I40" s="8"/>
      <c r="J40" s="8"/>
      <c r="K40" s="6"/>
    </row>
    <row r="41" spans="1:34">
      <c r="A41" s="3"/>
      <c r="B41" s="24"/>
      <c r="C41" s="25"/>
      <c r="D41" s="4"/>
      <c r="F41" s="26"/>
      <c r="G41" s="27"/>
      <c r="H41" s="27"/>
      <c r="I41" s="8"/>
      <c r="J41" s="8"/>
      <c r="K41" s="6"/>
    </row>
    <row r="42" spans="1:34">
      <c r="A42" s="3"/>
      <c r="B42" s="28"/>
      <c r="C42" s="25"/>
      <c r="D42" s="4"/>
      <c r="F42" s="26"/>
      <c r="G42" s="27"/>
      <c r="H42" s="27"/>
      <c r="I42" s="8"/>
      <c r="J42" s="8"/>
      <c r="K42" s="6"/>
    </row>
    <row r="43" spans="1:34">
      <c r="A43" s="3"/>
      <c r="B43" s="28"/>
      <c r="C43" s="25"/>
      <c r="D43" s="4"/>
      <c r="F43" s="26"/>
      <c r="G43" s="27"/>
      <c r="H43" s="27"/>
      <c r="I43" s="8"/>
      <c r="J43" s="8"/>
      <c r="K43" s="6"/>
    </row>
    <row r="44" spans="1:34">
      <c r="A44" s="3"/>
      <c r="B44" s="28"/>
      <c r="C44" s="25"/>
      <c r="D44" s="4"/>
      <c r="F44" s="26"/>
      <c r="G44" s="27"/>
      <c r="H44" s="27"/>
      <c r="I44" s="8"/>
      <c r="J44" s="8"/>
      <c r="K44" s="6"/>
    </row>
    <row r="45" spans="1:34">
      <c r="A45" s="3"/>
      <c r="B45" s="28"/>
      <c r="C45" s="25"/>
      <c r="D45" s="4"/>
      <c r="F45" s="26"/>
      <c r="G45" s="27"/>
      <c r="H45" s="27"/>
      <c r="I45" s="8"/>
      <c r="J45" s="8"/>
      <c r="K45" s="6"/>
    </row>
    <row r="46" spans="1:34">
      <c r="B46" s="28"/>
      <c r="C46" s="25"/>
      <c r="D46" s="4"/>
      <c r="F46" s="26"/>
      <c r="G46" s="27"/>
      <c r="H46" s="27"/>
      <c r="I46" s="8"/>
      <c r="J46" s="8"/>
      <c r="K46" s="6"/>
    </row>
    <row r="47" spans="1:34">
      <c r="A47" s="3"/>
      <c r="B47" s="28"/>
      <c r="C47" s="25"/>
      <c r="D47" s="4"/>
      <c r="F47" s="26"/>
      <c r="G47" s="27"/>
      <c r="H47" s="27"/>
      <c r="I47" s="8"/>
      <c r="J47" s="8"/>
      <c r="K47" s="6"/>
    </row>
    <row r="48" spans="1:34">
      <c r="A48" s="3"/>
      <c r="B48" s="28"/>
      <c r="C48" s="25"/>
      <c r="D48" s="4"/>
      <c r="F48" s="26"/>
      <c r="G48" s="27"/>
      <c r="H48" s="27"/>
      <c r="I48" s="8"/>
      <c r="J48" s="8"/>
      <c r="K48" s="6"/>
    </row>
    <row r="49" spans="1:11">
      <c r="B49" s="28"/>
      <c r="C49" s="25"/>
      <c r="D49" s="4"/>
      <c r="F49" s="26"/>
      <c r="G49" s="27"/>
      <c r="H49" s="27"/>
      <c r="I49" s="8"/>
      <c r="J49" s="8"/>
      <c r="K49" s="6"/>
    </row>
    <row r="50" spans="1:11">
      <c r="A50" s="3"/>
      <c r="B50" s="28"/>
      <c r="C50" s="25"/>
      <c r="D50" s="4"/>
      <c r="F50" s="28"/>
      <c r="G50" s="28"/>
      <c r="H50" s="28"/>
      <c r="K50" s="6"/>
    </row>
    <row r="51" spans="1:11">
      <c r="A51" s="3"/>
      <c r="B51" s="28"/>
      <c r="C51" s="25"/>
      <c r="D51" s="4"/>
      <c r="F51" s="29"/>
      <c r="G51" s="29"/>
      <c r="H51" s="29"/>
      <c r="I51" s="8"/>
      <c r="J51" s="8"/>
      <c r="K51" s="6"/>
    </row>
    <row r="52" spans="1:11">
      <c r="A52" s="3"/>
      <c r="B52" s="28"/>
      <c r="C52" s="25"/>
      <c r="D52" s="4"/>
      <c r="F52" s="28"/>
      <c r="G52" s="28"/>
      <c r="H52" s="28"/>
      <c r="K52" s="6"/>
    </row>
    <row r="53" spans="1:11">
      <c r="A53" s="3"/>
      <c r="B53" s="28"/>
      <c r="C53" s="25"/>
      <c r="D53" s="4"/>
      <c r="F53" s="29"/>
      <c r="G53" s="29"/>
      <c r="H53" s="29"/>
      <c r="K53" s="6"/>
    </row>
    <row r="54" spans="1:11">
      <c r="A54" s="3"/>
      <c r="B54" s="28"/>
      <c r="C54" s="25"/>
      <c r="D54" s="4"/>
      <c r="F54" s="29"/>
      <c r="G54" s="29"/>
      <c r="H54" s="29"/>
      <c r="K54" s="6"/>
    </row>
    <row r="55" spans="1:11">
      <c r="A55" s="3"/>
      <c r="B55" s="28"/>
      <c r="C55" s="25"/>
      <c r="D55" s="4"/>
      <c r="F55" s="28"/>
      <c r="G55" s="28"/>
      <c r="H55" s="28"/>
      <c r="K55" s="6"/>
    </row>
    <row r="56" spans="1:11">
      <c r="A56" s="3"/>
      <c r="B56" s="28"/>
      <c r="C56" s="25"/>
      <c r="D56" s="4"/>
      <c r="F56" s="29"/>
      <c r="G56" s="29"/>
      <c r="H56" s="29"/>
      <c r="K56" s="6"/>
    </row>
    <row r="57" spans="1:11">
      <c r="A57" s="3"/>
      <c r="B57" s="28"/>
      <c r="C57" s="25"/>
      <c r="D57" s="4"/>
      <c r="F57" s="29"/>
      <c r="G57" s="29"/>
      <c r="H57" s="29"/>
      <c r="K57" s="6"/>
    </row>
    <row r="58" spans="1:11">
      <c r="B58" s="28"/>
      <c r="C58" s="25"/>
      <c r="D58" s="4"/>
    </row>
    <row r="59" spans="1:11">
      <c r="B59" s="28"/>
      <c r="C59" s="25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6"/>
  <sheetViews>
    <sheetView topLeftCell="A3" zoomScale="87" zoomScaleNormal="87" workbookViewId="0">
      <selection activeCell="W3" sqref="W3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0" width="19.6640625" style="1" customWidth="1"/>
    <col min="11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7" width="9.6640625" style="1"/>
    <col min="18" max="18" width="12.6640625" style="1" customWidth="1"/>
    <col min="19" max="19" width="9.6640625" style="1"/>
    <col min="20" max="20" width="12.21875" style="1" customWidth="1"/>
    <col min="21" max="16384" width="9.6640625" style="1"/>
  </cols>
  <sheetData>
    <row r="1" spans="1:20" ht="29.1" customHeight="1">
      <c r="A1" s="376" t="s">
        <v>85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J1" s="224"/>
      <c r="K1" s="221" t="s">
        <v>2120</v>
      </c>
      <c r="L1" s="224"/>
      <c r="M1" s="224"/>
      <c r="N1" s="224"/>
      <c r="O1" s="224"/>
      <c r="P1" s="224"/>
    </row>
    <row r="2" spans="1:20" ht="15.95" customHeight="1">
      <c r="A2" s="376"/>
      <c r="B2" s="221"/>
      <c r="C2" s="222"/>
      <c r="D2" s="223"/>
      <c r="E2" s="223"/>
      <c r="F2" s="383">
        <f>(+H$3-H$4)*F$4/2</f>
        <v>4.725E-2</v>
      </c>
      <c r="G2" s="384">
        <f>(+I$4-I$3)*G$4/2</f>
        <v>0.17219999999999999</v>
      </c>
      <c r="H2" s="223"/>
      <c r="I2" s="223"/>
      <c r="J2" s="224"/>
      <c r="K2" s="229">
        <f>Parameters!Z20</f>
        <v>0.54310433446754847</v>
      </c>
      <c r="L2" s="224"/>
      <c r="M2" s="224"/>
      <c r="N2" s="224"/>
      <c r="O2" s="224"/>
      <c r="P2" s="224"/>
    </row>
    <row r="3" spans="1:20" ht="15.95" customHeight="1">
      <c r="A3" s="376"/>
      <c r="B3" s="221"/>
      <c r="C3" s="222"/>
      <c r="D3" s="223"/>
      <c r="E3" s="223"/>
      <c r="F3" s="383">
        <f>F4/(2*(+H3-H4))</f>
        <v>1.89E-3</v>
      </c>
      <c r="G3" s="384">
        <f>G4/(2*(+I4-I3))</f>
        <v>1.6006097560975613E-4</v>
      </c>
      <c r="H3" s="221">
        <v>22</v>
      </c>
      <c r="I3" s="321">
        <v>24</v>
      </c>
      <c r="J3" s="224"/>
      <c r="L3" s="224"/>
      <c r="M3" s="224"/>
      <c r="N3" s="224"/>
      <c r="O3" s="224"/>
      <c r="P3" s="224"/>
    </row>
    <row r="4" spans="1:20" ht="15.75">
      <c r="A4" s="221"/>
      <c r="B4" s="221"/>
      <c r="C4" s="221"/>
      <c r="D4" s="228">
        <f>Parameters!G20</f>
        <v>3.0428240740740742E-2</v>
      </c>
      <c r="E4" s="229">
        <f>D4*1440</f>
        <v>43.81666666666667</v>
      </c>
      <c r="F4" s="230">
        <v>1.89E-2</v>
      </c>
      <c r="G4" s="230">
        <v>1.0500000000000001E-2</v>
      </c>
      <c r="H4" s="221">
        <v>17</v>
      </c>
      <c r="I4" s="321">
        <v>56.8</v>
      </c>
      <c r="J4" s="231"/>
      <c r="K4" s="224"/>
      <c r="L4" s="224"/>
      <c r="M4" s="224"/>
      <c r="N4" s="224"/>
      <c r="O4" s="224"/>
      <c r="P4" s="224"/>
    </row>
    <row r="5" spans="1:20" ht="15.75">
      <c r="A5" s="221"/>
      <c r="B5" s="221"/>
      <c r="C5" s="221"/>
      <c r="D5" s="228"/>
      <c r="E5" s="221">
        <f>E4*60</f>
        <v>2629</v>
      </c>
      <c r="F5" s="230">
        <v>9.1E-4</v>
      </c>
      <c r="G5" s="230">
        <v>5.1000000000000004E-4</v>
      </c>
      <c r="H5" s="221">
        <v>15</v>
      </c>
      <c r="I5" s="321">
        <v>76.7</v>
      </c>
      <c r="J5" s="231"/>
      <c r="K5" s="224"/>
      <c r="L5" s="224"/>
      <c r="M5" s="224"/>
      <c r="N5" s="224"/>
      <c r="O5" s="224"/>
      <c r="P5" s="224"/>
    </row>
    <row r="6" spans="1:20" ht="62.25" customHeight="1">
      <c r="A6" s="232" t="s">
        <v>70</v>
      </c>
      <c r="B6" s="232" t="s">
        <v>1970</v>
      </c>
      <c r="C6" s="232" t="s">
        <v>2114</v>
      </c>
      <c r="D6" s="232" t="s">
        <v>1971</v>
      </c>
      <c r="E6" s="232" t="s">
        <v>1972</v>
      </c>
      <c r="F6" s="411" t="s">
        <v>152</v>
      </c>
      <c r="G6" s="232" t="s">
        <v>70</v>
      </c>
      <c r="H6" s="377" t="s">
        <v>735</v>
      </c>
      <c r="I6" s="377" t="s">
        <v>428</v>
      </c>
      <c r="J6" s="377" t="s">
        <v>429</v>
      </c>
      <c r="K6" s="378" t="s">
        <v>430</v>
      </c>
      <c r="L6" s="378" t="s">
        <v>431</v>
      </c>
      <c r="M6" s="377" t="s">
        <v>432</v>
      </c>
      <c r="N6" s="378" t="s">
        <v>433</v>
      </c>
      <c r="O6" s="378" t="s">
        <v>434</v>
      </c>
      <c r="P6" s="379" t="s">
        <v>1180</v>
      </c>
      <c r="Q6" s="349"/>
      <c r="S6" s="233" t="s">
        <v>70</v>
      </c>
      <c r="T6" s="411" t="s">
        <v>152</v>
      </c>
    </row>
    <row r="7" spans="1:20">
      <c r="A7" s="224">
        <v>1</v>
      </c>
      <c r="B7" s="224"/>
      <c r="C7" s="224"/>
      <c r="D7" s="224"/>
      <c r="E7" s="224"/>
      <c r="F7" s="291"/>
      <c r="G7" s="224">
        <v>1</v>
      </c>
      <c r="H7" s="224"/>
      <c r="I7" s="224"/>
      <c r="J7" s="224"/>
      <c r="K7" s="224"/>
      <c r="L7" s="224"/>
      <c r="M7" s="224"/>
      <c r="N7" s="224"/>
      <c r="O7" s="224"/>
      <c r="P7" s="224"/>
      <c r="S7" s="224">
        <v>1</v>
      </c>
      <c r="T7" s="291"/>
    </row>
    <row r="8" spans="1:20">
      <c r="A8" s="224">
        <v>2</v>
      </c>
      <c r="B8" s="224" t="s">
        <v>81</v>
      </c>
      <c r="C8" s="224"/>
      <c r="D8" s="224"/>
      <c r="E8" s="224"/>
      <c r="F8" s="291"/>
      <c r="G8" s="224">
        <v>2</v>
      </c>
      <c r="H8" s="224"/>
      <c r="I8" s="224"/>
      <c r="J8" s="224"/>
      <c r="K8" s="224"/>
      <c r="L8" s="224"/>
      <c r="M8" s="224"/>
      <c r="N8" s="224"/>
      <c r="O8" s="224"/>
      <c r="P8" s="224"/>
      <c r="S8" s="224">
        <v>2</v>
      </c>
      <c r="T8" s="291"/>
    </row>
    <row r="9" spans="1:20">
      <c r="A9" s="224">
        <v>3</v>
      </c>
      <c r="B9" s="380" t="s">
        <v>81</v>
      </c>
      <c r="C9" s="231"/>
      <c r="D9" s="231"/>
      <c r="E9" s="246">
        <f>'10K'!$E9*(1-$K$2)+H.Marathon!$E9*$K$2</f>
        <v>0.51213096110608702</v>
      </c>
      <c r="F9" s="291"/>
      <c r="G9" s="224">
        <v>3</v>
      </c>
      <c r="H9" s="224"/>
      <c r="I9" s="224"/>
      <c r="J9" s="224"/>
      <c r="K9" s="224"/>
      <c r="L9" s="224"/>
      <c r="M9" s="224"/>
      <c r="N9" s="224"/>
      <c r="O9" s="224"/>
      <c r="P9" s="224"/>
      <c r="S9" s="224">
        <v>3</v>
      </c>
      <c r="T9" s="291"/>
    </row>
    <row r="10" spans="1:20">
      <c r="A10" s="224">
        <v>4</v>
      </c>
      <c r="B10" s="248"/>
      <c r="C10" s="231"/>
      <c r="D10" s="231">
        <f t="shared" ref="D10:D41" si="0">E$4/E10</f>
        <v>78.929710482023538</v>
      </c>
      <c r="E10" s="246">
        <f>'10K'!$E10*(1-$K$2)+H.Marathon!$E10*$K$2</f>
        <v>0.55513527667944551</v>
      </c>
      <c r="F10" s="244"/>
      <c r="G10" s="224">
        <v>4</v>
      </c>
      <c r="H10" s="224"/>
      <c r="I10" s="224"/>
      <c r="J10" s="224"/>
      <c r="K10" s="224"/>
      <c r="L10" s="224"/>
      <c r="M10" s="224"/>
      <c r="N10" s="224"/>
      <c r="O10" s="224"/>
      <c r="P10" s="224"/>
      <c r="S10" s="224">
        <v>4</v>
      </c>
      <c r="T10" s="244"/>
    </row>
    <row r="11" spans="1:20">
      <c r="A11" s="224">
        <v>5</v>
      </c>
      <c r="B11" s="248"/>
      <c r="C11" s="231"/>
      <c r="D11" s="231">
        <f t="shared" si="0"/>
        <v>73.490479899862621</v>
      </c>
      <c r="E11" s="246">
        <f>'10K'!$E11*(1-$K$2)+H.Marathon!$E11*$K$2</f>
        <v>0.59622235051901706</v>
      </c>
      <c r="F11" s="244"/>
      <c r="G11" s="224">
        <v>5</v>
      </c>
      <c r="H11" s="224"/>
      <c r="I11" s="224"/>
      <c r="J11" s="224"/>
      <c r="K11" s="224"/>
      <c r="L11" s="224"/>
      <c r="M11" s="224"/>
      <c r="N11" s="224"/>
      <c r="O11" s="224"/>
      <c r="P11" s="224"/>
      <c r="S11" s="224">
        <v>5</v>
      </c>
      <c r="T11" s="244"/>
    </row>
    <row r="12" spans="1:20">
      <c r="A12" s="224">
        <v>6</v>
      </c>
      <c r="B12" s="248"/>
      <c r="C12" s="231"/>
      <c r="D12" s="231">
        <f t="shared" si="0"/>
        <v>68.969017279893464</v>
      </c>
      <c r="E12" s="246">
        <f>'10K'!$E12*(1-$K$2)+H.Marathon!$E12*$K$2</f>
        <v>0.63530942435858861</v>
      </c>
      <c r="F12" s="244"/>
      <c r="G12" s="224">
        <v>6</v>
      </c>
      <c r="H12" s="280"/>
      <c r="I12" s="224"/>
      <c r="J12" s="224"/>
      <c r="K12" s="224"/>
      <c r="L12" s="224"/>
      <c r="M12" s="224"/>
      <c r="N12" s="224"/>
      <c r="O12" s="224"/>
      <c r="P12" s="224"/>
      <c r="S12" s="224">
        <v>6</v>
      </c>
      <c r="T12" s="244"/>
    </row>
    <row r="13" spans="1:20">
      <c r="A13" s="224">
        <v>7</v>
      </c>
      <c r="B13" s="248">
        <v>5.7349537037037039E-2</v>
      </c>
      <c r="C13" s="231">
        <f t="shared" ref="C13:C74" si="1">B13*1440</f>
        <v>82.583333333333343</v>
      </c>
      <c r="D13" s="231">
        <f t="shared" si="0"/>
        <v>65.151642718413001</v>
      </c>
      <c r="E13" s="246">
        <f>'10K'!$E13*(1-$K$2)+H.Marathon!$E13*$K$2</f>
        <v>0.67253356689781985</v>
      </c>
      <c r="F13" s="244">
        <f>100*(D13/C13)</f>
        <v>78.89199925539414</v>
      </c>
      <c r="G13" s="224">
        <v>7</v>
      </c>
      <c r="H13" s="347" t="s">
        <v>1809</v>
      </c>
      <c r="I13" s="270" t="s">
        <v>1181</v>
      </c>
      <c r="J13" s="270" t="s">
        <v>1880</v>
      </c>
      <c r="K13" s="270" t="s">
        <v>241</v>
      </c>
      <c r="L13" s="271">
        <v>39841</v>
      </c>
      <c r="M13" s="270" t="s">
        <v>1881</v>
      </c>
      <c r="N13" s="270" t="s">
        <v>1882</v>
      </c>
      <c r="O13" s="372">
        <v>42698</v>
      </c>
      <c r="P13" s="267"/>
      <c r="S13" s="224">
        <v>7</v>
      </c>
      <c r="T13" s="244">
        <v>78.89199925539414</v>
      </c>
    </row>
    <row r="14" spans="1:20">
      <c r="A14" s="224">
        <v>8</v>
      </c>
      <c r="B14" s="248">
        <v>5.2685185185185182E-2</v>
      </c>
      <c r="C14" s="231">
        <f t="shared" si="1"/>
        <v>75.86666666666666</v>
      </c>
      <c r="D14" s="231">
        <f t="shared" si="0"/>
        <v>61.905891396960079</v>
      </c>
      <c r="E14" s="246">
        <f>'10K'!$E14*(1-$K$2)+H.Marathon!$E14*$K$2</f>
        <v>0.70779477813671077</v>
      </c>
      <c r="F14" s="244">
        <f>100*(D14/C14)</f>
        <v>81.598275127803277</v>
      </c>
      <c r="G14" s="224">
        <v>8</v>
      </c>
      <c r="H14" s="347" t="s">
        <v>1810</v>
      </c>
      <c r="I14" s="270" t="s">
        <v>513</v>
      </c>
      <c r="J14" s="270" t="s">
        <v>514</v>
      </c>
      <c r="K14" s="270" t="s">
        <v>241</v>
      </c>
      <c r="L14" s="271">
        <v>38897</v>
      </c>
      <c r="M14" s="267"/>
      <c r="N14" s="270" t="s">
        <v>1883</v>
      </c>
      <c r="O14" s="372">
        <v>42000</v>
      </c>
      <c r="P14" s="267"/>
      <c r="S14" s="224">
        <v>8</v>
      </c>
      <c r="T14" s="244">
        <v>81.598275127803277</v>
      </c>
    </row>
    <row r="15" spans="1:20">
      <c r="A15" s="224">
        <v>9</v>
      </c>
      <c r="B15" s="248">
        <v>5.3981481481481484E-2</v>
      </c>
      <c r="C15" s="231">
        <f t="shared" si="1"/>
        <v>77.733333333333334</v>
      </c>
      <c r="D15" s="231">
        <f t="shared" si="0"/>
        <v>59.123691001766957</v>
      </c>
      <c r="E15" s="246">
        <f>'10K'!$E15*(1-$K$2)+H.Marathon!$E15*$K$2</f>
        <v>0.74110167894215495</v>
      </c>
      <c r="F15" s="244"/>
      <c r="G15" s="224">
        <v>9</v>
      </c>
      <c r="H15" s="347" t="s">
        <v>1811</v>
      </c>
      <c r="I15" s="270" t="s">
        <v>513</v>
      </c>
      <c r="J15" s="270" t="s">
        <v>514</v>
      </c>
      <c r="K15" s="270" t="s">
        <v>241</v>
      </c>
      <c r="L15" s="271">
        <v>38897</v>
      </c>
      <c r="M15" s="267"/>
      <c r="N15" s="270" t="s">
        <v>1883</v>
      </c>
      <c r="O15" s="372">
        <v>42364</v>
      </c>
      <c r="P15" s="267"/>
      <c r="S15" s="224">
        <v>9</v>
      </c>
      <c r="T15" s="244"/>
    </row>
    <row r="16" spans="1:20">
      <c r="A16" s="224">
        <v>10</v>
      </c>
      <c r="B16" s="248">
        <v>5.0219907407407408E-2</v>
      </c>
      <c r="C16" s="231">
        <f t="shared" si="1"/>
        <v>72.316666666666663</v>
      </c>
      <c r="D16" s="231">
        <f t="shared" si="0"/>
        <v>56.72060711841813</v>
      </c>
      <c r="E16" s="246">
        <f>'10K'!$E16*(1-$K$2)+H.Marathon!$E16*$K$2</f>
        <v>0.77249995888070577</v>
      </c>
      <c r="F16" s="244"/>
      <c r="G16" s="224">
        <v>10</v>
      </c>
      <c r="H16" s="347" t="s">
        <v>1812</v>
      </c>
      <c r="I16" s="270" t="s">
        <v>1486</v>
      </c>
      <c r="J16" s="270" t="s">
        <v>1487</v>
      </c>
      <c r="K16" s="270" t="s">
        <v>241</v>
      </c>
      <c r="L16" s="271">
        <v>38514</v>
      </c>
      <c r="M16" s="267" t="s">
        <v>1884</v>
      </c>
      <c r="N16" s="270" t="s">
        <v>1885</v>
      </c>
      <c r="O16" s="372">
        <v>42441</v>
      </c>
      <c r="P16" s="267"/>
      <c r="S16" s="224">
        <v>10</v>
      </c>
      <c r="T16" s="244"/>
    </row>
    <row r="17" spans="1:20">
      <c r="A17" s="224">
        <v>11</v>
      </c>
      <c r="B17" s="248"/>
      <c r="C17" s="231"/>
      <c r="D17" s="231">
        <f t="shared" si="0"/>
        <v>54.638655083325553</v>
      </c>
      <c r="E17" s="246">
        <f>'10K'!$E17*(1-$K$2)+H.Marathon!$E17*$K$2</f>
        <v>0.80193530751891617</v>
      </c>
      <c r="F17" s="244"/>
      <c r="G17" s="224">
        <v>11</v>
      </c>
      <c r="H17" s="381"/>
      <c r="I17" s="224"/>
      <c r="J17" s="224"/>
      <c r="K17" s="224"/>
      <c r="L17" s="224"/>
      <c r="M17" s="224"/>
      <c r="N17" s="224"/>
      <c r="O17" s="373"/>
      <c r="P17" s="224"/>
      <c r="S17" s="224">
        <v>11</v>
      </c>
      <c r="T17" s="244"/>
    </row>
    <row r="18" spans="1:20">
      <c r="A18" s="224">
        <v>12</v>
      </c>
      <c r="B18" s="248">
        <v>4.5138888888888888E-2</v>
      </c>
      <c r="C18" s="231">
        <f t="shared" si="1"/>
        <v>65</v>
      </c>
      <c r="D18" s="231">
        <f t="shared" si="0"/>
        <v>52.825403457235979</v>
      </c>
      <c r="E18" s="246">
        <f>'10K'!$E18*(1-$K$2)+H.Marathon!$E18*$K$2</f>
        <v>0.8294620352902331</v>
      </c>
      <c r="F18" s="244">
        <f>100*(D18/C18)</f>
        <v>81.269851472670737</v>
      </c>
      <c r="G18" s="224">
        <v>12</v>
      </c>
      <c r="H18" s="347" t="s">
        <v>1813</v>
      </c>
      <c r="I18" s="270" t="s">
        <v>1886</v>
      </c>
      <c r="J18" s="270" t="s">
        <v>1887</v>
      </c>
      <c r="K18" s="270" t="s">
        <v>241</v>
      </c>
      <c r="L18" s="271">
        <v>37912</v>
      </c>
      <c r="M18" s="267"/>
      <c r="N18" s="270" t="s">
        <v>1888</v>
      </c>
      <c r="O18" s="372">
        <v>42379</v>
      </c>
      <c r="P18" s="267"/>
      <c r="S18" s="224">
        <v>12</v>
      </c>
      <c r="T18" s="244">
        <v>81.269851472670737</v>
      </c>
    </row>
    <row r="19" spans="1:20">
      <c r="A19" s="224">
        <v>13</v>
      </c>
      <c r="B19" s="248">
        <v>4.2361111111111113E-2</v>
      </c>
      <c r="C19" s="231">
        <f t="shared" si="1"/>
        <v>61</v>
      </c>
      <c r="D19" s="231">
        <f t="shared" si="0"/>
        <v>51.248753630924405</v>
      </c>
      <c r="E19" s="246">
        <f>'10K'!$E19*(1-$K$2)+H.Marathon!$E19*$K$2</f>
        <v>0.85498014219465657</v>
      </c>
      <c r="F19" s="244">
        <f t="shared" ref="F19:F50" si="2">100*(D19/C19)</f>
        <v>84.01435021463017</v>
      </c>
      <c r="G19" s="224">
        <v>13</v>
      </c>
      <c r="H19" s="347" t="s">
        <v>1814</v>
      </c>
      <c r="I19" s="270" t="s">
        <v>1889</v>
      </c>
      <c r="J19" s="270" t="s">
        <v>1890</v>
      </c>
      <c r="K19" s="270" t="s">
        <v>241</v>
      </c>
      <c r="L19" s="271">
        <v>23526</v>
      </c>
      <c r="M19" s="267"/>
      <c r="N19" s="270" t="s">
        <v>1891</v>
      </c>
      <c r="O19" s="372">
        <v>28310</v>
      </c>
      <c r="P19" s="267"/>
      <c r="S19" s="224">
        <v>13</v>
      </c>
      <c r="T19" s="244">
        <v>84.01435021463017</v>
      </c>
    </row>
    <row r="20" spans="1:20">
      <c r="A20" s="224">
        <v>14</v>
      </c>
      <c r="B20" s="248">
        <v>3.8553240740740742E-2</v>
      </c>
      <c r="C20" s="231">
        <f t="shared" si="1"/>
        <v>55.516666666666666</v>
      </c>
      <c r="D20" s="231">
        <f t="shared" si="0"/>
        <v>49.871595633140295</v>
      </c>
      <c r="E20" s="246">
        <f>'10K'!$E20*(1-$K$2)+H.Marathon!$E20*$K$2</f>
        <v>0.87858962823218656</v>
      </c>
      <c r="F20" s="244">
        <f t="shared" si="2"/>
        <v>89.83175436770992</v>
      </c>
      <c r="G20" s="224">
        <v>14</v>
      </c>
      <c r="H20" s="347" t="s">
        <v>1815</v>
      </c>
      <c r="I20" s="270" t="s">
        <v>1501</v>
      </c>
      <c r="J20" s="270" t="s">
        <v>1502</v>
      </c>
      <c r="K20" s="270" t="s">
        <v>241</v>
      </c>
      <c r="L20" s="271">
        <v>23929</v>
      </c>
      <c r="M20" s="267"/>
      <c r="N20" s="270" t="s">
        <v>1892</v>
      </c>
      <c r="O20" s="372">
        <v>29387</v>
      </c>
      <c r="P20" s="267"/>
      <c r="S20" s="224">
        <v>14</v>
      </c>
      <c r="T20" s="244">
        <v>89.83175436770992</v>
      </c>
    </row>
    <row r="21" spans="1:20">
      <c r="A21" s="224">
        <v>15</v>
      </c>
      <c r="B21" s="248">
        <v>3.5486111111111114E-2</v>
      </c>
      <c r="C21" s="231">
        <f t="shared" si="1"/>
        <v>51.1</v>
      </c>
      <c r="D21" s="231">
        <f t="shared" si="0"/>
        <v>48.66994216293962</v>
      </c>
      <c r="E21" s="246">
        <f>'10K'!$E21*(1-$K$2)+H.Marathon!$E21*$K$2</f>
        <v>0.90028187253592951</v>
      </c>
      <c r="F21" s="244">
        <f t="shared" si="2"/>
        <v>95.244505211232138</v>
      </c>
      <c r="G21" s="224">
        <v>15</v>
      </c>
      <c r="H21" s="347" t="s">
        <v>1816</v>
      </c>
      <c r="I21" s="270" t="s">
        <v>530</v>
      </c>
      <c r="J21" s="270" t="s">
        <v>531</v>
      </c>
      <c r="K21" s="270" t="s">
        <v>288</v>
      </c>
      <c r="L21" s="271">
        <v>31963</v>
      </c>
      <c r="M21" s="267"/>
      <c r="N21" s="270" t="s">
        <v>1893</v>
      </c>
      <c r="O21" s="372">
        <v>37577</v>
      </c>
      <c r="P21" s="267"/>
      <c r="S21" s="224">
        <v>15</v>
      </c>
      <c r="T21" s="244">
        <v>95.244505211232138</v>
      </c>
    </row>
    <row r="22" spans="1:20">
      <c r="A22" s="224">
        <v>16</v>
      </c>
      <c r="B22" s="248">
        <v>3.5868055555555556E-2</v>
      </c>
      <c r="C22" s="231">
        <f t="shared" si="1"/>
        <v>51.65</v>
      </c>
      <c r="D22" s="231">
        <f t="shared" si="0"/>
        <v>47.604509269421101</v>
      </c>
      <c r="E22" s="246">
        <f>'10K'!$E22*(1-$K$2)+H.Marathon!$E22*$K$2</f>
        <v>0.92043101250520476</v>
      </c>
      <c r="F22" s="244">
        <f t="shared" si="2"/>
        <v>92.16749132511346</v>
      </c>
      <c r="G22" s="224">
        <v>16</v>
      </c>
      <c r="H22" s="347" t="s">
        <v>1817</v>
      </c>
      <c r="I22" s="270" t="s">
        <v>1497</v>
      </c>
      <c r="J22" s="270" t="s">
        <v>1498</v>
      </c>
      <c r="K22" s="270" t="s">
        <v>1499</v>
      </c>
      <c r="L22" s="271">
        <v>30468</v>
      </c>
      <c r="M22" s="267"/>
      <c r="N22" s="270" t="s">
        <v>1894</v>
      </c>
      <c r="O22" s="372">
        <v>36653</v>
      </c>
      <c r="P22" s="267"/>
      <c r="S22" s="224">
        <v>16</v>
      </c>
      <c r="T22" s="244">
        <v>92.16749132511346</v>
      </c>
    </row>
    <row r="23" spans="1:20">
      <c r="A23" s="224">
        <v>17</v>
      </c>
      <c r="B23" s="248">
        <v>3.4189814814814812E-2</v>
      </c>
      <c r="C23" s="231">
        <f t="shared" si="1"/>
        <v>49.233333333333327</v>
      </c>
      <c r="D23" s="231">
        <f t="shared" si="0"/>
        <v>46.611638076779769</v>
      </c>
      <c r="E23" s="246">
        <f>'10K'!$E23*(1-$K$2)+H.Marathon!$E23*$K$2</f>
        <v>0.94003704814001265</v>
      </c>
      <c r="F23" s="244">
        <f t="shared" si="2"/>
        <v>94.674958856018492</v>
      </c>
      <c r="G23" s="224">
        <v>17</v>
      </c>
      <c r="H23" s="347" t="s">
        <v>970</v>
      </c>
      <c r="I23" s="270" t="s">
        <v>537</v>
      </c>
      <c r="J23" s="270" t="s">
        <v>538</v>
      </c>
      <c r="K23" s="270" t="s">
        <v>268</v>
      </c>
      <c r="L23" s="271">
        <v>34251</v>
      </c>
      <c r="M23" s="267"/>
      <c r="N23" s="270" t="s">
        <v>1895</v>
      </c>
      <c r="O23" s="372">
        <v>40677</v>
      </c>
      <c r="P23" s="267"/>
      <c r="S23" s="224">
        <v>17</v>
      </c>
      <c r="T23" s="244">
        <v>94.674958856018492</v>
      </c>
    </row>
    <row r="24" spans="1:20">
      <c r="A24" s="224">
        <v>18</v>
      </c>
      <c r="B24" s="248">
        <v>3.4560185185185187E-2</v>
      </c>
      <c r="C24" s="231">
        <f t="shared" si="1"/>
        <v>49.766666666666666</v>
      </c>
      <c r="D24" s="231">
        <f t="shared" si="0"/>
        <v>45.700677936750289</v>
      </c>
      <c r="E24" s="246">
        <f>'10K'!$E24*(1-$K$2)+H.Marathon!$E24*$K$2</f>
        <v>0.95877498201030864</v>
      </c>
      <c r="F24" s="244">
        <f t="shared" si="2"/>
        <v>91.829895385298641</v>
      </c>
      <c r="G24" s="224">
        <v>18</v>
      </c>
      <c r="H24" s="347" t="s">
        <v>1818</v>
      </c>
      <c r="I24" s="270" t="s">
        <v>1896</v>
      </c>
      <c r="J24" s="270" t="s">
        <v>1897</v>
      </c>
      <c r="K24" s="270" t="s">
        <v>272</v>
      </c>
      <c r="L24" s="271">
        <v>35867</v>
      </c>
      <c r="M24" s="267"/>
      <c r="N24" s="270" t="s">
        <v>1898</v>
      </c>
      <c r="O24" s="372">
        <v>42491</v>
      </c>
      <c r="P24" s="267"/>
      <c r="S24" s="224">
        <v>18</v>
      </c>
      <c r="T24" s="244">
        <v>91.829895385298641</v>
      </c>
    </row>
    <row r="25" spans="1:20">
      <c r="A25" s="224">
        <v>19</v>
      </c>
      <c r="B25" s="248">
        <v>3.3715277777777775E-2</v>
      </c>
      <c r="C25" s="231">
        <f t="shared" si="1"/>
        <v>48.55</v>
      </c>
      <c r="D25" s="231">
        <f t="shared" si="0"/>
        <v>44.9043988363591</v>
      </c>
      <c r="E25" s="246">
        <f>'10K'!$E25*(1-$K$2)+H.Marathon!$E25*$K$2</f>
        <v>0.97577671235158159</v>
      </c>
      <c r="F25" s="244">
        <f t="shared" si="2"/>
        <v>92.491037767989909</v>
      </c>
      <c r="G25" s="224">
        <v>19</v>
      </c>
      <c r="H25" s="347" t="s">
        <v>1268</v>
      </c>
      <c r="I25" s="270" t="s">
        <v>1899</v>
      </c>
      <c r="J25" s="270" t="s">
        <v>1900</v>
      </c>
      <c r="K25" s="270" t="s">
        <v>272</v>
      </c>
      <c r="L25" s="271">
        <v>33619</v>
      </c>
      <c r="M25" s="267"/>
      <c r="N25" s="270" t="s">
        <v>1893</v>
      </c>
      <c r="O25" s="372">
        <v>40867</v>
      </c>
      <c r="P25" s="267"/>
      <c r="S25" s="224">
        <v>19</v>
      </c>
      <c r="T25" s="244">
        <v>92.491037767989909</v>
      </c>
    </row>
    <row r="26" spans="1:20">
      <c r="A26" s="224">
        <v>20</v>
      </c>
      <c r="B26" s="248">
        <v>3.4097222222222223E-2</v>
      </c>
      <c r="C26" s="231">
        <f t="shared" si="1"/>
        <v>49.1</v>
      </c>
      <c r="D26" s="231">
        <f t="shared" si="0"/>
        <v>44.295246488124064</v>
      </c>
      <c r="E26" s="246">
        <f>'10K'!$E26*(1-$K$2)+H.Marathon!$E26*$K$2</f>
        <v>0.98919568442664152</v>
      </c>
      <c r="F26" s="244">
        <f t="shared" si="2"/>
        <v>90.214351299641677</v>
      </c>
      <c r="G26" s="224">
        <v>20</v>
      </c>
      <c r="H26" s="347" t="s">
        <v>1819</v>
      </c>
      <c r="I26" s="270" t="s">
        <v>1901</v>
      </c>
      <c r="J26" s="270" t="s">
        <v>1902</v>
      </c>
      <c r="K26" s="270" t="s">
        <v>272</v>
      </c>
      <c r="L26" s="271">
        <v>30573</v>
      </c>
      <c r="M26" s="267"/>
      <c r="N26" s="270" t="s">
        <v>1893</v>
      </c>
      <c r="O26" s="372">
        <v>37941</v>
      </c>
      <c r="P26" s="267"/>
      <c r="S26" s="224">
        <v>20</v>
      </c>
      <c r="T26" s="244">
        <v>90.214351299641677</v>
      </c>
    </row>
    <row r="27" spans="1:20" ht="15.75">
      <c r="A27" s="224">
        <v>21</v>
      </c>
      <c r="B27" s="248">
        <v>3.0787037037037036E-2</v>
      </c>
      <c r="C27" s="231">
        <f t="shared" si="1"/>
        <v>44.333333333333336</v>
      </c>
      <c r="D27" s="231">
        <f t="shared" si="0"/>
        <v>43.935937645454246</v>
      </c>
      <c r="E27" s="246">
        <f>'10K'!$E27*(1-$K$2)+H.Marathon!$E27*$K$2</f>
        <v>0.99728534349829867</v>
      </c>
      <c r="F27" s="244">
        <f t="shared" si="2"/>
        <v>99.1036187491449</v>
      </c>
      <c r="G27" s="224">
        <v>21</v>
      </c>
      <c r="H27" s="347" t="s">
        <v>1820</v>
      </c>
      <c r="I27" s="270" t="s">
        <v>1044</v>
      </c>
      <c r="J27" s="270" t="s">
        <v>1045</v>
      </c>
      <c r="K27" s="270" t="s">
        <v>272</v>
      </c>
      <c r="L27" s="271">
        <v>35874</v>
      </c>
      <c r="M27" s="267"/>
      <c r="N27" s="308" t="s">
        <v>1903</v>
      </c>
      <c r="O27" s="372">
        <v>43786</v>
      </c>
      <c r="P27" s="267"/>
      <c r="S27" s="224">
        <v>21</v>
      </c>
      <c r="T27" s="244">
        <v>99.1036187491449</v>
      </c>
    </row>
    <row r="28" spans="1:20">
      <c r="A28" s="224">
        <v>22</v>
      </c>
      <c r="B28" s="248">
        <v>3.349537037037037E-2</v>
      </c>
      <c r="C28" s="231">
        <f t="shared" si="1"/>
        <v>48.233333333333334</v>
      </c>
      <c r="D28" s="231">
        <f t="shared" si="0"/>
        <v>43.81666666666667</v>
      </c>
      <c r="E28" s="246">
        <f>'10K'!$E28*(1-$K$2)+H.Marathon!$E28*$K$2</f>
        <v>1</v>
      </c>
      <c r="F28" s="244">
        <f t="shared" si="2"/>
        <v>90.843123704215628</v>
      </c>
      <c r="G28" s="224">
        <v>22</v>
      </c>
      <c r="H28" s="347" t="s">
        <v>1821</v>
      </c>
      <c r="I28" s="270" t="s">
        <v>546</v>
      </c>
      <c r="J28" s="270" t="s">
        <v>547</v>
      </c>
      <c r="K28" s="270" t="s">
        <v>268</v>
      </c>
      <c r="L28" s="271">
        <v>34239</v>
      </c>
      <c r="M28" s="267"/>
      <c r="N28" s="270" t="s">
        <v>786</v>
      </c>
      <c r="O28" s="372">
        <v>42455</v>
      </c>
      <c r="P28" s="267"/>
      <c r="S28" s="224">
        <v>22</v>
      </c>
      <c r="T28" s="244">
        <v>90.843123704215628</v>
      </c>
    </row>
    <row r="29" spans="1:20" ht="15.75">
      <c r="A29" s="224">
        <v>23</v>
      </c>
      <c r="B29" s="248">
        <v>3.0787037037037036E-2</v>
      </c>
      <c r="C29" s="231">
        <f t="shared" si="1"/>
        <v>44.333333333333336</v>
      </c>
      <c r="D29" s="231">
        <f t="shared" si="0"/>
        <v>43.81666666666667</v>
      </c>
      <c r="E29" s="246">
        <f>'10K'!$E29*(1-$K$2)+H.Marathon!$E29*$K$2</f>
        <v>1</v>
      </c>
      <c r="F29" s="244">
        <f t="shared" si="2"/>
        <v>98.834586466165419</v>
      </c>
      <c r="G29" s="224">
        <v>23</v>
      </c>
      <c r="H29" s="364" t="s">
        <v>1822</v>
      </c>
      <c r="I29" s="382" t="s">
        <v>1044</v>
      </c>
      <c r="J29" s="382" t="s">
        <v>1045</v>
      </c>
      <c r="K29" s="382" t="s">
        <v>272</v>
      </c>
      <c r="L29" s="346">
        <v>35874</v>
      </c>
      <c r="M29" s="306" t="s">
        <v>1904</v>
      </c>
      <c r="N29" s="382" t="s">
        <v>777</v>
      </c>
      <c r="O29" s="374">
        <v>44493</v>
      </c>
      <c r="P29" s="365" t="s">
        <v>1358</v>
      </c>
      <c r="S29" s="224">
        <v>23</v>
      </c>
      <c r="T29" s="244">
        <v>98.834586466165419</v>
      </c>
    </row>
    <row r="30" spans="1:20">
      <c r="A30" s="224">
        <v>24</v>
      </c>
      <c r="B30" s="248">
        <v>3.2268518518518516E-2</v>
      </c>
      <c r="C30" s="231">
        <f t="shared" si="1"/>
        <v>46.466666666666661</v>
      </c>
      <c r="D30" s="231">
        <f t="shared" si="0"/>
        <v>43.81666666666667</v>
      </c>
      <c r="E30" s="246">
        <f>'10K'!$E30*(1-$K$2)+H.Marathon!$E30*$K$2</f>
        <v>1</v>
      </c>
      <c r="F30" s="244">
        <f t="shared" si="2"/>
        <v>94.296987087517948</v>
      </c>
      <c r="G30" s="224">
        <v>24</v>
      </c>
      <c r="H30" s="347" t="s">
        <v>1823</v>
      </c>
      <c r="I30" s="270" t="s">
        <v>270</v>
      </c>
      <c r="J30" s="270" t="s">
        <v>556</v>
      </c>
      <c r="K30" s="270" t="s">
        <v>272</v>
      </c>
      <c r="L30" s="271">
        <v>31199</v>
      </c>
      <c r="M30" s="267"/>
      <c r="N30" s="270" t="s">
        <v>1893</v>
      </c>
      <c r="O30" s="372">
        <v>40132</v>
      </c>
      <c r="P30" s="267"/>
      <c r="S30" s="224">
        <v>24</v>
      </c>
      <c r="T30" s="244">
        <v>94.296987087517948</v>
      </c>
    </row>
    <row r="31" spans="1:20">
      <c r="A31" s="224">
        <v>25</v>
      </c>
      <c r="B31" s="248">
        <v>3.2604166666666663E-2</v>
      </c>
      <c r="C31" s="231">
        <f t="shared" si="1"/>
        <v>46.949999999999996</v>
      </c>
      <c r="D31" s="231">
        <f t="shared" si="0"/>
        <v>43.81666666666667</v>
      </c>
      <c r="E31" s="246">
        <f>'10K'!$E31*(1-$K$2)+H.Marathon!$E31*$K$2</f>
        <v>1</v>
      </c>
      <c r="F31" s="244">
        <f t="shared" si="2"/>
        <v>93.326233581824653</v>
      </c>
      <c r="G31" s="224">
        <v>25</v>
      </c>
      <c r="H31" s="347" t="s">
        <v>1824</v>
      </c>
      <c r="I31" s="270" t="s">
        <v>1901</v>
      </c>
      <c r="J31" s="270" t="s">
        <v>1902</v>
      </c>
      <c r="K31" s="270" t="s">
        <v>272</v>
      </c>
      <c r="L31" s="271">
        <v>30573</v>
      </c>
      <c r="M31" s="267"/>
      <c r="N31" s="270" t="s">
        <v>1893</v>
      </c>
      <c r="O31" s="372">
        <v>39768</v>
      </c>
      <c r="P31" s="267"/>
      <c r="S31" s="224">
        <v>25</v>
      </c>
      <c r="T31" s="244">
        <v>93.326233581824653</v>
      </c>
    </row>
    <row r="32" spans="1:20">
      <c r="A32" s="224">
        <v>26</v>
      </c>
      <c r="B32" s="248">
        <v>3.3194444444444443E-2</v>
      </c>
      <c r="C32" s="231">
        <f t="shared" si="1"/>
        <v>47.8</v>
      </c>
      <c r="D32" s="231">
        <f t="shared" si="0"/>
        <v>43.81666666666667</v>
      </c>
      <c r="E32" s="246">
        <f>'10K'!$E32*(1-$K$2)+H.Marathon!$E32*$K$2</f>
        <v>1</v>
      </c>
      <c r="F32" s="244">
        <f t="shared" si="2"/>
        <v>91.666666666666671</v>
      </c>
      <c r="G32" s="224">
        <v>26</v>
      </c>
      <c r="H32" s="347" t="s">
        <v>1825</v>
      </c>
      <c r="I32" s="270" t="s">
        <v>1905</v>
      </c>
      <c r="J32" s="270" t="s">
        <v>1906</v>
      </c>
      <c r="K32" s="270" t="s">
        <v>272</v>
      </c>
      <c r="L32" s="271">
        <v>30345</v>
      </c>
      <c r="M32" s="267"/>
      <c r="N32" s="270" t="s">
        <v>1893</v>
      </c>
      <c r="O32" s="372">
        <v>40132</v>
      </c>
      <c r="P32" s="267"/>
      <c r="S32" s="224">
        <v>26</v>
      </c>
      <c r="T32" s="244">
        <v>91.666666666666671</v>
      </c>
    </row>
    <row r="33" spans="1:20">
      <c r="A33" s="224">
        <v>27</v>
      </c>
      <c r="B33" s="248">
        <v>3.2662037037037038E-2</v>
      </c>
      <c r="C33" s="231">
        <f t="shared" si="1"/>
        <v>47.033333333333331</v>
      </c>
      <c r="D33" s="231">
        <f t="shared" si="0"/>
        <v>43.844712109153541</v>
      </c>
      <c r="E33" s="246">
        <f>'10K'!$E33*(1-$K$2)+H.Marathon!$E33*$K$2</f>
        <v>0.99936034606825452</v>
      </c>
      <c r="F33" s="244">
        <f t="shared" si="2"/>
        <v>93.220507673607813</v>
      </c>
      <c r="G33" s="224">
        <v>27</v>
      </c>
      <c r="H33" s="347" t="s">
        <v>1826</v>
      </c>
      <c r="I33" s="270" t="s">
        <v>276</v>
      </c>
      <c r="J33" s="270" t="s">
        <v>277</v>
      </c>
      <c r="K33" s="270" t="s">
        <v>268</v>
      </c>
      <c r="L33" s="271">
        <v>28256</v>
      </c>
      <c r="M33" s="267"/>
      <c r="N33" s="270" t="s">
        <v>1893</v>
      </c>
      <c r="O33" s="372">
        <v>38312</v>
      </c>
      <c r="P33" s="267"/>
      <c r="S33" s="224">
        <v>27</v>
      </c>
      <c r="T33" s="244">
        <v>93.220507673607813</v>
      </c>
    </row>
    <row r="34" spans="1:20">
      <c r="A34" s="224">
        <v>28</v>
      </c>
      <c r="B34" s="248">
        <v>3.3009259259259259E-2</v>
      </c>
      <c r="C34" s="231">
        <f t="shared" si="1"/>
        <v>47.533333333333331</v>
      </c>
      <c r="D34" s="231">
        <f t="shared" si="0"/>
        <v>43.873550901419058</v>
      </c>
      <c r="E34" s="246">
        <f>'10K'!$E34*(1-$K$2)+H.Marathon!$E34*$K$2</f>
        <v>0.99870345040272213</v>
      </c>
      <c r="F34" s="244">
        <f t="shared" si="2"/>
        <v>92.300597969324812</v>
      </c>
      <c r="G34" s="224">
        <v>28</v>
      </c>
      <c r="H34" s="347" t="s">
        <v>1827</v>
      </c>
      <c r="I34" s="270" t="s">
        <v>1209</v>
      </c>
      <c r="J34" s="270" t="s">
        <v>1213</v>
      </c>
      <c r="K34" s="270" t="s">
        <v>268</v>
      </c>
      <c r="L34" s="271">
        <v>31461</v>
      </c>
      <c r="M34" s="267"/>
      <c r="N34" s="270" t="s">
        <v>1893</v>
      </c>
      <c r="O34" s="372">
        <v>41959</v>
      </c>
      <c r="P34" s="267"/>
      <c r="S34" s="224">
        <v>28</v>
      </c>
      <c r="T34" s="244">
        <v>92.300597969324812</v>
      </c>
    </row>
    <row r="35" spans="1:20">
      <c r="A35" s="224">
        <v>29</v>
      </c>
      <c r="B35" s="248">
        <v>3.3333333333333333E-2</v>
      </c>
      <c r="C35" s="231">
        <f t="shared" si="1"/>
        <v>48</v>
      </c>
      <c r="D35" s="231">
        <f t="shared" si="0"/>
        <v>43.918398214982972</v>
      </c>
      <c r="E35" s="246">
        <f>'10K'!$E35*(1-$K$2)+H.Marathon!$E35*$K$2</f>
        <v>0.99768362343684946</v>
      </c>
      <c r="F35" s="244">
        <f t="shared" si="2"/>
        <v>91.496662947881191</v>
      </c>
      <c r="G35" s="224">
        <v>29</v>
      </c>
      <c r="H35" s="347" t="s">
        <v>1828</v>
      </c>
      <c r="I35" s="270" t="s">
        <v>275</v>
      </c>
      <c r="J35" s="270" t="s">
        <v>1907</v>
      </c>
      <c r="K35" s="270" t="s">
        <v>268</v>
      </c>
      <c r="L35" s="271">
        <v>27962</v>
      </c>
      <c r="M35" s="267"/>
      <c r="N35" s="270" t="s">
        <v>1893</v>
      </c>
      <c r="O35" s="372">
        <v>38676</v>
      </c>
      <c r="P35" s="267"/>
      <c r="S35" s="224">
        <v>29</v>
      </c>
      <c r="T35" s="244">
        <v>91.496662947881191</v>
      </c>
    </row>
    <row r="36" spans="1:20">
      <c r="A36" s="224">
        <v>30</v>
      </c>
      <c r="B36" s="248">
        <v>3.2627314814814817E-2</v>
      </c>
      <c r="C36" s="231">
        <f t="shared" si="1"/>
        <v>46.983333333333334</v>
      </c>
      <c r="D36" s="231">
        <f t="shared" si="0"/>
        <v>43.983386306578474</v>
      </c>
      <c r="E36" s="246">
        <f>'10K'!$E36*(1-$K$2)+H.Marathon!$E36*$K$2</f>
        <v>0.9962094860375299</v>
      </c>
      <c r="F36" s="244">
        <f t="shared" si="2"/>
        <v>93.614869755044637</v>
      </c>
      <c r="G36" s="224">
        <v>30</v>
      </c>
      <c r="H36" s="347" t="s">
        <v>1829</v>
      </c>
      <c r="I36" s="270" t="s">
        <v>583</v>
      </c>
      <c r="J36" s="270" t="s">
        <v>1908</v>
      </c>
      <c r="K36" s="270" t="s">
        <v>268</v>
      </c>
      <c r="L36" s="271">
        <v>30857</v>
      </c>
      <c r="M36" s="267"/>
      <c r="N36" s="270" t="s">
        <v>1893</v>
      </c>
      <c r="O36" s="372">
        <v>41959</v>
      </c>
      <c r="P36" s="267"/>
      <c r="S36" s="224">
        <v>30</v>
      </c>
      <c r="T36" s="244">
        <v>93.614869755044637</v>
      </c>
    </row>
    <row r="37" spans="1:20">
      <c r="A37" s="224">
        <v>31</v>
      </c>
      <c r="B37" s="248">
        <v>3.2835648148148149E-2</v>
      </c>
      <c r="C37" s="231">
        <f t="shared" si="1"/>
        <v>47.283333333333331</v>
      </c>
      <c r="D37" s="231">
        <f t="shared" si="0"/>
        <v>44.064644093781759</v>
      </c>
      <c r="E37" s="246">
        <f>'10K'!$E37*(1-$K$2)+H.Marathon!$E37*$K$2</f>
        <v>0.99437241733787018</v>
      </c>
      <c r="F37" s="244">
        <f t="shared" si="2"/>
        <v>93.192761565981868</v>
      </c>
      <c r="G37" s="224">
        <v>31</v>
      </c>
      <c r="H37" s="347" t="s">
        <v>1830</v>
      </c>
      <c r="I37" s="270" t="s">
        <v>562</v>
      </c>
      <c r="J37" s="270" t="s">
        <v>563</v>
      </c>
      <c r="K37" s="270" t="s">
        <v>535</v>
      </c>
      <c r="L37" s="271">
        <v>20535</v>
      </c>
      <c r="M37" s="267"/>
      <c r="N37" s="270" t="s">
        <v>1909</v>
      </c>
      <c r="O37" s="372">
        <v>32102</v>
      </c>
      <c r="P37" s="267"/>
      <c r="S37" s="224">
        <v>31</v>
      </c>
      <c r="T37" s="244">
        <v>93.192761565981868</v>
      </c>
    </row>
    <row r="38" spans="1:20">
      <c r="A38" s="224">
        <v>32</v>
      </c>
      <c r="B38" s="248">
        <v>3.2638888888888891E-2</v>
      </c>
      <c r="C38" s="231">
        <f t="shared" si="1"/>
        <v>47</v>
      </c>
      <c r="D38" s="231">
        <f t="shared" si="0"/>
        <v>44.164001138361556</v>
      </c>
      <c r="E38" s="246">
        <f>'10K'!$E38*(1-$K$2)+H.Marathon!$E38*$K$2</f>
        <v>0.99213534863821051</v>
      </c>
      <c r="F38" s="244">
        <f t="shared" si="2"/>
        <v>93.96595986885437</v>
      </c>
      <c r="G38" s="224">
        <v>32</v>
      </c>
      <c r="H38" s="347" t="s">
        <v>1831</v>
      </c>
      <c r="I38" s="270" t="s">
        <v>564</v>
      </c>
      <c r="J38" s="270" t="s">
        <v>565</v>
      </c>
      <c r="K38" s="270" t="s">
        <v>241</v>
      </c>
      <c r="L38" s="271">
        <v>29775</v>
      </c>
      <c r="M38" s="267" t="s">
        <v>1884</v>
      </c>
      <c r="N38" s="270" t="s">
        <v>1885</v>
      </c>
      <c r="O38" s="372">
        <v>41713</v>
      </c>
      <c r="P38" s="267"/>
      <c r="S38" s="224">
        <v>32</v>
      </c>
      <c r="T38" s="244">
        <v>93.96595986885437</v>
      </c>
    </row>
    <row r="39" spans="1:20">
      <c r="A39" s="224">
        <v>33</v>
      </c>
      <c r="B39" s="248">
        <v>3.3067129629629627E-2</v>
      </c>
      <c r="C39" s="231">
        <f t="shared" si="1"/>
        <v>47.61666666666666</v>
      </c>
      <c r="D39" s="231">
        <f t="shared" si="0"/>
        <v>44.284131307185298</v>
      </c>
      <c r="E39" s="246">
        <f>'10K'!$E39*(1-$K$2)+H.Marathon!$E39*$K$2</f>
        <v>0.98944396950510394</v>
      </c>
      <c r="F39" s="244">
        <f t="shared" si="2"/>
        <v>93.001325811379715</v>
      </c>
      <c r="G39" s="224">
        <v>33</v>
      </c>
      <c r="H39" s="347" t="s">
        <v>1832</v>
      </c>
      <c r="I39" s="270" t="s">
        <v>290</v>
      </c>
      <c r="J39" s="270" t="s">
        <v>559</v>
      </c>
      <c r="K39" s="270" t="s">
        <v>291</v>
      </c>
      <c r="L39" s="271">
        <v>27150</v>
      </c>
      <c r="M39" s="267"/>
      <c r="N39" s="270" t="s">
        <v>1893</v>
      </c>
      <c r="O39" s="372">
        <v>39404</v>
      </c>
      <c r="P39" s="267"/>
      <c r="S39" s="224">
        <v>33</v>
      </c>
      <c r="T39" s="244">
        <v>93.001325811379715</v>
      </c>
    </row>
    <row r="40" spans="1:20">
      <c r="A40" s="224">
        <v>34</v>
      </c>
      <c r="B40" s="248">
        <v>3.2870370370370369E-2</v>
      </c>
      <c r="C40" s="231">
        <f t="shared" si="1"/>
        <v>47.333333333333329</v>
      </c>
      <c r="D40" s="231">
        <f t="shared" si="0"/>
        <v>44.421255092946559</v>
      </c>
      <c r="E40" s="246">
        <f>'10K'!$E40*(1-$K$2)+H.Marathon!$E40*$K$2</f>
        <v>0.98638965907165721</v>
      </c>
      <c r="F40" s="244">
        <f t="shared" si="2"/>
        <v>93.847722027351892</v>
      </c>
      <c r="G40" s="224">
        <v>34</v>
      </c>
      <c r="H40" s="347" t="s">
        <v>1833</v>
      </c>
      <c r="I40" s="270" t="s">
        <v>316</v>
      </c>
      <c r="J40" s="270" t="s">
        <v>1910</v>
      </c>
      <c r="K40" s="270" t="s">
        <v>241</v>
      </c>
      <c r="L40" s="271">
        <v>26709</v>
      </c>
      <c r="M40" s="267" t="s">
        <v>1884</v>
      </c>
      <c r="N40" s="270" t="s">
        <v>1885</v>
      </c>
      <c r="O40" s="372">
        <v>39151</v>
      </c>
      <c r="P40" s="267"/>
      <c r="S40" s="224">
        <v>34</v>
      </c>
      <c r="T40" s="244">
        <v>93.847722027351892</v>
      </c>
    </row>
    <row r="41" spans="1:20">
      <c r="A41" s="224">
        <v>35</v>
      </c>
      <c r="B41" s="248">
        <v>3.4305555555555554E-2</v>
      </c>
      <c r="C41" s="231">
        <f t="shared" si="1"/>
        <v>49.4</v>
      </c>
      <c r="D41" s="231">
        <f t="shared" si="0"/>
        <v>44.577363839210442</v>
      </c>
      <c r="E41" s="246">
        <f>'10K'!$E41*(1-$K$2)+H.Marathon!$E41*$K$2</f>
        <v>0.98293534863821042</v>
      </c>
      <c r="F41" s="244">
        <f t="shared" si="2"/>
        <v>90.237578621883486</v>
      </c>
      <c r="G41" s="224">
        <v>35</v>
      </c>
      <c r="H41" s="347" t="s">
        <v>1834</v>
      </c>
      <c r="I41" s="270" t="s">
        <v>1393</v>
      </c>
      <c r="J41" s="270" t="s">
        <v>1548</v>
      </c>
      <c r="K41" s="270" t="s">
        <v>241</v>
      </c>
      <c r="L41" s="271">
        <v>28724</v>
      </c>
      <c r="M41" s="267" t="s">
        <v>1884</v>
      </c>
      <c r="N41" s="270" t="s">
        <v>1885</v>
      </c>
      <c r="O41" s="372">
        <v>41713</v>
      </c>
      <c r="P41" s="267"/>
      <c r="S41" s="224">
        <v>35</v>
      </c>
      <c r="T41" s="244">
        <v>90.237578621883486</v>
      </c>
    </row>
    <row r="42" spans="1:20">
      <c r="A42" s="224">
        <v>36</v>
      </c>
      <c r="B42" s="248">
        <v>3.4386574074074076E-2</v>
      </c>
      <c r="C42" s="231">
        <f t="shared" si="1"/>
        <v>49.516666666666673</v>
      </c>
      <c r="D42" s="231">
        <f t="shared" ref="D42:D73" si="3">E$4/E42</f>
        <v>44.75115551197117</v>
      </c>
      <c r="E42" s="246">
        <f>'10K'!$E42*(1-$K$2)+H.Marathon!$E42*$K$2</f>
        <v>0.97911810690442347</v>
      </c>
      <c r="F42" s="244">
        <f t="shared" si="2"/>
        <v>90.375945160493771</v>
      </c>
      <c r="G42" s="224">
        <v>36</v>
      </c>
      <c r="H42" s="347" t="s">
        <v>1835</v>
      </c>
      <c r="I42" s="270" t="s">
        <v>314</v>
      </c>
      <c r="J42" s="270" t="s">
        <v>1911</v>
      </c>
      <c r="K42" s="270" t="s">
        <v>241</v>
      </c>
      <c r="L42" s="271">
        <v>27211</v>
      </c>
      <c r="M42" s="267" t="s">
        <v>1884</v>
      </c>
      <c r="N42" s="270" t="s">
        <v>1885</v>
      </c>
      <c r="O42" s="372">
        <v>40614</v>
      </c>
      <c r="P42" s="267"/>
      <c r="S42" s="224">
        <v>36</v>
      </c>
      <c r="T42" s="244">
        <v>90.375945160493771</v>
      </c>
    </row>
    <row r="43" spans="1:20">
      <c r="A43" s="224">
        <v>37</v>
      </c>
      <c r="B43" s="248">
        <v>3.3958333333333333E-2</v>
      </c>
      <c r="C43" s="231">
        <f t="shared" si="1"/>
        <v>48.9</v>
      </c>
      <c r="D43" s="231">
        <f t="shared" si="3"/>
        <v>44.94935143394305</v>
      </c>
      <c r="E43" s="246">
        <f>'10K'!$E43*(1-$K$2)+H.Marathon!$E43*$K$2</f>
        <v>0.97480086517063635</v>
      </c>
      <c r="F43" s="244">
        <f t="shared" si="2"/>
        <v>91.920964077593155</v>
      </c>
      <c r="G43" s="224">
        <v>37</v>
      </c>
      <c r="H43" s="347" t="s">
        <v>1284</v>
      </c>
      <c r="I43" s="270" t="s">
        <v>787</v>
      </c>
      <c r="J43" s="270" t="s">
        <v>788</v>
      </c>
      <c r="K43" s="270" t="s">
        <v>268</v>
      </c>
      <c r="L43" s="271">
        <v>29113</v>
      </c>
      <c r="M43" s="267"/>
      <c r="N43" s="270" t="s">
        <v>1912</v>
      </c>
      <c r="O43" s="372">
        <v>42708</v>
      </c>
      <c r="P43" s="267"/>
      <c r="S43" s="224">
        <v>37</v>
      </c>
      <c r="T43" s="244">
        <v>91.920964077593155</v>
      </c>
    </row>
    <row r="44" spans="1:20">
      <c r="A44" s="224">
        <v>38</v>
      </c>
      <c r="B44" s="248">
        <v>3.3831018518518517E-2</v>
      </c>
      <c r="C44" s="231">
        <f t="shared" si="1"/>
        <v>48.716666666666661</v>
      </c>
      <c r="D44" s="231">
        <f t="shared" si="3"/>
        <v>45.166201506503967</v>
      </c>
      <c r="E44" s="246">
        <f>'10K'!$E44*(1-$K$2)+H.Marathon!$E44*$K$2</f>
        <v>0.9701206921365092</v>
      </c>
      <c r="F44" s="244">
        <f t="shared" si="2"/>
        <v>92.712011303121386</v>
      </c>
      <c r="G44" s="224">
        <v>38</v>
      </c>
      <c r="H44" s="347" t="s">
        <v>1836</v>
      </c>
      <c r="I44" s="270" t="s">
        <v>1913</v>
      </c>
      <c r="J44" s="270" t="s">
        <v>1914</v>
      </c>
      <c r="K44" s="270" t="s">
        <v>241</v>
      </c>
      <c r="L44" s="271">
        <v>19321</v>
      </c>
      <c r="M44" s="267" t="s">
        <v>1884</v>
      </c>
      <c r="N44" s="270" t="s">
        <v>1885</v>
      </c>
      <c r="O44" s="372">
        <v>33306</v>
      </c>
      <c r="P44" s="267"/>
      <c r="S44" s="224">
        <v>38</v>
      </c>
      <c r="T44" s="244">
        <v>92.712011303121386</v>
      </c>
    </row>
    <row r="45" spans="1:20">
      <c r="A45" s="224">
        <v>39</v>
      </c>
      <c r="B45" s="248">
        <v>3.4050925925925929E-2</v>
      </c>
      <c r="C45" s="231">
        <f t="shared" si="1"/>
        <v>49.033333333333339</v>
      </c>
      <c r="D45" s="231">
        <f t="shared" si="3"/>
        <v>45.401816203652345</v>
      </c>
      <c r="E45" s="246">
        <f>'10K'!$E45*(1-$K$2)+H.Marathon!$E45*$K$2</f>
        <v>0.96508620866893513</v>
      </c>
      <c r="F45" s="244">
        <f t="shared" si="2"/>
        <v>92.5937787973875</v>
      </c>
      <c r="G45" s="224">
        <v>39</v>
      </c>
      <c r="H45" s="347" t="s">
        <v>1837</v>
      </c>
      <c r="I45" s="270" t="s">
        <v>309</v>
      </c>
      <c r="J45" s="270" t="s">
        <v>574</v>
      </c>
      <c r="K45" s="270" t="s">
        <v>268</v>
      </c>
      <c r="L45" s="271">
        <v>24566</v>
      </c>
      <c r="M45" s="267"/>
      <c r="N45" s="270" t="s">
        <v>1893</v>
      </c>
      <c r="O45" s="372">
        <v>39040</v>
      </c>
      <c r="P45" s="267"/>
      <c r="S45" s="224">
        <v>39</v>
      </c>
      <c r="T45" s="244">
        <v>92.5937787973875</v>
      </c>
    </row>
    <row r="46" spans="1:20">
      <c r="A46" s="224">
        <v>40</v>
      </c>
      <c r="B46" s="248">
        <v>3.4432870370370371E-2</v>
      </c>
      <c r="C46" s="231">
        <f t="shared" si="1"/>
        <v>49.583333333333336</v>
      </c>
      <c r="D46" s="231">
        <f t="shared" si="3"/>
        <v>45.661509704321219</v>
      </c>
      <c r="E46" s="246">
        <f>'10K'!$E46*(1-$K$2)+H.Marathon!$E46*$K$2</f>
        <v>0.95959741476791427</v>
      </c>
      <c r="F46" s="244">
        <f t="shared" si="2"/>
        <v>92.090439739807493</v>
      </c>
      <c r="G46" s="224">
        <v>40</v>
      </c>
      <c r="H46" s="347" t="s">
        <v>1838</v>
      </c>
      <c r="I46" s="270" t="s">
        <v>583</v>
      </c>
      <c r="J46" s="270" t="s">
        <v>584</v>
      </c>
      <c r="K46" s="270" t="s">
        <v>241</v>
      </c>
      <c r="L46" s="271">
        <v>16398</v>
      </c>
      <c r="M46" s="267" t="s">
        <v>1884</v>
      </c>
      <c r="N46" s="270" t="s">
        <v>1885</v>
      </c>
      <c r="O46" s="372">
        <v>31115</v>
      </c>
      <c r="P46" s="267"/>
      <c r="S46" s="224">
        <v>40</v>
      </c>
      <c r="T46" s="244">
        <v>92.090439739807493</v>
      </c>
    </row>
    <row r="47" spans="1:20">
      <c r="A47" s="224">
        <v>41</v>
      </c>
      <c r="B47" s="248">
        <v>3.5011574074074077E-2</v>
      </c>
      <c r="C47" s="231">
        <f t="shared" si="1"/>
        <v>50.416666666666671</v>
      </c>
      <c r="D47" s="231">
        <f t="shared" si="3"/>
        <v>45.943867743175709</v>
      </c>
      <c r="E47" s="246">
        <f>'10K'!$E47*(1-$K$2)+H.Marathon!$E47*$K$2</f>
        <v>0.95369999999999999</v>
      </c>
      <c r="F47" s="244">
        <f t="shared" si="2"/>
        <v>91.128332713736938</v>
      </c>
      <c r="G47" s="224">
        <v>41</v>
      </c>
      <c r="H47" s="347" t="s">
        <v>1839</v>
      </c>
      <c r="I47" s="270" t="s">
        <v>583</v>
      </c>
      <c r="J47" s="270" t="s">
        <v>584</v>
      </c>
      <c r="K47" s="270" t="s">
        <v>241</v>
      </c>
      <c r="L47" s="271">
        <v>16398</v>
      </c>
      <c r="M47" s="267" t="s">
        <v>1915</v>
      </c>
      <c r="N47" s="270" t="s">
        <v>1916</v>
      </c>
      <c r="O47" s="372">
        <v>31451</v>
      </c>
      <c r="P47" s="267"/>
      <c r="S47" s="224">
        <v>41</v>
      </c>
      <c r="T47" s="244">
        <v>91.128332713736938</v>
      </c>
    </row>
    <row r="48" spans="1:20">
      <c r="A48" s="224">
        <v>42</v>
      </c>
      <c r="B48" s="248">
        <v>3.5393518518518519E-2</v>
      </c>
      <c r="C48" s="231">
        <f t="shared" si="1"/>
        <v>50.966666666666669</v>
      </c>
      <c r="D48" s="231">
        <f t="shared" si="3"/>
        <v>46.249678924254418</v>
      </c>
      <c r="E48" s="246">
        <f>'10K'!$E48*(1-$K$2)+H.Marathon!$E48*$K$2</f>
        <v>0.94739396436519219</v>
      </c>
      <c r="F48" s="244">
        <f t="shared" si="2"/>
        <v>90.744955377870014</v>
      </c>
      <c r="G48" s="224">
        <v>42</v>
      </c>
      <c r="H48" s="347" t="s">
        <v>1840</v>
      </c>
      <c r="I48" s="270" t="s">
        <v>905</v>
      </c>
      <c r="J48" s="270" t="s">
        <v>906</v>
      </c>
      <c r="K48" s="270" t="s">
        <v>320</v>
      </c>
      <c r="L48" s="271">
        <v>22473</v>
      </c>
      <c r="M48" s="267" t="s">
        <v>1884</v>
      </c>
      <c r="N48" s="270" t="s">
        <v>1885</v>
      </c>
      <c r="O48" s="372">
        <v>38059</v>
      </c>
      <c r="P48" s="267"/>
      <c r="S48" s="224">
        <v>42</v>
      </c>
      <c r="T48" s="244">
        <v>90.744955377870014</v>
      </c>
    </row>
    <row r="49" spans="1:20">
      <c r="A49" s="224">
        <v>43</v>
      </c>
      <c r="B49" s="248">
        <v>3.4664351851851849E-2</v>
      </c>
      <c r="C49" s="231">
        <f t="shared" si="1"/>
        <v>49.916666666666664</v>
      </c>
      <c r="D49" s="231">
        <f t="shared" si="3"/>
        <v>46.577124293687326</v>
      </c>
      <c r="E49" s="246">
        <f>'10K'!$E49*(1-$K$2)+H.Marathon!$E49*$K$2</f>
        <v>0.94073361829693758</v>
      </c>
      <c r="F49" s="244">
        <f t="shared" si="2"/>
        <v>93.309764862144888</v>
      </c>
      <c r="G49" s="224">
        <v>43</v>
      </c>
      <c r="H49" s="347" t="s">
        <v>1841</v>
      </c>
      <c r="I49" s="270" t="s">
        <v>601</v>
      </c>
      <c r="J49" s="270" t="s">
        <v>602</v>
      </c>
      <c r="K49" s="270" t="s">
        <v>578</v>
      </c>
      <c r="L49" s="271">
        <v>18655</v>
      </c>
      <c r="M49" s="267"/>
      <c r="N49" s="270" t="s">
        <v>1917</v>
      </c>
      <c r="O49" s="372">
        <v>34483</v>
      </c>
      <c r="P49" s="267"/>
      <c r="S49" s="224">
        <v>43</v>
      </c>
      <c r="T49" s="244">
        <v>93.309764862144888</v>
      </c>
    </row>
    <row r="50" spans="1:20">
      <c r="A50" s="224">
        <v>44</v>
      </c>
      <c r="B50" s="248">
        <v>3.528935185185185E-2</v>
      </c>
      <c r="C50" s="231">
        <f t="shared" si="1"/>
        <v>50.816666666666663</v>
      </c>
      <c r="D50" s="231">
        <f t="shared" si="3"/>
        <v>46.92976927289493</v>
      </c>
      <c r="E50" s="246">
        <f>'10K'!$E50*(1-$K$2)+H.Marathon!$E50*$K$2</f>
        <v>0.93366465136178955</v>
      </c>
      <c r="F50" s="244">
        <f t="shared" si="2"/>
        <v>92.351136647218638</v>
      </c>
      <c r="G50" s="224">
        <v>44</v>
      </c>
      <c r="H50" s="347" t="s">
        <v>1279</v>
      </c>
      <c r="I50" s="270" t="s">
        <v>601</v>
      </c>
      <c r="J50" s="270" t="s">
        <v>602</v>
      </c>
      <c r="K50" s="270" t="s">
        <v>578</v>
      </c>
      <c r="L50" s="271">
        <v>18655</v>
      </c>
      <c r="M50" s="267"/>
      <c r="N50" s="270" t="s">
        <v>1917</v>
      </c>
      <c r="O50" s="372">
        <v>34819</v>
      </c>
      <c r="P50" s="267"/>
      <c r="S50" s="224">
        <v>44</v>
      </c>
      <c r="T50" s="244">
        <v>92.351136647218638</v>
      </c>
    </row>
    <row r="51" spans="1:20">
      <c r="A51" s="224">
        <v>45</v>
      </c>
      <c r="B51" s="248">
        <v>3.4583333333333334E-2</v>
      </c>
      <c r="C51" s="231">
        <f t="shared" si="1"/>
        <v>49.800000000000004</v>
      </c>
      <c r="D51" s="231">
        <f t="shared" si="3"/>
        <v>47.310991493387959</v>
      </c>
      <c r="E51" s="246">
        <f>'10K'!$E51*(1-$K$2)+H.Marathon!$E51*$K$2</f>
        <v>0.92614137399319474</v>
      </c>
      <c r="F51" s="244">
        <f t="shared" ref="F51:F87" si="4">100*(D51/C51)</f>
        <v>95.001990950578218</v>
      </c>
      <c r="G51" s="224">
        <v>45</v>
      </c>
      <c r="H51" s="347" t="s">
        <v>1842</v>
      </c>
      <c r="I51" s="270" t="s">
        <v>594</v>
      </c>
      <c r="J51" s="270" t="s">
        <v>595</v>
      </c>
      <c r="K51" s="270" t="s">
        <v>596</v>
      </c>
      <c r="L51" s="271">
        <v>15372</v>
      </c>
      <c r="M51" s="267"/>
      <c r="N51" s="270" t="s">
        <v>1909</v>
      </c>
      <c r="O51" s="372">
        <v>32102</v>
      </c>
      <c r="P51" s="267"/>
      <c r="S51" s="224">
        <v>45</v>
      </c>
      <c r="T51" s="244">
        <v>95.001990950578218</v>
      </c>
    </row>
    <row r="52" spans="1:20">
      <c r="A52" s="224">
        <v>46</v>
      </c>
      <c r="B52" s="248">
        <v>3.650462962962963E-2</v>
      </c>
      <c r="C52" s="231">
        <f t="shared" si="1"/>
        <v>52.56666666666667</v>
      </c>
      <c r="D52" s="231">
        <f t="shared" si="3"/>
        <v>47.716862328212784</v>
      </c>
      <c r="E52" s="246">
        <f>'10K'!$E52*(1-$K$2)+H.Marathon!$E52*$K$2</f>
        <v>0.91826378619115312</v>
      </c>
      <c r="F52" s="244">
        <f t="shared" si="4"/>
        <v>90.773993014989443</v>
      </c>
      <c r="G52" s="224">
        <v>46</v>
      </c>
      <c r="H52" s="347" t="s">
        <v>1843</v>
      </c>
      <c r="I52" s="270" t="s">
        <v>583</v>
      </c>
      <c r="J52" s="270" t="s">
        <v>584</v>
      </c>
      <c r="K52" s="270" t="s">
        <v>241</v>
      </c>
      <c r="L52" s="271">
        <v>16398</v>
      </c>
      <c r="M52" s="267" t="s">
        <v>1915</v>
      </c>
      <c r="N52" s="270" t="s">
        <v>1916</v>
      </c>
      <c r="O52" s="372">
        <v>33278</v>
      </c>
      <c r="P52" s="267"/>
      <c r="S52" s="224">
        <v>46</v>
      </c>
      <c r="T52" s="244">
        <v>90.773993014989443</v>
      </c>
    </row>
    <row r="53" spans="1:20">
      <c r="A53" s="224">
        <v>47</v>
      </c>
      <c r="B53" s="248">
        <v>3.5949074074074071E-2</v>
      </c>
      <c r="C53" s="231">
        <f t="shared" si="1"/>
        <v>51.766666666666659</v>
      </c>
      <c r="D53" s="231">
        <f t="shared" si="3"/>
        <v>48.151369604045925</v>
      </c>
      <c r="E53" s="246">
        <f>'10K'!$E53*(1-$K$2)+H.Marathon!$E53*$K$2</f>
        <v>0.90997757752221797</v>
      </c>
      <c r="F53" s="244">
        <f t="shared" si="4"/>
        <v>93.016167940848547</v>
      </c>
      <c r="G53" s="224">
        <v>47</v>
      </c>
      <c r="H53" s="347" t="s">
        <v>1844</v>
      </c>
      <c r="I53" s="270" t="s">
        <v>326</v>
      </c>
      <c r="J53" s="270" t="s">
        <v>580</v>
      </c>
      <c r="K53" s="270" t="s">
        <v>328</v>
      </c>
      <c r="L53" s="271">
        <v>20152</v>
      </c>
      <c r="M53" s="267" t="s">
        <v>1884</v>
      </c>
      <c r="N53" s="270" t="s">
        <v>1885</v>
      </c>
      <c r="O53" s="372">
        <v>37324</v>
      </c>
      <c r="P53" s="267"/>
      <c r="S53" s="224">
        <v>47</v>
      </c>
      <c r="T53" s="244">
        <v>93.016167940848547</v>
      </c>
    </row>
    <row r="54" spans="1:20">
      <c r="A54" s="224">
        <v>48</v>
      </c>
      <c r="B54" s="248">
        <v>3.5706018518518519E-2</v>
      </c>
      <c r="C54" s="231">
        <f t="shared" si="1"/>
        <v>51.416666666666664</v>
      </c>
      <c r="D54" s="231">
        <f t="shared" si="3"/>
        <v>48.615894140390623</v>
      </c>
      <c r="E54" s="246">
        <f>'10K'!$E54*(1-$K$2)+H.Marathon!$E54*$K$2</f>
        <v>0.90128274798638941</v>
      </c>
      <c r="F54" s="244">
        <f t="shared" si="4"/>
        <v>94.55279249346637</v>
      </c>
      <c r="G54" s="224">
        <v>48</v>
      </c>
      <c r="H54" s="347" t="s">
        <v>1845</v>
      </c>
      <c r="I54" s="270" t="s">
        <v>594</v>
      </c>
      <c r="J54" s="270" t="s">
        <v>595</v>
      </c>
      <c r="K54" s="270" t="s">
        <v>596</v>
      </c>
      <c r="L54" s="271">
        <v>15372</v>
      </c>
      <c r="M54" s="267"/>
      <c r="N54" s="270" t="s">
        <v>325</v>
      </c>
      <c r="O54" s="372">
        <v>33160</v>
      </c>
      <c r="P54" s="267"/>
      <c r="S54" s="224">
        <v>48</v>
      </c>
      <c r="T54" s="244">
        <v>94.55279249346637</v>
      </c>
    </row>
    <row r="55" spans="1:20">
      <c r="A55" s="224">
        <v>49</v>
      </c>
      <c r="B55" s="248">
        <v>3.4907407407407408E-2</v>
      </c>
      <c r="C55" s="231">
        <f t="shared" si="1"/>
        <v>50.266666666666666</v>
      </c>
      <c r="D55" s="231">
        <f t="shared" si="3"/>
        <v>49.111951807599084</v>
      </c>
      <c r="E55" s="246">
        <f>'10K'!$E55*(1-$K$2)+H.Marathon!$E55*$K$2</f>
        <v>0.89217929758366732</v>
      </c>
      <c r="F55" s="244">
        <f t="shared" si="4"/>
        <v>97.702821898406668</v>
      </c>
      <c r="G55" s="224">
        <v>49</v>
      </c>
      <c r="H55" s="347" t="s">
        <v>1846</v>
      </c>
      <c r="I55" s="270" t="s">
        <v>326</v>
      </c>
      <c r="J55" s="270" t="s">
        <v>580</v>
      </c>
      <c r="K55" s="270" t="s">
        <v>328</v>
      </c>
      <c r="L55" s="271">
        <v>20152</v>
      </c>
      <c r="M55" s="267" t="s">
        <v>1884</v>
      </c>
      <c r="N55" s="270" t="s">
        <v>1885</v>
      </c>
      <c r="O55" s="372">
        <v>38059</v>
      </c>
      <c r="P55" s="267"/>
      <c r="S55" s="224">
        <v>49</v>
      </c>
      <c r="T55" s="244">
        <v>97.702821898406668</v>
      </c>
    </row>
    <row r="56" spans="1:20">
      <c r="A56" s="224">
        <v>50</v>
      </c>
      <c r="B56" s="248">
        <v>3.6550925925925924E-2</v>
      </c>
      <c r="C56" s="231">
        <f t="shared" si="1"/>
        <v>52.633333333333333</v>
      </c>
      <c r="D56" s="231">
        <f t="shared" si="3"/>
        <v>49.63156097656114</v>
      </c>
      <c r="E56" s="246">
        <f>'10K'!$E56*(1-$K$2)+H.Marathon!$E56*$K$2</f>
        <v>0.88283877848128545</v>
      </c>
      <c r="F56" s="244">
        <f t="shared" si="4"/>
        <v>94.296822628045234</v>
      </c>
      <c r="G56" s="224">
        <v>50</v>
      </c>
      <c r="H56" s="347" t="s">
        <v>1847</v>
      </c>
      <c r="I56" s="270" t="s">
        <v>333</v>
      </c>
      <c r="J56" s="270" t="s">
        <v>1918</v>
      </c>
      <c r="K56" s="270" t="s">
        <v>241</v>
      </c>
      <c r="L56" s="271">
        <v>21382</v>
      </c>
      <c r="M56" s="267" t="s">
        <v>1884</v>
      </c>
      <c r="N56" s="270" t="s">
        <v>1885</v>
      </c>
      <c r="O56" s="372">
        <v>39886</v>
      </c>
      <c r="P56" s="267"/>
      <c r="S56" s="224">
        <v>50</v>
      </c>
      <c r="T56" s="244">
        <v>94.296822628045234</v>
      </c>
    </row>
    <row r="57" spans="1:20">
      <c r="A57" s="224">
        <v>51</v>
      </c>
      <c r="B57" s="248">
        <v>3.9803240740740743E-2</v>
      </c>
      <c r="C57" s="231">
        <f t="shared" si="1"/>
        <v>57.31666666666667</v>
      </c>
      <c r="D57" s="231">
        <f t="shared" si="3"/>
        <v>50.173275463413532</v>
      </c>
      <c r="E57" s="246">
        <f>'10K'!$E57*(1-$K$2)+H.Marathon!$E57*$K$2</f>
        <v>0.87330688024579706</v>
      </c>
      <c r="F57" s="244">
        <f t="shared" si="4"/>
        <v>87.53697376576946</v>
      </c>
      <c r="G57" s="224">
        <v>51</v>
      </c>
      <c r="H57" s="347" t="s">
        <v>1848</v>
      </c>
      <c r="I57" s="270" t="s">
        <v>1919</v>
      </c>
      <c r="J57" s="270" t="s">
        <v>1920</v>
      </c>
      <c r="K57" s="270" t="s">
        <v>301</v>
      </c>
      <c r="L57" s="271">
        <v>21552</v>
      </c>
      <c r="M57" s="267"/>
      <c r="N57" s="270" t="s">
        <v>1921</v>
      </c>
      <c r="O57" s="372">
        <v>40311</v>
      </c>
      <c r="P57" s="267"/>
      <c r="S57" s="224">
        <v>51</v>
      </c>
      <c r="T57" s="244">
        <v>87.53697376576946</v>
      </c>
    </row>
    <row r="58" spans="1:20">
      <c r="A58" s="224">
        <v>52</v>
      </c>
      <c r="B58" s="248">
        <v>3.8761574074074073E-2</v>
      </c>
      <c r="C58" s="231">
        <f t="shared" si="1"/>
        <v>55.816666666666663</v>
      </c>
      <c r="D58" s="231">
        <f t="shared" si="3"/>
        <v>50.731806379733193</v>
      </c>
      <c r="E58" s="246">
        <f>'10K'!$E58*(1-$K$2)+H.Marathon!$E58*$K$2</f>
        <v>0.86369222374409582</v>
      </c>
      <c r="F58" s="244">
        <f t="shared" si="4"/>
        <v>90.890068163152932</v>
      </c>
      <c r="G58" s="224">
        <v>52</v>
      </c>
      <c r="H58" s="347" t="s">
        <v>1849</v>
      </c>
      <c r="I58" s="253" t="s">
        <v>1264</v>
      </c>
      <c r="J58" s="253" t="s">
        <v>1265</v>
      </c>
      <c r="K58" s="270" t="s">
        <v>241</v>
      </c>
      <c r="L58" s="271">
        <v>14922</v>
      </c>
      <c r="M58" s="253" t="s">
        <v>1922</v>
      </c>
      <c r="N58" s="253" t="s">
        <v>1923</v>
      </c>
      <c r="O58" s="375">
        <v>34147</v>
      </c>
      <c r="P58" s="267"/>
      <c r="S58" s="224">
        <v>52</v>
      </c>
      <c r="T58" s="244">
        <v>90.890068163152932</v>
      </c>
    </row>
    <row r="59" spans="1:20">
      <c r="A59" s="224">
        <v>53</v>
      </c>
      <c r="B59" s="248">
        <v>3.9687500000000001E-2</v>
      </c>
      <c r="C59" s="231">
        <f t="shared" si="1"/>
        <v>57.15</v>
      </c>
      <c r="D59" s="231">
        <f t="shared" si="3"/>
        <v>51.314410839326776</v>
      </c>
      <c r="E59" s="246">
        <f>'10K'!$E59*(1-$K$2)+H.Marathon!$E59*$K$2</f>
        <v>0.85388618810928796</v>
      </c>
      <c r="F59" s="244">
        <f t="shared" si="4"/>
        <v>89.788995344403816</v>
      </c>
      <c r="G59" s="224">
        <v>53</v>
      </c>
      <c r="H59" s="347" t="s">
        <v>1850</v>
      </c>
      <c r="I59" s="270" t="s">
        <v>1748</v>
      </c>
      <c r="J59" s="270" t="s">
        <v>1924</v>
      </c>
      <c r="K59" s="270" t="s">
        <v>291</v>
      </c>
      <c r="L59" s="271">
        <v>16420</v>
      </c>
      <c r="M59" s="267"/>
      <c r="N59" s="270" t="s">
        <v>1912</v>
      </c>
      <c r="O59" s="372">
        <v>36107</v>
      </c>
      <c r="P59" s="267"/>
      <c r="S59" s="224">
        <v>53</v>
      </c>
      <c r="T59" s="244">
        <v>89.788995344403816</v>
      </c>
    </row>
    <row r="60" spans="1:20">
      <c r="A60" s="224">
        <v>54</v>
      </c>
      <c r="B60" s="248">
        <v>4.0185185185185185E-2</v>
      </c>
      <c r="C60" s="231">
        <f t="shared" si="1"/>
        <v>57.866666666666667</v>
      </c>
      <c r="D60" s="231">
        <f t="shared" si="3"/>
        <v>51.918452709646843</v>
      </c>
      <c r="E60" s="246">
        <f>'10K'!$E60*(1-$K$2)+H.Marathon!$E60*$K$2</f>
        <v>0.84395170464171398</v>
      </c>
      <c r="F60" s="244">
        <f t="shared" si="4"/>
        <v>89.720828415288324</v>
      </c>
      <c r="G60" s="224">
        <v>54</v>
      </c>
      <c r="H60" s="347" t="s">
        <v>1851</v>
      </c>
      <c r="I60" s="253" t="s">
        <v>1925</v>
      </c>
      <c r="J60" s="253" t="s">
        <v>1926</v>
      </c>
      <c r="K60" s="270" t="s">
        <v>241</v>
      </c>
      <c r="L60" s="271">
        <v>10885</v>
      </c>
      <c r="M60" s="253" t="s">
        <v>1927</v>
      </c>
      <c r="N60" s="253" t="s">
        <v>1928</v>
      </c>
      <c r="O60" s="375">
        <v>30780</v>
      </c>
      <c r="P60" s="267"/>
      <c r="S60" s="224">
        <v>54</v>
      </c>
      <c r="T60" s="244">
        <v>89.720828415288324</v>
      </c>
    </row>
    <row r="61" spans="1:20">
      <c r="A61" s="224">
        <v>55</v>
      </c>
      <c r="B61" s="248">
        <v>4.103009259259259E-2</v>
      </c>
      <c r="C61" s="231">
        <f t="shared" si="1"/>
        <v>59.083333333333329</v>
      </c>
      <c r="D61" s="231">
        <f t="shared" si="3"/>
        <v>52.546063758999324</v>
      </c>
      <c r="E61" s="246">
        <f>'10K'!$E61*(1-$K$2)+H.Marathon!$E61*$K$2</f>
        <v>0.83387153160758665</v>
      </c>
      <c r="F61" s="244">
        <f t="shared" si="4"/>
        <v>88.935509888292231</v>
      </c>
      <c r="G61" s="224">
        <v>55</v>
      </c>
      <c r="H61" s="347" t="s">
        <v>1852</v>
      </c>
      <c r="I61" s="270" t="s">
        <v>1929</v>
      </c>
      <c r="J61" s="270" t="s">
        <v>1930</v>
      </c>
      <c r="K61" s="270" t="s">
        <v>400</v>
      </c>
      <c r="L61" s="271">
        <v>18706</v>
      </c>
      <c r="M61" s="267" t="s">
        <v>1931</v>
      </c>
      <c r="N61" s="270" t="s">
        <v>1932</v>
      </c>
      <c r="O61" s="372">
        <v>39033</v>
      </c>
      <c r="P61" s="267"/>
      <c r="S61" s="224">
        <v>55</v>
      </c>
      <c r="T61" s="244">
        <v>88.935509888292231</v>
      </c>
    </row>
    <row r="62" spans="1:20">
      <c r="A62" s="224">
        <v>56</v>
      </c>
      <c r="B62" s="248">
        <v>4.1377314814814818E-2</v>
      </c>
      <c r="C62" s="231">
        <f t="shared" si="1"/>
        <v>59.583333333333336</v>
      </c>
      <c r="D62" s="231">
        <f t="shared" si="3"/>
        <v>53.197328780124103</v>
      </c>
      <c r="E62" s="246">
        <f>'10K'!$E62*(1-$K$2)+H.Marathon!$E62*$K$2</f>
        <v>0.8236629107406932</v>
      </c>
      <c r="F62" s="244">
        <f t="shared" si="4"/>
        <v>89.282230120488009</v>
      </c>
      <c r="G62" s="224">
        <v>56</v>
      </c>
      <c r="H62" s="347" t="s">
        <v>1853</v>
      </c>
      <c r="I62" s="253" t="s">
        <v>1933</v>
      </c>
      <c r="J62" s="253" t="s">
        <v>1934</v>
      </c>
      <c r="K62" s="270" t="s">
        <v>241</v>
      </c>
      <c r="L62" s="264"/>
      <c r="M62" s="253" t="s">
        <v>1935</v>
      </c>
      <c r="N62" s="253" t="s">
        <v>1936</v>
      </c>
      <c r="O62" s="375">
        <v>43015</v>
      </c>
      <c r="P62" s="267"/>
      <c r="S62" s="224">
        <v>56</v>
      </c>
      <c r="T62" s="244">
        <v>89.282230120488009</v>
      </c>
    </row>
    <row r="63" spans="1:20">
      <c r="A63" s="224">
        <v>57</v>
      </c>
      <c r="B63" s="248">
        <v>4.2557870370370371E-2</v>
      </c>
      <c r="C63" s="231">
        <f t="shared" si="1"/>
        <v>61.283333333333331</v>
      </c>
      <c r="D63" s="231">
        <f t="shared" si="3"/>
        <v>53.877615821382889</v>
      </c>
      <c r="E63" s="246">
        <f>'10K'!$E63*(1-$K$2)+H.Marathon!$E63*$K$2</f>
        <v>0.81326291074069312</v>
      </c>
      <c r="F63" s="244">
        <f t="shared" si="4"/>
        <v>87.915609172776001</v>
      </c>
      <c r="G63" s="224">
        <v>57</v>
      </c>
      <c r="H63" s="347" t="s">
        <v>1854</v>
      </c>
      <c r="I63" s="270" t="s">
        <v>1937</v>
      </c>
      <c r="J63" s="270" t="s">
        <v>1938</v>
      </c>
      <c r="K63" s="270" t="s">
        <v>1939</v>
      </c>
      <c r="L63" s="271">
        <v>19019</v>
      </c>
      <c r="M63" s="267"/>
      <c r="N63" s="270" t="s">
        <v>633</v>
      </c>
      <c r="O63" s="372">
        <v>40146</v>
      </c>
      <c r="P63" s="267"/>
      <c r="S63" s="224">
        <v>57</v>
      </c>
      <c r="T63" s="244">
        <v>87.915609172776001</v>
      </c>
    </row>
    <row r="64" spans="1:20">
      <c r="A64" s="224">
        <v>58</v>
      </c>
      <c r="B64" s="248">
        <v>4.238425925925926E-2</v>
      </c>
      <c r="C64" s="231">
        <f t="shared" si="1"/>
        <v>61.033333333333331</v>
      </c>
      <c r="D64" s="231">
        <f t="shared" si="3"/>
        <v>54.574941247365842</v>
      </c>
      <c r="E64" s="246">
        <f>'10K'!$E64*(1-$K$2)+H.Marathon!$E64*$K$2</f>
        <v>0.80287153160758662</v>
      </c>
      <c r="F64" s="244">
        <f t="shared" si="4"/>
        <v>89.418254364881236</v>
      </c>
      <c r="G64" s="224">
        <v>58</v>
      </c>
      <c r="H64" s="347" t="s">
        <v>1855</v>
      </c>
      <c r="I64" s="270" t="s">
        <v>360</v>
      </c>
      <c r="J64" s="270" t="s">
        <v>620</v>
      </c>
      <c r="K64" s="270" t="s">
        <v>241</v>
      </c>
      <c r="L64" s="271">
        <v>18901</v>
      </c>
      <c r="M64" s="267"/>
      <c r="N64" s="270" t="s">
        <v>1940</v>
      </c>
      <c r="O64" s="372">
        <v>40427</v>
      </c>
      <c r="P64" s="267"/>
      <c r="S64" s="224">
        <v>58</v>
      </c>
      <c r="T64" s="244">
        <v>89.418254364881236</v>
      </c>
    </row>
    <row r="65" spans="1:20">
      <c r="A65" s="224">
        <v>59</v>
      </c>
      <c r="B65" s="248">
        <v>4.0914351851851855E-2</v>
      </c>
      <c r="C65" s="231">
        <f t="shared" si="1"/>
        <v>58.916666666666671</v>
      </c>
      <c r="D65" s="231">
        <f t="shared" si="3"/>
        <v>55.294343447721324</v>
      </c>
      <c r="E65" s="246">
        <f>'10K'!$E65*(1-$K$2)+H.Marathon!$E65*$K$2</f>
        <v>0.79242584204103339</v>
      </c>
      <c r="F65" s="244">
        <f t="shared" si="4"/>
        <v>93.851785201224303</v>
      </c>
      <c r="G65" s="224">
        <v>59</v>
      </c>
      <c r="H65" s="347" t="s">
        <v>1856</v>
      </c>
      <c r="I65" s="270" t="s">
        <v>1055</v>
      </c>
      <c r="J65" s="270" t="s">
        <v>1056</v>
      </c>
      <c r="K65" s="270" t="s">
        <v>241</v>
      </c>
      <c r="L65" s="265">
        <v>23193</v>
      </c>
      <c r="M65" s="267" t="s">
        <v>1941</v>
      </c>
      <c r="N65" s="270" t="s">
        <v>285</v>
      </c>
      <c r="O65" s="372">
        <v>45039</v>
      </c>
      <c r="P65" s="267"/>
      <c r="S65" s="224">
        <v>59</v>
      </c>
      <c r="T65" s="244">
        <v>93.851785201224303</v>
      </c>
    </row>
    <row r="66" spans="1:20">
      <c r="A66" s="224">
        <v>60</v>
      </c>
      <c r="B66" s="248">
        <v>4.116898148148148E-2</v>
      </c>
      <c r="C66" s="231">
        <f t="shared" si="1"/>
        <v>59.283333333333331</v>
      </c>
      <c r="D66" s="231">
        <f t="shared" si="3"/>
        <v>56.029073838687637</v>
      </c>
      <c r="E66" s="246">
        <f>'10K'!$E66*(1-$K$2)+H.Marathon!$E66*$K$2</f>
        <v>0.782034462907927</v>
      </c>
      <c r="F66" s="244">
        <f t="shared" si="4"/>
        <v>94.510667144258036</v>
      </c>
      <c r="G66" s="224">
        <v>60</v>
      </c>
      <c r="H66" s="347" t="s">
        <v>1857</v>
      </c>
      <c r="I66" s="270" t="s">
        <v>1055</v>
      </c>
      <c r="J66" s="270" t="s">
        <v>1056</v>
      </c>
      <c r="K66" s="270" t="s">
        <v>241</v>
      </c>
      <c r="L66" s="265">
        <v>23193</v>
      </c>
      <c r="M66" s="263" t="s">
        <v>1942</v>
      </c>
      <c r="N66" s="262" t="s">
        <v>988</v>
      </c>
      <c r="O66" s="372">
        <v>45207</v>
      </c>
      <c r="P66" s="267"/>
      <c r="S66" s="224">
        <v>60</v>
      </c>
      <c r="T66" s="244">
        <v>94.510667144258036</v>
      </c>
    </row>
    <row r="67" spans="1:20">
      <c r="A67" s="224">
        <v>61</v>
      </c>
      <c r="B67" s="248">
        <v>4.445601851851852E-2</v>
      </c>
      <c r="C67" s="231">
        <f t="shared" si="1"/>
        <v>64.016666666666666</v>
      </c>
      <c r="D67" s="231">
        <f t="shared" si="3"/>
        <v>56.787589685783161</v>
      </c>
      <c r="E67" s="246">
        <f>'10K'!$E67*(1-$K$2)+H.Marathon!$E67*$K$2</f>
        <v>0.77158877334137366</v>
      </c>
      <c r="F67" s="244">
        <f t="shared" si="4"/>
        <v>88.707507970502206</v>
      </c>
      <c r="G67" s="224">
        <v>61</v>
      </c>
      <c r="H67" s="347" t="s">
        <v>1858</v>
      </c>
      <c r="I67" s="270" t="s">
        <v>847</v>
      </c>
      <c r="J67" s="270" t="s">
        <v>1943</v>
      </c>
      <c r="K67" s="270" t="s">
        <v>288</v>
      </c>
      <c r="L67" s="271">
        <v>19618</v>
      </c>
      <c r="M67" s="267"/>
      <c r="N67" s="270" t="s">
        <v>1944</v>
      </c>
      <c r="O67" s="372">
        <v>42063</v>
      </c>
      <c r="P67" s="267"/>
      <c r="S67" s="224">
        <v>61</v>
      </c>
      <c r="T67" s="244">
        <v>88.707507970502206</v>
      </c>
    </row>
    <row r="68" spans="1:20">
      <c r="A68" s="224">
        <v>62</v>
      </c>
      <c r="B68" s="248">
        <v>4.2164351851851849E-2</v>
      </c>
      <c r="C68" s="231">
        <f t="shared" si="1"/>
        <v>60.716666666666661</v>
      </c>
      <c r="D68" s="231">
        <f t="shared" si="3"/>
        <v>57.562817476853091</v>
      </c>
      <c r="E68" s="246">
        <f>'10K'!$E68*(1-$K$2)+H.Marathon!$E68*$K$2</f>
        <v>0.76119739420826715</v>
      </c>
      <c r="F68" s="244">
        <f t="shared" si="4"/>
        <v>94.805628564677065</v>
      </c>
      <c r="G68" s="224">
        <v>62</v>
      </c>
      <c r="H68" s="347" t="s">
        <v>1859</v>
      </c>
      <c r="I68" s="270" t="s">
        <v>360</v>
      </c>
      <c r="J68" s="270" t="s">
        <v>620</v>
      </c>
      <c r="K68" s="270" t="s">
        <v>241</v>
      </c>
      <c r="L68" s="271">
        <v>18901</v>
      </c>
      <c r="M68" s="253" t="s">
        <v>1945</v>
      </c>
      <c r="N68" s="253" t="s">
        <v>1946</v>
      </c>
      <c r="O68" s="375">
        <v>41573</v>
      </c>
      <c r="P68" s="267"/>
      <c r="S68" s="224">
        <v>62</v>
      </c>
      <c r="T68" s="244">
        <v>94.805628564677065</v>
      </c>
    </row>
    <row r="69" spans="1:20">
      <c r="A69" s="224">
        <v>63</v>
      </c>
      <c r="B69" s="248">
        <v>4.4502314814814814E-2</v>
      </c>
      <c r="C69" s="231">
        <f t="shared" si="1"/>
        <v>64.083333333333329</v>
      </c>
      <c r="D69" s="231">
        <f t="shared" si="3"/>
        <v>58.363725844055963</v>
      </c>
      <c r="E69" s="246">
        <f>'10K'!$E69*(1-$K$2)+H.Marathon!$E69*$K$2</f>
        <v>0.75075170464171392</v>
      </c>
      <c r="F69" s="244">
        <f t="shared" si="4"/>
        <v>91.074734737148461</v>
      </c>
      <c r="G69" s="224">
        <v>63</v>
      </c>
      <c r="H69" s="347" t="s">
        <v>1860</v>
      </c>
      <c r="I69" s="270" t="s">
        <v>822</v>
      </c>
      <c r="J69" s="270" t="s">
        <v>1947</v>
      </c>
      <c r="K69" s="270" t="s">
        <v>522</v>
      </c>
      <c r="L69" s="271">
        <v>17849</v>
      </c>
      <c r="M69" s="267"/>
      <c r="N69" s="270" t="s">
        <v>1948</v>
      </c>
      <c r="O69" s="372">
        <v>40985</v>
      </c>
      <c r="P69" s="267"/>
      <c r="S69" s="224">
        <v>63</v>
      </c>
      <c r="T69" s="244">
        <v>91.074734737148461</v>
      </c>
    </row>
    <row r="70" spans="1:20">
      <c r="A70" s="224">
        <v>64</v>
      </c>
      <c r="B70" s="248">
        <v>4.5243055555555557E-2</v>
      </c>
      <c r="C70" s="231">
        <f t="shared" si="1"/>
        <v>65.150000000000006</v>
      </c>
      <c r="D70" s="231">
        <f t="shared" si="3"/>
        <v>59.182894000385289</v>
      </c>
      <c r="E70" s="246">
        <f>'10K'!$E70*(1-$K$2)+H.Marathon!$E70*$K$2</f>
        <v>0.74036032550860753</v>
      </c>
      <c r="F70" s="244">
        <f t="shared" si="4"/>
        <v>90.840973139501585</v>
      </c>
      <c r="G70" s="224">
        <v>64</v>
      </c>
      <c r="H70" s="347" t="s">
        <v>692</v>
      </c>
      <c r="I70" s="270" t="s">
        <v>365</v>
      </c>
      <c r="J70" s="270" t="s">
        <v>1949</v>
      </c>
      <c r="K70" s="270" t="s">
        <v>241</v>
      </c>
      <c r="L70" s="271">
        <v>17959</v>
      </c>
      <c r="M70" s="253" t="s">
        <v>1945</v>
      </c>
      <c r="N70" s="253" t="s">
        <v>1946</v>
      </c>
      <c r="O70" s="375">
        <v>41573</v>
      </c>
      <c r="P70" s="267"/>
      <c r="S70" s="224">
        <v>64</v>
      </c>
      <c r="T70" s="244">
        <v>90.840973139501585</v>
      </c>
    </row>
    <row r="71" spans="1:20">
      <c r="A71" s="224">
        <v>65</v>
      </c>
      <c r="B71" s="248">
        <v>4.5185185185185182E-2</v>
      </c>
      <c r="C71" s="231">
        <f t="shared" si="1"/>
        <v>65.066666666666663</v>
      </c>
      <c r="D71" s="231">
        <f t="shared" si="3"/>
        <v>60.029850764829916</v>
      </c>
      <c r="E71" s="246">
        <f>'10K'!$E71*(1-$K$2)+H.Marathon!$E71*$K$2</f>
        <v>0.72991463594205419</v>
      </c>
      <c r="F71" s="244">
        <f t="shared" si="4"/>
        <v>92.258991954144349</v>
      </c>
      <c r="G71" s="224">
        <v>65</v>
      </c>
      <c r="H71" s="347" t="s">
        <v>1861</v>
      </c>
      <c r="I71" s="270" t="s">
        <v>360</v>
      </c>
      <c r="J71" s="270" t="s">
        <v>620</v>
      </c>
      <c r="K71" s="270" t="s">
        <v>241</v>
      </c>
      <c r="L71" s="271">
        <v>18901</v>
      </c>
      <c r="M71" s="253" t="s">
        <v>1950</v>
      </c>
      <c r="N71" s="253" t="s">
        <v>1453</v>
      </c>
      <c r="O71" s="375">
        <v>42799</v>
      </c>
      <c r="P71" s="267"/>
      <c r="S71" s="224">
        <v>65</v>
      </c>
      <c r="T71" s="244">
        <v>92.258991954144349</v>
      </c>
    </row>
    <row r="72" spans="1:20">
      <c r="A72" s="224">
        <v>66</v>
      </c>
      <c r="B72" s="248">
        <v>4.6666666666666669E-2</v>
      </c>
      <c r="C72" s="231">
        <f t="shared" si="1"/>
        <v>67.2</v>
      </c>
      <c r="D72" s="231">
        <f t="shared" si="3"/>
        <v>60.896803893444051</v>
      </c>
      <c r="E72" s="246">
        <f>'10K'!$E72*(1-$K$2)+H.Marathon!$E72*$K$2</f>
        <v>0.71952325680894769</v>
      </c>
      <c r="F72" s="244">
        <f t="shared" si="4"/>
        <v>90.62024388905364</v>
      </c>
      <c r="G72" s="224">
        <v>66</v>
      </c>
      <c r="H72" s="347" t="s">
        <v>1385</v>
      </c>
      <c r="I72" s="270" t="s">
        <v>365</v>
      </c>
      <c r="J72" s="270" t="s">
        <v>1949</v>
      </c>
      <c r="K72" s="270" t="s">
        <v>241</v>
      </c>
      <c r="L72" s="271">
        <v>17959</v>
      </c>
      <c r="M72" s="267" t="s">
        <v>1951</v>
      </c>
      <c r="N72" s="270" t="s">
        <v>1952</v>
      </c>
      <c r="O72" s="372">
        <v>42308</v>
      </c>
      <c r="P72" s="267"/>
      <c r="S72" s="224">
        <v>66</v>
      </c>
      <c r="T72" s="244">
        <v>90.62024388905364</v>
      </c>
    </row>
    <row r="73" spans="1:20">
      <c r="A73" s="224">
        <v>67</v>
      </c>
      <c r="B73" s="248">
        <v>4.6331018518518521E-2</v>
      </c>
      <c r="C73" s="231">
        <f t="shared" si="1"/>
        <v>66.716666666666669</v>
      </c>
      <c r="D73" s="231">
        <f t="shared" si="3"/>
        <v>61.793897721330907</v>
      </c>
      <c r="E73" s="246">
        <f>'10K'!$E73*(1-$K$2)+H.Marathon!$E73*$K$2</f>
        <v>0.70907756724239457</v>
      </c>
      <c r="F73" s="244">
        <f t="shared" si="4"/>
        <v>92.621380546586423</v>
      </c>
      <c r="G73" s="224">
        <v>67</v>
      </c>
      <c r="H73" s="347" t="s">
        <v>1862</v>
      </c>
      <c r="I73" s="270" t="s">
        <v>829</v>
      </c>
      <c r="J73" s="270" t="s">
        <v>914</v>
      </c>
      <c r="K73" s="270" t="s">
        <v>241</v>
      </c>
      <c r="L73" s="271">
        <v>15914</v>
      </c>
      <c r="M73" s="267"/>
      <c r="N73" s="270" t="s">
        <v>555</v>
      </c>
      <c r="O73" s="372">
        <v>40531</v>
      </c>
      <c r="P73" s="267"/>
      <c r="S73" s="224">
        <v>67</v>
      </c>
      <c r="T73" s="244">
        <v>92.621380546586423</v>
      </c>
    </row>
    <row r="74" spans="1:20">
      <c r="A74" s="224">
        <v>68</v>
      </c>
      <c r="B74" s="248">
        <v>4.6805555555555559E-2</v>
      </c>
      <c r="C74" s="231">
        <f t="shared" si="1"/>
        <v>67.400000000000006</v>
      </c>
      <c r="D74" s="231">
        <f t="shared" ref="D74:D105" si="5">E$4/E74</f>
        <v>62.71294239440855</v>
      </c>
      <c r="E74" s="246">
        <f>'10K'!$E74*(1-$K$2)+H.Marathon!$E74*$K$2</f>
        <v>0.69868618810928795</v>
      </c>
      <c r="F74" s="244">
        <f t="shared" si="4"/>
        <v>93.045908597045326</v>
      </c>
      <c r="G74" s="224">
        <v>68</v>
      </c>
      <c r="H74" s="347" t="s">
        <v>1863</v>
      </c>
      <c r="I74" s="270" t="s">
        <v>365</v>
      </c>
      <c r="J74" s="270" t="s">
        <v>1949</v>
      </c>
      <c r="K74" s="270" t="s">
        <v>241</v>
      </c>
      <c r="L74" s="271">
        <v>17959</v>
      </c>
      <c r="M74" s="253" t="s">
        <v>1945</v>
      </c>
      <c r="N74" s="253" t="s">
        <v>1946</v>
      </c>
      <c r="O74" s="375">
        <v>43036</v>
      </c>
      <c r="P74" s="267"/>
      <c r="S74" s="224">
        <v>68</v>
      </c>
      <c r="T74" s="244">
        <v>93.045908597045326</v>
      </c>
    </row>
    <row r="75" spans="1:20">
      <c r="A75" s="224">
        <v>69</v>
      </c>
      <c r="B75" s="248">
        <v>4.8715277777777781E-2</v>
      </c>
      <c r="C75" s="231">
        <f t="shared" ref="C75:C89" si="6">B75*1440</f>
        <v>70.150000000000006</v>
      </c>
      <c r="D75" s="231">
        <f t="shared" si="5"/>
        <v>63.664760733265645</v>
      </c>
      <c r="E75" s="246">
        <f>'10K'!$E75*(1-$K$2)+H.Marathon!$E75*$K$2</f>
        <v>0.68824049854273472</v>
      </c>
      <c r="F75" s="244">
        <f t="shared" si="4"/>
        <v>90.755182798668059</v>
      </c>
      <c r="G75" s="224">
        <v>69</v>
      </c>
      <c r="H75" s="347" t="s">
        <v>1864</v>
      </c>
      <c r="I75" s="224" t="s">
        <v>382</v>
      </c>
      <c r="J75" s="224" t="s">
        <v>383</v>
      </c>
      <c r="K75" s="270" t="s">
        <v>241</v>
      </c>
      <c r="L75" s="271"/>
      <c r="M75" s="253" t="s">
        <v>1945</v>
      </c>
      <c r="N75" s="253" t="s">
        <v>1946</v>
      </c>
      <c r="O75" s="375">
        <v>43036</v>
      </c>
      <c r="P75" s="267"/>
      <c r="S75" s="224">
        <v>69</v>
      </c>
      <c r="T75" s="244">
        <v>90.755182798668059</v>
      </c>
    </row>
    <row r="76" spans="1:20">
      <c r="A76" s="224">
        <v>70</v>
      </c>
      <c r="B76" s="248">
        <v>5.0601851851851849E-2</v>
      </c>
      <c r="C76" s="231">
        <f t="shared" si="6"/>
        <v>72.86666666666666</v>
      </c>
      <c r="D76" s="231">
        <f t="shared" si="5"/>
        <v>64.640737019513622</v>
      </c>
      <c r="E76" s="246">
        <f>'10K'!$E76*(1-$K$2)+H.Marathon!$E76*$K$2</f>
        <v>0.67784911940962833</v>
      </c>
      <c r="F76" s="244">
        <f t="shared" si="4"/>
        <v>88.71098401580096</v>
      </c>
      <c r="G76" s="224">
        <v>70</v>
      </c>
      <c r="H76" s="347" t="s">
        <v>1865</v>
      </c>
      <c r="I76" s="270" t="s">
        <v>1423</v>
      </c>
      <c r="J76" s="270" t="s">
        <v>1953</v>
      </c>
      <c r="K76" s="270" t="s">
        <v>291</v>
      </c>
      <c r="L76" s="271">
        <v>12540</v>
      </c>
      <c r="M76" s="267"/>
      <c r="N76" s="270" t="s">
        <v>1893</v>
      </c>
      <c r="O76" s="372">
        <v>38312</v>
      </c>
      <c r="P76" s="267"/>
      <c r="S76" s="224">
        <v>70</v>
      </c>
      <c r="T76" s="244">
        <v>88.71098401580096</v>
      </c>
    </row>
    <row r="77" spans="1:20">
      <c r="A77" s="224">
        <v>71</v>
      </c>
      <c r="B77" s="248">
        <v>5.3587962962962962E-2</v>
      </c>
      <c r="C77" s="231">
        <f t="shared" si="6"/>
        <v>77.166666666666671</v>
      </c>
      <c r="D77" s="231">
        <f t="shared" si="5"/>
        <v>65.652444544627485</v>
      </c>
      <c r="E77" s="246">
        <f>'10K'!$E77*(1-$K$2)+H.Marathon!$E77*$K$2</f>
        <v>0.6674034298430751</v>
      </c>
      <c r="F77" s="244">
        <f t="shared" si="4"/>
        <v>85.078761828890904</v>
      </c>
      <c r="G77" s="224">
        <v>71</v>
      </c>
      <c r="H77" s="347" t="s">
        <v>1866</v>
      </c>
      <c r="I77" s="270" t="s">
        <v>1954</v>
      </c>
      <c r="J77" s="270" t="s">
        <v>1955</v>
      </c>
      <c r="K77" s="270" t="s">
        <v>241</v>
      </c>
      <c r="L77" s="271">
        <v>15492</v>
      </c>
      <c r="M77" s="267"/>
      <c r="N77" s="270" t="s">
        <v>1891</v>
      </c>
      <c r="O77" s="372">
        <v>41459</v>
      </c>
      <c r="P77" s="267"/>
      <c r="S77" s="224">
        <v>71</v>
      </c>
      <c r="T77" s="244">
        <v>85.078761828890904</v>
      </c>
    </row>
    <row r="78" spans="1:20">
      <c r="A78" s="224">
        <v>72</v>
      </c>
      <c r="B78" s="248">
        <v>5.1747685185185188E-2</v>
      </c>
      <c r="C78" s="231">
        <f t="shared" si="6"/>
        <v>74.516666666666666</v>
      </c>
      <c r="D78" s="231">
        <f t="shared" si="5"/>
        <v>66.690811255772701</v>
      </c>
      <c r="E78" s="246">
        <f>'10K'!$E78*(1-$K$2)+H.Marathon!$E78*$K$2</f>
        <v>0.65701205070996849</v>
      </c>
      <c r="F78" s="244">
        <f t="shared" si="4"/>
        <v>89.497845568024204</v>
      </c>
      <c r="G78" s="224">
        <v>72</v>
      </c>
      <c r="H78" s="347" t="s">
        <v>1867</v>
      </c>
      <c r="I78" s="270" t="s">
        <v>1423</v>
      </c>
      <c r="J78" s="270" t="s">
        <v>1953</v>
      </c>
      <c r="K78" s="270" t="s">
        <v>291</v>
      </c>
      <c r="L78" s="271">
        <v>12540</v>
      </c>
      <c r="M78" s="267"/>
      <c r="N78" s="270" t="s">
        <v>1893</v>
      </c>
      <c r="O78" s="372">
        <v>39040</v>
      </c>
      <c r="P78" s="267"/>
      <c r="S78" s="224">
        <v>72</v>
      </c>
      <c r="T78" s="244">
        <v>89.497845568024204</v>
      </c>
    </row>
    <row r="79" spans="1:20">
      <c r="A79" s="224">
        <v>73</v>
      </c>
      <c r="B79" s="248">
        <v>5.1840277777777777E-2</v>
      </c>
      <c r="C79" s="231">
        <f t="shared" si="6"/>
        <v>74.650000000000006</v>
      </c>
      <c r="D79" s="231">
        <f t="shared" si="5"/>
        <v>67.768243601754094</v>
      </c>
      <c r="E79" s="246">
        <f>'10K'!$E79*(1-$K$2)+H.Marathon!$E79*$K$2</f>
        <v>0.64656636114341515</v>
      </c>
      <c r="F79" s="244">
        <f t="shared" si="4"/>
        <v>90.781304222041655</v>
      </c>
      <c r="G79" s="224">
        <v>73</v>
      </c>
      <c r="H79" s="368" t="s">
        <v>1868</v>
      </c>
      <c r="I79" s="224" t="s">
        <v>1956</v>
      </c>
      <c r="J79" s="224" t="s">
        <v>1957</v>
      </c>
      <c r="K79" s="270" t="s">
        <v>241</v>
      </c>
      <c r="L79" s="264"/>
      <c r="M79" s="224" t="s">
        <v>1958</v>
      </c>
      <c r="N79" s="224" t="s">
        <v>1959</v>
      </c>
      <c r="O79" s="375">
        <v>42791</v>
      </c>
      <c r="P79" s="267"/>
      <c r="S79" s="224">
        <v>73</v>
      </c>
      <c r="T79" s="244">
        <v>90.781304222041655</v>
      </c>
    </row>
    <row r="80" spans="1:20">
      <c r="A80" s="224">
        <v>74</v>
      </c>
      <c r="B80" s="248">
        <v>5.3182870370370373E-2</v>
      </c>
      <c r="C80" s="231">
        <f t="shared" si="6"/>
        <v>76.583333333333343</v>
      </c>
      <c r="D80" s="231">
        <f t="shared" si="5"/>
        <v>68.875180423169553</v>
      </c>
      <c r="E80" s="246">
        <f>'10K'!$E80*(1-$K$2)+H.Marathon!$E80*$K$2</f>
        <v>0.63617498201030886</v>
      </c>
      <c r="F80" s="244">
        <f t="shared" si="4"/>
        <v>89.934947233736068</v>
      </c>
      <c r="G80" s="224">
        <v>74</v>
      </c>
      <c r="H80" s="347" t="s">
        <v>1869</v>
      </c>
      <c r="I80" s="224" t="s">
        <v>662</v>
      </c>
      <c r="J80" s="224" t="s">
        <v>663</v>
      </c>
      <c r="K80" s="270" t="s">
        <v>241</v>
      </c>
      <c r="L80" s="271">
        <v>6357</v>
      </c>
      <c r="M80" s="224" t="s">
        <v>1960</v>
      </c>
      <c r="N80" s="224" t="s">
        <v>1961</v>
      </c>
      <c r="O80" s="375">
        <v>33720</v>
      </c>
      <c r="P80" s="224"/>
      <c r="S80" s="224">
        <v>74</v>
      </c>
      <c r="T80" s="244">
        <v>89.934947233736068</v>
      </c>
    </row>
    <row r="81" spans="1:20">
      <c r="A81" s="224">
        <v>75</v>
      </c>
      <c r="B81" s="248">
        <v>5.0960648148148151E-2</v>
      </c>
      <c r="C81" s="231">
        <f t="shared" si="6"/>
        <v>73.38333333333334</v>
      </c>
      <c r="D81" s="231">
        <f t="shared" si="5"/>
        <v>70.024956791686691</v>
      </c>
      <c r="E81" s="246">
        <f>'10K'!$E81*(1-$K$2)+H.Marathon!$E81*$K$2</f>
        <v>0.62572929244375564</v>
      </c>
      <c r="F81" s="244">
        <f t="shared" si="4"/>
        <v>95.423515955057937</v>
      </c>
      <c r="G81" s="224">
        <v>75</v>
      </c>
      <c r="H81" s="347" t="s">
        <v>1870</v>
      </c>
      <c r="I81" s="262" t="s">
        <v>382</v>
      </c>
      <c r="J81" s="262" t="s">
        <v>383</v>
      </c>
      <c r="K81" s="270" t="s">
        <v>241</v>
      </c>
      <c r="L81" s="271">
        <v>17637</v>
      </c>
      <c r="M81" s="263" t="s">
        <v>1942</v>
      </c>
      <c r="N81" s="262" t="s">
        <v>988</v>
      </c>
      <c r="O81" s="372">
        <v>45207</v>
      </c>
      <c r="P81" s="224"/>
      <c r="S81" s="224">
        <v>75</v>
      </c>
      <c r="T81" s="244">
        <v>95.423515955057937</v>
      </c>
    </row>
    <row r="82" spans="1:20">
      <c r="A82" s="224">
        <v>76</v>
      </c>
      <c r="B82" s="248">
        <v>5.6678240740740737E-2</v>
      </c>
      <c r="C82" s="231">
        <f t="shared" si="6"/>
        <v>81.61666666666666</v>
      </c>
      <c r="D82" s="231">
        <f t="shared" si="5"/>
        <v>71.226346889920208</v>
      </c>
      <c r="E82" s="246">
        <f>'10K'!$E82*(1-$K$2)+H.Marathon!$E82*$K$2</f>
        <v>0.61517498201030874</v>
      </c>
      <c r="F82" s="244">
        <f t="shared" si="4"/>
        <v>87.269365190835472</v>
      </c>
      <c r="G82" s="224">
        <v>76</v>
      </c>
      <c r="H82" s="347" t="s">
        <v>1871</v>
      </c>
      <c r="I82" s="224" t="s">
        <v>662</v>
      </c>
      <c r="J82" s="224" t="s">
        <v>663</v>
      </c>
      <c r="K82" s="270" t="s">
        <v>241</v>
      </c>
      <c r="L82" s="271">
        <v>6357</v>
      </c>
      <c r="M82" s="224" t="s">
        <v>1960</v>
      </c>
      <c r="N82" s="224" t="s">
        <v>1961</v>
      </c>
      <c r="O82" s="375">
        <v>34448</v>
      </c>
      <c r="P82" s="224"/>
      <c r="S82" s="224">
        <v>76</v>
      </c>
      <c r="T82" s="244">
        <v>87.269365190835472</v>
      </c>
    </row>
    <row r="83" spans="1:20">
      <c r="A83" s="224">
        <v>77</v>
      </c>
      <c r="B83" s="248">
        <v>5.5370370370370368E-2</v>
      </c>
      <c r="C83" s="231">
        <f t="shared" si="6"/>
        <v>79.733333333333334</v>
      </c>
      <c r="D83" s="231">
        <f t="shared" si="5"/>
        <v>72.521794653705172</v>
      </c>
      <c r="E83" s="246">
        <f>'10K'!$E83*(1-$K$2)+H.Marathon!$E83*$K$2</f>
        <v>0.60418618810928804</v>
      </c>
      <c r="F83" s="244">
        <f t="shared" si="4"/>
        <v>90.955428077389428</v>
      </c>
      <c r="G83" s="224">
        <v>77</v>
      </c>
      <c r="H83" s="347" t="s">
        <v>1872</v>
      </c>
      <c r="I83" s="224" t="s">
        <v>662</v>
      </c>
      <c r="J83" s="224" t="s">
        <v>663</v>
      </c>
      <c r="K83" s="270" t="s">
        <v>241</v>
      </c>
      <c r="L83" s="271">
        <v>6357</v>
      </c>
      <c r="M83" s="224" t="s">
        <v>1960</v>
      </c>
      <c r="N83" s="224" t="s">
        <v>1961</v>
      </c>
      <c r="O83" s="375">
        <v>34812</v>
      </c>
      <c r="P83" s="224"/>
      <c r="S83" s="224">
        <v>77</v>
      </c>
      <c r="T83" s="244">
        <v>90.955428077389428</v>
      </c>
    </row>
    <row r="84" spans="1:20">
      <c r="A84" s="224">
        <v>78</v>
      </c>
      <c r="B84" s="248">
        <v>6.204861111111111E-2</v>
      </c>
      <c r="C84" s="231">
        <f t="shared" si="6"/>
        <v>89.35</v>
      </c>
      <c r="D84" s="231">
        <f t="shared" si="5"/>
        <v>73.977476678311348</v>
      </c>
      <c r="E84" s="246">
        <f>'10K'!$E84*(1-$K$2)+H.Marathon!$E84*$K$2</f>
        <v>0.59229739420826721</v>
      </c>
      <c r="F84" s="244">
        <f t="shared" si="4"/>
        <v>82.795161363526972</v>
      </c>
      <c r="G84" s="224">
        <v>78</v>
      </c>
      <c r="H84" s="347" t="s">
        <v>1873</v>
      </c>
      <c r="I84" s="224" t="s">
        <v>662</v>
      </c>
      <c r="J84" s="224" t="s">
        <v>663</v>
      </c>
      <c r="K84" s="270" t="s">
        <v>241</v>
      </c>
      <c r="L84" s="271">
        <v>6357</v>
      </c>
      <c r="M84" s="224" t="s">
        <v>1960</v>
      </c>
      <c r="N84" s="224" t="s">
        <v>1961</v>
      </c>
      <c r="O84" s="375">
        <v>35176</v>
      </c>
      <c r="P84" s="224"/>
      <c r="S84" s="224">
        <v>78</v>
      </c>
      <c r="T84" s="244">
        <v>82.795161363526972</v>
      </c>
    </row>
    <row r="85" spans="1:20">
      <c r="A85" s="224">
        <v>79</v>
      </c>
      <c r="B85" s="248">
        <v>5.9085648148148151E-2</v>
      </c>
      <c r="C85" s="231">
        <f t="shared" si="6"/>
        <v>85.083333333333343</v>
      </c>
      <c r="D85" s="231">
        <f t="shared" si="5"/>
        <v>75.595867524271526</v>
      </c>
      <c r="E85" s="246">
        <f>'10K'!$E85*(1-$K$2)+H.Marathon!$E85*$K$2</f>
        <v>0.57961722117413994</v>
      </c>
      <c r="F85" s="244">
        <f t="shared" si="4"/>
        <v>88.849207668095815</v>
      </c>
      <c r="G85" s="224">
        <v>79</v>
      </c>
      <c r="H85" s="347" t="s">
        <v>1874</v>
      </c>
      <c r="I85" s="224" t="s">
        <v>662</v>
      </c>
      <c r="J85" s="224" t="s">
        <v>663</v>
      </c>
      <c r="K85" s="270" t="s">
        <v>241</v>
      </c>
      <c r="L85" s="271">
        <v>6357</v>
      </c>
      <c r="M85" s="224" t="s">
        <v>1960</v>
      </c>
      <c r="N85" s="224" t="s">
        <v>1961</v>
      </c>
      <c r="O85" s="375">
        <v>35540</v>
      </c>
      <c r="P85" s="224"/>
      <c r="S85" s="224">
        <v>79</v>
      </c>
      <c r="T85" s="244">
        <v>88.849207668095815</v>
      </c>
    </row>
    <row r="86" spans="1:20">
      <c r="A86" s="224">
        <v>80</v>
      </c>
      <c r="B86" s="248">
        <v>5.9131944444444445E-2</v>
      </c>
      <c r="C86" s="231">
        <f t="shared" si="6"/>
        <v>85.15</v>
      </c>
      <c r="D86" s="231">
        <f t="shared" si="5"/>
        <v>77.414608230183205</v>
      </c>
      <c r="E86" s="246">
        <f>'10K'!$E86*(1-$K$2)+H.Marathon!$E86*$K$2</f>
        <v>0.56599997944035296</v>
      </c>
      <c r="F86" s="244">
        <f t="shared" si="4"/>
        <v>90.915570440614445</v>
      </c>
      <c r="G86" s="224">
        <v>80</v>
      </c>
      <c r="H86" s="347" t="s">
        <v>1875</v>
      </c>
      <c r="I86" s="270" t="s">
        <v>390</v>
      </c>
      <c r="J86" s="270" t="s">
        <v>1962</v>
      </c>
      <c r="K86" s="270" t="s">
        <v>241</v>
      </c>
      <c r="L86" s="271">
        <v>13343</v>
      </c>
      <c r="M86" s="267" t="s">
        <v>1951</v>
      </c>
      <c r="N86" s="270" t="s">
        <v>1952</v>
      </c>
      <c r="O86" s="372">
        <v>42672</v>
      </c>
      <c r="P86" s="224"/>
      <c r="S86" s="224">
        <v>80</v>
      </c>
      <c r="T86" s="244">
        <v>90.915570440614445</v>
      </c>
    </row>
    <row r="87" spans="1:20">
      <c r="A87" s="224">
        <v>81</v>
      </c>
      <c r="B87" s="248">
        <v>6.0763888888888888E-2</v>
      </c>
      <c r="C87" s="231">
        <f t="shared" si="6"/>
        <v>87.5</v>
      </c>
      <c r="D87" s="231">
        <f t="shared" si="5"/>
        <v>79.452471801539389</v>
      </c>
      <c r="E87" s="246">
        <f>'10K'!$E87*(1-$K$2)+H.Marathon!$E87*$K$2</f>
        <v>0.55148273770656586</v>
      </c>
      <c r="F87" s="244">
        <f t="shared" si="4"/>
        <v>90.802824916045012</v>
      </c>
      <c r="G87" s="224">
        <v>81</v>
      </c>
      <c r="H87" s="347" t="s">
        <v>1327</v>
      </c>
      <c r="I87" s="224" t="s">
        <v>662</v>
      </c>
      <c r="J87" s="224" t="s">
        <v>663</v>
      </c>
      <c r="K87" s="270" t="s">
        <v>241</v>
      </c>
      <c r="L87" s="271">
        <v>6357</v>
      </c>
      <c r="M87" s="224" t="s">
        <v>1960</v>
      </c>
      <c r="N87" s="224" t="s">
        <v>1961</v>
      </c>
      <c r="O87" s="375">
        <v>36268</v>
      </c>
      <c r="P87" s="224"/>
      <c r="S87" s="224">
        <v>81</v>
      </c>
      <c r="T87" s="244">
        <v>90.802824916045012</v>
      </c>
    </row>
    <row r="88" spans="1:20">
      <c r="A88" s="224">
        <v>82</v>
      </c>
      <c r="B88" s="248">
        <v>7.0775462962962957E-2</v>
      </c>
      <c r="C88" s="231">
        <f t="shared" si="6"/>
        <v>101.91666666666666</v>
      </c>
      <c r="D88" s="231">
        <f t="shared" si="5"/>
        <v>81.734895725462579</v>
      </c>
      <c r="E88" s="246">
        <f>'10K'!$E88*(1-$K$2)+H.Marathon!$E88*$K$2</f>
        <v>0.53608273770656589</v>
      </c>
      <c r="F88" s="244"/>
      <c r="G88" s="224">
        <v>82</v>
      </c>
      <c r="H88" s="347" t="s">
        <v>1876</v>
      </c>
      <c r="I88" s="224" t="s">
        <v>662</v>
      </c>
      <c r="J88" s="224" t="s">
        <v>663</v>
      </c>
      <c r="K88" s="270" t="s">
        <v>241</v>
      </c>
      <c r="L88" s="271">
        <v>6357</v>
      </c>
      <c r="M88" s="224" t="s">
        <v>1960</v>
      </c>
      <c r="N88" s="224" t="s">
        <v>1961</v>
      </c>
      <c r="O88" s="375">
        <v>36632</v>
      </c>
      <c r="P88" s="224"/>
      <c r="S88" s="224">
        <v>82</v>
      </c>
      <c r="T88" s="244"/>
    </row>
    <row r="89" spans="1:20">
      <c r="A89" s="224">
        <v>83</v>
      </c>
      <c r="B89" s="248">
        <v>7.677083333333333E-2</v>
      </c>
      <c r="C89" s="231">
        <f t="shared" si="6"/>
        <v>110.55</v>
      </c>
      <c r="D89" s="231">
        <f t="shared" si="5"/>
        <v>84.29664315105056</v>
      </c>
      <c r="E89" s="246">
        <f>'10K'!$E89*(1-$K$2)+H.Marathon!$E89*$K$2</f>
        <v>0.51979135857345937</v>
      </c>
      <c r="F89" s="244">
        <f>100*(D89/C89)</f>
        <v>76.252051697015432</v>
      </c>
      <c r="G89" s="224">
        <v>83</v>
      </c>
      <c r="H89" s="347" t="s">
        <v>1877</v>
      </c>
      <c r="I89" s="224" t="s">
        <v>662</v>
      </c>
      <c r="J89" s="224" t="s">
        <v>663</v>
      </c>
      <c r="K89" s="270" t="s">
        <v>241</v>
      </c>
      <c r="L89" s="271">
        <v>6357</v>
      </c>
      <c r="M89" s="224" t="s">
        <v>1960</v>
      </c>
      <c r="N89" s="224" t="s">
        <v>1961</v>
      </c>
      <c r="O89" s="372">
        <v>37003</v>
      </c>
      <c r="P89" s="224"/>
      <c r="S89" s="224">
        <v>83</v>
      </c>
      <c r="T89" s="244">
        <v>76.252051697015432</v>
      </c>
    </row>
    <row r="90" spans="1:20">
      <c r="A90" s="224">
        <v>84</v>
      </c>
      <c r="B90" s="248">
        <v>7.2523148148148142E-2</v>
      </c>
      <c r="C90" s="231"/>
      <c r="D90" s="231">
        <f t="shared" si="5"/>
        <v>87.186431251140831</v>
      </c>
      <c r="E90" s="246">
        <f>'10K'!$E90*(1-$K$2)+H.Marathon!$E90*$K$2</f>
        <v>0.50256291074069315</v>
      </c>
      <c r="F90" s="334"/>
      <c r="G90" s="224">
        <v>84</v>
      </c>
      <c r="H90" s="368" t="s">
        <v>1878</v>
      </c>
      <c r="I90" s="224" t="s">
        <v>1963</v>
      </c>
      <c r="J90" s="224" t="s">
        <v>1964</v>
      </c>
      <c r="K90" s="270" t="s">
        <v>241</v>
      </c>
      <c r="L90" s="271"/>
      <c r="M90" s="267"/>
      <c r="N90" s="270" t="s">
        <v>1965</v>
      </c>
      <c r="O90" s="375">
        <v>35595</v>
      </c>
      <c r="P90" s="224"/>
    </row>
    <row r="91" spans="1:20">
      <c r="A91" s="224">
        <v>85</v>
      </c>
      <c r="B91" s="248"/>
      <c r="C91" s="231"/>
      <c r="D91" s="231">
        <f t="shared" si="5"/>
        <v>90.44911132797462</v>
      </c>
      <c r="E91" s="246">
        <f>'10K'!$E91*(1-$K$2)+H.Marathon!$E91*$K$2</f>
        <v>0.48443446290792691</v>
      </c>
      <c r="F91" s="334"/>
      <c r="G91" s="224">
        <v>85</v>
      </c>
      <c r="H91" s="347"/>
      <c r="I91" s="224"/>
      <c r="J91" s="224"/>
      <c r="K91" s="224"/>
      <c r="L91" s="224"/>
      <c r="M91" s="224"/>
      <c r="N91" s="224"/>
      <c r="O91" s="373"/>
      <c r="P91" s="224"/>
    </row>
    <row r="92" spans="1:20">
      <c r="A92" s="224">
        <v>86</v>
      </c>
      <c r="B92" s="248"/>
      <c r="C92" s="231"/>
      <c r="D92" s="231">
        <f t="shared" si="5"/>
        <v>94.143698291065505</v>
      </c>
      <c r="E92" s="246">
        <f>'10K'!$E92*(1-$K$2)+H.Marathon!$E92*$K$2</f>
        <v>0.46542325680894769</v>
      </c>
      <c r="F92" s="334"/>
      <c r="G92" s="224">
        <v>86</v>
      </c>
      <c r="H92" s="347"/>
      <c r="I92" s="224"/>
      <c r="J92" s="224"/>
      <c r="K92" s="224"/>
      <c r="L92" s="224"/>
      <c r="M92" s="224"/>
      <c r="N92" s="224"/>
      <c r="O92" s="373"/>
      <c r="P92" s="224"/>
    </row>
    <row r="93" spans="1:20">
      <c r="A93" s="224">
        <v>87</v>
      </c>
      <c r="B93" s="248">
        <v>7.0775462962962957E-2</v>
      </c>
      <c r="C93" s="231"/>
      <c r="D93" s="231">
        <f t="shared" si="5"/>
        <v>98.349345972170781</v>
      </c>
      <c r="E93" s="246">
        <f>'10K'!$E93*(1-$K$2)+H.Marathon!$E93*$K$2</f>
        <v>0.44552067157686198</v>
      </c>
      <c r="F93" s="334"/>
      <c r="G93" s="224">
        <v>87</v>
      </c>
      <c r="H93" s="347" t="s">
        <v>1876</v>
      </c>
      <c r="I93" s="270" t="s">
        <v>1966</v>
      </c>
      <c r="J93" s="270" t="s">
        <v>1967</v>
      </c>
      <c r="K93" s="270" t="s">
        <v>241</v>
      </c>
      <c r="L93" s="271">
        <v>10540</v>
      </c>
      <c r="M93" s="267"/>
      <c r="N93" s="270" t="s">
        <v>1885</v>
      </c>
      <c r="O93" s="372">
        <v>42441</v>
      </c>
      <c r="P93" s="224"/>
    </row>
    <row r="94" spans="1:20">
      <c r="A94" s="224">
        <v>88</v>
      </c>
      <c r="B94" s="248"/>
      <c r="C94" s="231"/>
      <c r="D94" s="231">
        <f t="shared" si="5"/>
        <v>103.17757169781176</v>
      </c>
      <c r="E94" s="246">
        <f>'10K'!$E94*(1-$K$2)+H.Marathon!$E94*$K$2</f>
        <v>0.42467239677822305</v>
      </c>
      <c r="F94" s="334"/>
      <c r="G94" s="224">
        <v>88</v>
      </c>
      <c r="H94" s="368"/>
      <c r="I94" s="224"/>
      <c r="J94" s="224"/>
      <c r="K94" s="224"/>
      <c r="L94" s="224"/>
      <c r="M94" s="224"/>
      <c r="N94" s="224"/>
      <c r="O94" s="373"/>
      <c r="P94" s="224"/>
    </row>
    <row r="95" spans="1:20">
      <c r="A95" s="224">
        <v>89</v>
      </c>
      <c r="B95" s="248"/>
      <c r="C95" s="231"/>
      <c r="D95" s="231">
        <f t="shared" si="5"/>
        <v>108.74204192606864</v>
      </c>
      <c r="E95" s="246">
        <f>'10K'!$E95*(1-$K$2)+H.Marathon!$E95*$K$2</f>
        <v>0.40294136371337108</v>
      </c>
      <c r="F95" s="334"/>
      <c r="G95" s="224">
        <v>89</v>
      </c>
      <c r="H95" s="280"/>
      <c r="I95" s="224"/>
      <c r="J95" s="224"/>
      <c r="K95" s="224"/>
      <c r="L95" s="224"/>
      <c r="M95" s="224"/>
      <c r="N95" s="224"/>
      <c r="O95" s="373"/>
      <c r="P95" s="224"/>
    </row>
    <row r="96" spans="1:20">
      <c r="A96" s="224">
        <v>90</v>
      </c>
      <c r="B96" s="248">
        <v>7.677083333333333E-2</v>
      </c>
      <c r="C96" s="231"/>
      <c r="D96" s="231">
        <f t="shared" si="5"/>
        <v>115.19647710162543</v>
      </c>
      <c r="E96" s="246">
        <f>'10K'!$E96*(1-$K$2)+H.Marathon!$E96*$K$2</f>
        <v>0.38036464108196599</v>
      </c>
      <c r="F96" s="334"/>
      <c r="G96" s="224">
        <v>90</v>
      </c>
      <c r="H96" s="347" t="s">
        <v>1877</v>
      </c>
      <c r="I96" s="270" t="s">
        <v>1968</v>
      </c>
      <c r="J96" s="270" t="s">
        <v>1969</v>
      </c>
      <c r="K96" s="270" t="s">
        <v>241</v>
      </c>
      <c r="L96" s="271">
        <v>9212</v>
      </c>
      <c r="M96" s="267"/>
      <c r="N96" s="270" t="s">
        <v>1916</v>
      </c>
      <c r="O96" s="372">
        <v>42420</v>
      </c>
      <c r="P96" s="224"/>
    </row>
    <row r="97" spans="1:16">
      <c r="A97" s="224">
        <v>91</v>
      </c>
      <c r="B97" s="248">
        <v>7.2523148148148142E-2</v>
      </c>
      <c r="C97" s="231"/>
      <c r="D97" s="231">
        <f t="shared" si="5"/>
        <v>122.80575016362884</v>
      </c>
      <c r="E97" s="246">
        <f>'10K'!$E97*(1-$K$2)+H.Marathon!$E97*$K$2</f>
        <v>0.35679653931745431</v>
      </c>
      <c r="F97" s="334"/>
      <c r="G97" s="224">
        <v>91</v>
      </c>
      <c r="H97" s="368" t="s">
        <v>1878</v>
      </c>
      <c r="I97" s="270" t="s">
        <v>1968</v>
      </c>
      <c r="J97" s="270" t="s">
        <v>1969</v>
      </c>
      <c r="K97" s="270" t="s">
        <v>241</v>
      </c>
      <c r="L97" s="271">
        <v>9212</v>
      </c>
      <c r="M97" s="267"/>
      <c r="N97" s="270" t="s">
        <v>1916</v>
      </c>
      <c r="O97" s="372">
        <v>42791</v>
      </c>
      <c r="P97" s="224"/>
    </row>
    <row r="98" spans="1:16">
      <c r="A98" s="224">
        <v>92</v>
      </c>
      <c r="B98" s="248">
        <v>0.11039351851851852</v>
      </c>
      <c r="C98" s="231"/>
      <c r="D98" s="231">
        <f t="shared" si="5"/>
        <v>131.82251638431467</v>
      </c>
      <c r="E98" s="246">
        <f>'10K'!$E98*(1-$K$2)+H.Marathon!$E98*$K$2</f>
        <v>0.33239136885328291</v>
      </c>
      <c r="F98" s="334"/>
      <c r="G98" s="224">
        <v>92</v>
      </c>
      <c r="H98" s="368" t="s">
        <v>1879</v>
      </c>
      <c r="I98" s="270" t="s">
        <v>1968</v>
      </c>
      <c r="J98" s="270" t="s">
        <v>1969</v>
      </c>
      <c r="K98" s="270" t="s">
        <v>241</v>
      </c>
      <c r="L98" s="271">
        <v>9212</v>
      </c>
      <c r="M98" s="224" t="s">
        <v>1958</v>
      </c>
      <c r="N98" s="224" t="s">
        <v>1959</v>
      </c>
      <c r="O98" s="375">
        <v>43155</v>
      </c>
      <c r="P98" s="224"/>
    </row>
    <row r="99" spans="1:16">
      <c r="A99" s="224">
        <v>93</v>
      </c>
      <c r="B99" s="248"/>
      <c r="C99" s="231"/>
      <c r="D99" s="231">
        <f t="shared" si="5"/>
        <v>142.68123041873773</v>
      </c>
      <c r="E99" s="246">
        <f>'10K'!$E99*(1-$K$2)+H.Marathon!$E99*$K$2</f>
        <v>0.30709481925600501</v>
      </c>
      <c r="F99" s="334"/>
      <c r="G99" s="224">
        <v>93</v>
      </c>
      <c r="H99" s="280"/>
      <c r="I99" s="224"/>
      <c r="J99" s="224"/>
      <c r="K99" s="224"/>
      <c r="L99" s="224"/>
      <c r="M99" s="224"/>
      <c r="N99" s="224"/>
      <c r="O99" s="224"/>
      <c r="P99" s="224"/>
    </row>
    <row r="100" spans="1:16">
      <c r="A100" s="224">
        <v>94</v>
      </c>
      <c r="B100" s="248"/>
      <c r="C100" s="231"/>
      <c r="D100" s="231">
        <f t="shared" si="5"/>
        <v>155.98288309937448</v>
      </c>
      <c r="E100" s="246">
        <f>'10K'!$E100*(1-$K$2)+H.Marathon!$E100*$K$2</f>
        <v>0.28090689052562068</v>
      </c>
      <c r="F100" s="334"/>
      <c r="G100" s="224">
        <v>94</v>
      </c>
      <c r="H100" s="280"/>
      <c r="I100" s="224"/>
      <c r="J100" s="224"/>
      <c r="K100" s="224"/>
      <c r="L100" s="224"/>
      <c r="M100" s="224"/>
      <c r="N100" s="224"/>
      <c r="O100" s="224"/>
      <c r="P100" s="224"/>
    </row>
    <row r="101" spans="1:16">
      <c r="A101" s="224">
        <v>95</v>
      </c>
      <c r="B101" s="248"/>
      <c r="C101" s="231"/>
      <c r="D101" s="231">
        <f t="shared" si="5"/>
        <v>172.69177519818203</v>
      </c>
      <c r="E101" s="246">
        <f>'10K'!$E101*(1-$K$2)+H.Marathon!$E101*$K$2</f>
        <v>0.2537275826621298</v>
      </c>
      <c r="F101" s="334"/>
      <c r="G101" s="224">
        <v>95</v>
      </c>
      <c r="H101" s="280"/>
      <c r="I101" s="224"/>
      <c r="J101" s="224"/>
      <c r="K101" s="224"/>
      <c r="L101" s="224"/>
      <c r="M101" s="224"/>
      <c r="N101" s="224"/>
      <c r="O101" s="224"/>
      <c r="P101" s="224"/>
    </row>
    <row r="102" spans="1:16">
      <c r="A102" s="224">
        <v>96</v>
      </c>
      <c r="B102" s="224"/>
      <c r="C102" s="231"/>
      <c r="D102" s="231">
        <f t="shared" si="5"/>
        <v>194.12712121812916</v>
      </c>
      <c r="E102" s="246">
        <f>'10K'!$E102*(1-$K$2)+H.Marathon!$E102*$K$2</f>
        <v>0.22571120609897921</v>
      </c>
      <c r="F102" s="334"/>
      <c r="G102" s="224">
        <v>96</v>
      </c>
      <c r="H102" s="280"/>
      <c r="I102" s="224"/>
      <c r="J102" s="224"/>
      <c r="K102" s="224"/>
      <c r="L102" s="224"/>
      <c r="M102" s="224"/>
      <c r="N102" s="224"/>
      <c r="O102" s="224"/>
      <c r="P102" s="224"/>
    </row>
    <row r="103" spans="1:16">
      <c r="A103" s="224">
        <v>97</v>
      </c>
      <c r="B103" s="224" t="s">
        <v>81</v>
      </c>
      <c r="C103" s="231"/>
      <c r="D103" s="231">
        <f t="shared" si="5"/>
        <v>222.64176048236911</v>
      </c>
      <c r="E103" s="246">
        <f>'10K'!$E103*(1-$K$2)+H.Marathon!$E103*$K$2</f>
        <v>0.19680345040272212</v>
      </c>
      <c r="F103" s="224"/>
      <c r="G103" s="224">
        <v>97</v>
      </c>
      <c r="H103" s="280"/>
      <c r="I103" s="224"/>
      <c r="J103" s="224"/>
      <c r="K103" s="224"/>
      <c r="L103" s="224"/>
      <c r="M103" s="224"/>
      <c r="N103" s="224"/>
      <c r="O103" s="224"/>
      <c r="P103" s="224"/>
    </row>
    <row r="104" spans="1:16">
      <c r="A104" s="224">
        <v>98</v>
      </c>
      <c r="B104" s="224" t="s">
        <v>81</v>
      </c>
      <c r="C104" s="231"/>
      <c r="D104" s="231">
        <f t="shared" si="5"/>
        <v>262.45382041136384</v>
      </c>
      <c r="E104" s="246">
        <f>'10K'!$E104*(1-$K$2)+H.Marathon!$E104*$K$2</f>
        <v>0.16695000513991176</v>
      </c>
      <c r="F104" s="224"/>
      <c r="G104" s="224">
        <v>98</v>
      </c>
      <c r="H104" s="280"/>
      <c r="I104" s="224"/>
      <c r="J104" s="224"/>
      <c r="K104" s="224"/>
      <c r="L104" s="224"/>
      <c r="M104" s="224"/>
      <c r="N104" s="224"/>
      <c r="O104" s="224"/>
      <c r="P104" s="224"/>
    </row>
    <row r="105" spans="1:16">
      <c r="A105" s="224">
        <v>99</v>
      </c>
      <c r="B105" s="224" t="s">
        <v>81</v>
      </c>
      <c r="C105" s="231"/>
      <c r="D105" s="231">
        <f t="shared" si="5"/>
        <v>321.56781364761684</v>
      </c>
      <c r="E105" s="246">
        <f>'10K'!$E105*(1-$K$2)+H.Marathon!$E105*$K$2</f>
        <v>0.13625949117744171</v>
      </c>
      <c r="F105" s="224"/>
      <c r="G105" s="224">
        <v>99</v>
      </c>
      <c r="H105" s="280"/>
      <c r="I105" s="224"/>
      <c r="J105" s="224"/>
      <c r="K105" s="224"/>
      <c r="L105" s="224"/>
      <c r="M105" s="224"/>
      <c r="N105" s="224"/>
      <c r="O105" s="224"/>
      <c r="P105" s="224"/>
    </row>
    <row r="106" spans="1:16">
      <c r="A106" s="224">
        <v>100</v>
      </c>
      <c r="B106" s="224"/>
      <c r="C106" s="224"/>
      <c r="D106" s="231">
        <f>E$4/E106</f>
        <v>418.76964004966527</v>
      </c>
      <c r="E106" s="246">
        <f>'10K'!$E106*(1-$K$2)+H.Marathon!$E106*$K$2</f>
        <v>0.1046319085153119</v>
      </c>
      <c r="F106" s="224"/>
      <c r="G106" s="224">
        <v>100</v>
      </c>
      <c r="H106" s="224"/>
      <c r="I106" s="224"/>
      <c r="J106" s="224"/>
      <c r="K106" s="224"/>
      <c r="L106" s="224"/>
      <c r="M106" s="224"/>
      <c r="N106" s="224"/>
      <c r="O106" s="224"/>
      <c r="P106" s="22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F29" sqref="F29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6.777343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20" t="s">
        <v>86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J1" s="224"/>
      <c r="K1" s="222" t="s">
        <v>2118</v>
      </c>
      <c r="L1" s="224"/>
      <c r="M1" s="224"/>
      <c r="N1" s="224"/>
      <c r="O1" s="224"/>
      <c r="P1" s="224"/>
      <c r="Q1" s="224"/>
    </row>
    <row r="2" spans="1:17" ht="15.95" customHeight="1">
      <c r="A2" s="220"/>
      <c r="B2" s="221"/>
      <c r="C2" s="222"/>
      <c r="D2" s="223"/>
      <c r="E2" s="223"/>
      <c r="F2" s="328">
        <f>(+H$3-H$4)*F$4/2</f>
        <v>4.725E-2</v>
      </c>
      <c r="G2" s="329">
        <f>(+I$4-I$3)*G$4/2</f>
        <v>0.17219999999999999</v>
      </c>
      <c r="H2" s="225"/>
      <c r="I2" s="225"/>
      <c r="J2" s="224"/>
      <c r="K2" s="229">
        <f>Parameters!Z21</f>
        <v>0.63735080246240494</v>
      </c>
      <c r="L2" s="224"/>
      <c r="M2" s="224"/>
      <c r="N2" s="224"/>
      <c r="O2" s="224"/>
      <c r="P2" s="224"/>
      <c r="Q2" s="224"/>
    </row>
    <row r="3" spans="1:17" ht="15.95" customHeight="1">
      <c r="A3" s="220"/>
      <c r="B3" s="221"/>
      <c r="C3" s="222"/>
      <c r="D3" s="223"/>
      <c r="E3" s="223"/>
      <c r="F3" s="328">
        <f>F4/(2*(+H3-H4))</f>
        <v>1.89E-3</v>
      </c>
      <c r="G3" s="329">
        <f>G4/(2*(+I4-I3))</f>
        <v>1.6006097560975613E-4</v>
      </c>
      <c r="H3" s="226">
        <v>22</v>
      </c>
      <c r="I3" s="227">
        <v>24</v>
      </c>
      <c r="J3" s="224"/>
      <c r="K3" s="224"/>
      <c r="L3" s="224"/>
      <c r="M3" s="224"/>
      <c r="N3" s="224"/>
      <c r="O3" s="224"/>
      <c r="P3" s="224"/>
      <c r="Q3" s="224"/>
    </row>
    <row r="4" spans="1:17" ht="15.75">
      <c r="A4" s="221"/>
      <c r="B4" s="221"/>
      <c r="C4" s="221"/>
      <c r="D4" s="228">
        <f>Parameters!G21</f>
        <v>3.2777777777777781E-2</v>
      </c>
      <c r="E4" s="229">
        <f>D4*1440</f>
        <v>47.2</v>
      </c>
      <c r="F4" s="230">
        <v>1.89E-2</v>
      </c>
      <c r="G4" s="219">
        <v>1.0500000000000001E-2</v>
      </c>
      <c r="H4" s="226">
        <v>17</v>
      </c>
      <c r="I4" s="227">
        <v>56.8</v>
      </c>
      <c r="J4" s="231"/>
      <c r="K4" s="224"/>
      <c r="L4" s="224"/>
      <c r="M4" s="224"/>
      <c r="N4" s="224"/>
      <c r="O4" s="224"/>
      <c r="P4" s="224"/>
      <c r="Q4" s="224"/>
    </row>
    <row r="5" spans="1:17" ht="15.75" customHeight="1">
      <c r="A5" s="221"/>
      <c r="B5" s="221"/>
      <c r="C5" s="221"/>
      <c r="D5" s="228"/>
      <c r="E5" s="221">
        <f>E4*60</f>
        <v>2832</v>
      </c>
      <c r="F5" s="230">
        <v>9.1E-4</v>
      </c>
      <c r="G5" s="219">
        <v>5.1000000000000004E-4</v>
      </c>
      <c r="H5" s="226">
        <v>15</v>
      </c>
      <c r="I5" s="227">
        <v>76.7</v>
      </c>
      <c r="J5" s="231"/>
      <c r="K5" s="224"/>
      <c r="L5" s="224"/>
      <c r="M5" s="224"/>
      <c r="N5" s="224"/>
      <c r="O5" s="224"/>
      <c r="P5" s="224"/>
      <c r="Q5" s="224"/>
    </row>
    <row r="6" spans="1:17" ht="48.75" customHeight="1">
      <c r="A6" s="232" t="s">
        <v>70</v>
      </c>
      <c r="B6" s="232" t="s">
        <v>2114</v>
      </c>
      <c r="C6" s="232" t="s">
        <v>2114</v>
      </c>
      <c r="D6" s="232" t="s">
        <v>1971</v>
      </c>
      <c r="E6" s="232" t="s">
        <v>153</v>
      </c>
      <c r="F6" s="232" t="s">
        <v>148</v>
      </c>
      <c r="G6" s="232" t="s">
        <v>70</v>
      </c>
      <c r="H6" s="336" t="s">
        <v>735</v>
      </c>
      <c r="I6" s="340" t="s">
        <v>1184</v>
      </c>
      <c r="J6" s="336" t="s">
        <v>428</v>
      </c>
      <c r="K6" s="336" t="s">
        <v>429</v>
      </c>
      <c r="L6" s="336" t="s">
        <v>430</v>
      </c>
      <c r="M6" s="338" t="s">
        <v>431</v>
      </c>
      <c r="N6" s="339" t="s">
        <v>432</v>
      </c>
      <c r="O6" s="340" t="s">
        <v>433</v>
      </c>
      <c r="P6" s="338" t="s">
        <v>434</v>
      </c>
      <c r="Q6" s="359"/>
    </row>
    <row r="7" spans="1:17">
      <c r="A7" s="224">
        <v>1</v>
      </c>
      <c r="B7" s="224" t="s">
        <v>81</v>
      </c>
      <c r="C7" s="224"/>
      <c r="D7" s="224"/>
      <c r="E7" s="224"/>
      <c r="F7" s="224"/>
      <c r="G7" s="224">
        <v>1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</row>
    <row r="8" spans="1:17">
      <c r="A8" s="224">
        <v>2</v>
      </c>
      <c r="B8" s="224" t="s">
        <v>81</v>
      </c>
      <c r="C8" s="224"/>
      <c r="D8" s="224"/>
      <c r="E8" s="224"/>
      <c r="F8" s="224"/>
      <c r="G8" s="224">
        <v>2</v>
      </c>
      <c r="H8" s="224"/>
      <c r="I8" s="224"/>
      <c r="J8" s="224"/>
      <c r="K8" s="224"/>
      <c r="L8" s="224"/>
      <c r="M8" s="224"/>
      <c r="N8" s="224"/>
      <c r="O8" s="224"/>
      <c r="P8" s="224"/>
      <c r="Q8" s="224"/>
    </row>
    <row r="9" spans="1:17">
      <c r="A9" s="224">
        <v>3</v>
      </c>
      <c r="B9" s="245" t="s">
        <v>81</v>
      </c>
      <c r="C9" s="231"/>
      <c r="D9" s="231"/>
      <c r="E9" s="246">
        <f>'10K'!$E9*(1-$K$2)+H.Marathon!$E9*$K$2</f>
        <v>0.50432735355611291</v>
      </c>
      <c r="F9" s="334"/>
      <c r="G9" s="224">
        <v>3</v>
      </c>
      <c r="H9" s="224"/>
      <c r="I9" s="224"/>
      <c r="J9" s="224"/>
      <c r="K9" s="224"/>
      <c r="L9" s="224"/>
      <c r="M9" s="224"/>
      <c r="N9" s="224"/>
      <c r="O9" s="224"/>
      <c r="P9" s="224"/>
      <c r="Q9" s="333"/>
    </row>
    <row r="10" spans="1:17">
      <c r="A10" s="224">
        <v>4</v>
      </c>
      <c r="B10" s="248"/>
      <c r="C10" s="231"/>
      <c r="D10" s="231"/>
      <c r="E10" s="246">
        <f>'10K'!$E10*(1-$K$2)+H.Marathon!$E10*$K$2</f>
        <v>0.54788772329064106</v>
      </c>
      <c r="F10" s="334"/>
      <c r="G10" s="224">
        <v>4</v>
      </c>
      <c r="H10" s="224"/>
      <c r="I10" s="224"/>
      <c r="J10" s="224"/>
      <c r="K10" s="224"/>
      <c r="L10" s="224"/>
      <c r="M10" s="224"/>
      <c r="N10" s="224"/>
      <c r="O10" s="224"/>
      <c r="P10" s="224"/>
      <c r="Q10" s="333"/>
    </row>
    <row r="11" spans="1:17">
      <c r="A11" s="224">
        <v>5</v>
      </c>
      <c r="B11" s="248"/>
      <c r="C11" s="231"/>
      <c r="D11" s="231">
        <f t="shared" ref="D11:D42" si="0">E$4/E11</f>
        <v>80.068784146990097</v>
      </c>
      <c r="E11" s="246">
        <f>'10K'!$E11*(1-$K$2)+H.Marathon!$E11*$K$2</f>
        <v>0.58949315270418423</v>
      </c>
      <c r="F11" s="334"/>
      <c r="G11" s="224">
        <v>5</v>
      </c>
      <c r="H11" s="335"/>
      <c r="I11" s="224"/>
      <c r="J11" s="224"/>
      <c r="K11" s="224"/>
      <c r="L11" s="224"/>
      <c r="M11" s="224"/>
      <c r="N11" s="224"/>
      <c r="O11" s="224"/>
      <c r="P11" s="224"/>
      <c r="Q11" s="333"/>
    </row>
    <row r="12" spans="1:17">
      <c r="A12" s="224">
        <v>6</v>
      </c>
      <c r="B12" s="248"/>
      <c r="C12" s="231"/>
      <c r="D12" s="231">
        <f t="shared" si="0"/>
        <v>75.027986617154937</v>
      </c>
      <c r="E12" s="246">
        <f>'10K'!$E12*(1-$K$2)+H.Marathon!$E12*$K$2</f>
        <v>0.62909858211772751</v>
      </c>
      <c r="F12" s="334"/>
      <c r="G12" s="224">
        <v>6</v>
      </c>
      <c r="H12" s="335"/>
      <c r="I12" s="224"/>
      <c r="J12" s="224"/>
      <c r="K12" s="224"/>
      <c r="L12" s="224"/>
      <c r="M12" s="224"/>
      <c r="N12" s="224"/>
      <c r="O12" s="224"/>
      <c r="P12" s="224"/>
      <c r="Q12" s="333"/>
    </row>
    <row r="13" spans="1:17">
      <c r="A13" s="224">
        <v>7</v>
      </c>
      <c r="B13" s="248">
        <v>6.1377314814814815E-2</v>
      </c>
      <c r="C13" s="231">
        <f t="shared" ref="C13:C75" si="1">B13*1440</f>
        <v>88.38333333333334</v>
      </c>
      <c r="D13" s="231">
        <f t="shared" si="0"/>
        <v>70.784483373336471</v>
      </c>
      <c r="E13" s="246">
        <f>'10K'!$E13*(1-$K$2)+H.Marathon!$E13*$K$2</f>
        <v>0.66681280629053208</v>
      </c>
      <c r="F13" s="334">
        <f t="shared" ref="F13:F72" si="2">100*(D13/C13)</f>
        <v>80.088044548372395</v>
      </c>
      <c r="G13" s="224">
        <v>7</v>
      </c>
      <c r="H13" s="347" t="s">
        <v>1973</v>
      </c>
      <c r="I13" s="267">
        <v>5303</v>
      </c>
      <c r="J13" s="270" t="s">
        <v>1181</v>
      </c>
      <c r="K13" s="270" t="s">
        <v>1880</v>
      </c>
      <c r="L13" s="270" t="s">
        <v>241</v>
      </c>
      <c r="M13" s="265">
        <v>39841</v>
      </c>
      <c r="N13" s="267"/>
      <c r="O13" s="270" t="s">
        <v>1974</v>
      </c>
      <c r="P13" s="372">
        <v>42714</v>
      </c>
      <c r="Q13" s="267"/>
    </row>
    <row r="14" spans="1:17">
      <c r="A14" s="224">
        <v>8</v>
      </c>
      <c r="B14" s="248">
        <v>5.9745370370370372E-2</v>
      </c>
      <c r="C14" s="231">
        <f t="shared" si="1"/>
        <v>86.033333333333331</v>
      </c>
      <c r="D14" s="231">
        <f t="shared" si="0"/>
        <v>67.185185872969143</v>
      </c>
      <c r="E14" s="246">
        <f>'10K'!$E14*(1-$K$2)+H.Marathon!$E14*$K$2</f>
        <v>0.70253582522259783</v>
      </c>
      <c r="F14" s="334">
        <f t="shared" si="2"/>
        <v>78.092040921699905</v>
      </c>
      <c r="G14" s="224">
        <v>8</v>
      </c>
      <c r="H14" s="347" t="s">
        <v>1975</v>
      </c>
      <c r="I14" s="267">
        <v>5162</v>
      </c>
      <c r="J14" s="270" t="s">
        <v>513</v>
      </c>
      <c r="K14" s="270" t="s">
        <v>514</v>
      </c>
      <c r="L14" s="270" t="s">
        <v>241</v>
      </c>
      <c r="M14" s="265">
        <v>38897</v>
      </c>
      <c r="N14" s="267"/>
      <c r="O14" s="270" t="s">
        <v>1976</v>
      </c>
      <c r="P14" s="372">
        <v>42056</v>
      </c>
      <c r="Q14" s="267"/>
    </row>
    <row r="15" spans="1:17">
      <c r="A15" s="224">
        <v>9</v>
      </c>
      <c r="B15" s="248">
        <v>4.8414351851851854E-2</v>
      </c>
      <c r="C15" s="231">
        <f t="shared" si="1"/>
        <v>69.716666666666669</v>
      </c>
      <c r="D15" s="231">
        <f t="shared" si="0"/>
        <v>64.104731130611782</v>
      </c>
      <c r="E15" s="246">
        <f>'10K'!$E15*(1-$K$2)+H.Marathon!$E15*$K$2</f>
        <v>0.73629510907441742</v>
      </c>
      <c r="F15" s="334">
        <f t="shared" si="2"/>
        <v>91.950367387920323</v>
      </c>
      <c r="G15" s="224">
        <v>9</v>
      </c>
      <c r="H15" s="347" t="s">
        <v>1977</v>
      </c>
      <c r="I15" s="267">
        <v>4183</v>
      </c>
      <c r="J15" s="270" t="s">
        <v>1371</v>
      </c>
      <c r="K15" s="270" t="s">
        <v>1978</v>
      </c>
      <c r="L15" s="270" t="s">
        <v>241</v>
      </c>
      <c r="M15" s="265">
        <v>26666</v>
      </c>
      <c r="N15" s="267"/>
      <c r="O15" s="270" t="s">
        <v>1979</v>
      </c>
      <c r="P15" s="372">
        <v>30031</v>
      </c>
      <c r="Q15" s="267"/>
    </row>
    <row r="16" spans="1:17">
      <c r="A16" s="224">
        <v>10</v>
      </c>
      <c r="B16" s="248"/>
      <c r="C16" s="231"/>
      <c r="D16" s="231">
        <f t="shared" si="0"/>
        <v>61.448178160518125</v>
      </c>
      <c r="E16" s="246">
        <f>'10K'!$E16*(1-$K$2)+H.Marathon!$E16*$K$2</f>
        <v>0.76812692276574435</v>
      </c>
      <c r="F16" s="334"/>
      <c r="G16" s="224">
        <v>10</v>
      </c>
      <c r="H16" s="347"/>
      <c r="I16" s="267"/>
      <c r="J16" s="270"/>
      <c r="K16" s="270"/>
      <c r="L16" s="270"/>
      <c r="M16" s="265"/>
      <c r="N16" s="267"/>
      <c r="O16" s="270"/>
      <c r="P16" s="372"/>
      <c r="Q16" s="267"/>
    </row>
    <row r="17" spans="1:17">
      <c r="A17" s="224">
        <v>11</v>
      </c>
      <c r="B17" s="248"/>
      <c r="C17" s="231"/>
      <c r="D17" s="231">
        <f t="shared" si="0"/>
        <v>59.150276362815895</v>
      </c>
      <c r="E17" s="246">
        <f>'10K'!$E17*(1-$K$2)+H.Marathon!$E17*$K$2</f>
        <v>0.79796753121633279</v>
      </c>
      <c r="F17" s="334"/>
      <c r="G17" s="224">
        <v>11</v>
      </c>
      <c r="H17" s="347"/>
      <c r="I17" s="267"/>
      <c r="J17" s="270"/>
      <c r="K17" s="270"/>
      <c r="L17" s="270"/>
      <c r="M17" s="265"/>
      <c r="N17" s="267"/>
      <c r="O17" s="270"/>
      <c r="P17" s="372"/>
      <c r="Q17" s="267"/>
    </row>
    <row r="18" spans="1:17">
      <c r="A18" s="224">
        <v>12</v>
      </c>
      <c r="B18" s="248">
        <v>4.0729166666666664E-2</v>
      </c>
      <c r="C18" s="231">
        <f t="shared" si="1"/>
        <v>58.65</v>
      </c>
      <c r="D18" s="231">
        <f t="shared" si="0"/>
        <v>57.151113644793448</v>
      </c>
      <c r="E18" s="246">
        <f>'10K'!$E18*(1-$K$2)+H.Marathon!$E18*$K$2</f>
        <v>0.82588066950642869</v>
      </c>
      <c r="F18" s="334">
        <f t="shared" si="2"/>
        <v>97.444354040568541</v>
      </c>
      <c r="G18" s="224">
        <v>12</v>
      </c>
      <c r="H18" s="347" t="s">
        <v>1980</v>
      </c>
      <c r="I18" s="267">
        <v>3519</v>
      </c>
      <c r="J18" s="270" t="s">
        <v>1491</v>
      </c>
      <c r="K18" s="270" t="s">
        <v>514</v>
      </c>
      <c r="L18" s="270" t="s">
        <v>241</v>
      </c>
      <c r="M18" s="265">
        <v>24921</v>
      </c>
      <c r="N18" s="267"/>
      <c r="O18" s="270" t="s">
        <v>1492</v>
      </c>
      <c r="P18" s="372">
        <v>29645</v>
      </c>
      <c r="Q18" s="267"/>
    </row>
    <row r="19" spans="1:17">
      <c r="A19" s="224">
        <v>13</v>
      </c>
      <c r="B19" s="248">
        <v>4.1342592592592591E-2</v>
      </c>
      <c r="C19" s="231">
        <f t="shared" si="1"/>
        <v>59.533333333333331</v>
      </c>
      <c r="D19" s="231">
        <f t="shared" si="0"/>
        <v>55.414258481965291</v>
      </c>
      <c r="E19" s="246">
        <f>'10K'!$E19*(1-$K$2)+H.Marathon!$E19*$K$2</f>
        <v>0.85176633763603204</v>
      </c>
      <c r="F19" s="334">
        <f t="shared" si="2"/>
        <v>93.0810612798969</v>
      </c>
      <c r="G19" s="224">
        <v>13</v>
      </c>
      <c r="H19" s="347" t="s">
        <v>1981</v>
      </c>
      <c r="I19" s="267">
        <v>3572</v>
      </c>
      <c r="J19" s="270" t="s">
        <v>1491</v>
      </c>
      <c r="K19" s="270" t="s">
        <v>514</v>
      </c>
      <c r="L19" s="270" t="s">
        <v>241</v>
      </c>
      <c r="M19" s="265">
        <v>24921</v>
      </c>
      <c r="N19" s="267"/>
      <c r="O19" s="270" t="s">
        <v>1492</v>
      </c>
      <c r="P19" s="372">
        <v>30009</v>
      </c>
      <c r="Q19" s="267"/>
    </row>
    <row r="20" spans="1:17">
      <c r="A20" s="224">
        <v>14</v>
      </c>
      <c r="B20" s="248">
        <v>4.1840277777777775E-2</v>
      </c>
      <c r="C20" s="231">
        <f t="shared" si="1"/>
        <v>60.249999999999993</v>
      </c>
      <c r="D20" s="231">
        <f t="shared" si="0"/>
        <v>53.898227217516379</v>
      </c>
      <c r="E20" s="246">
        <f>'10K'!$E20*(1-$K$2)+H.Marathon!$E20*$K$2</f>
        <v>0.87572453560514285</v>
      </c>
      <c r="F20" s="334">
        <f t="shared" si="2"/>
        <v>89.457638535296908</v>
      </c>
      <c r="G20" s="224">
        <v>14</v>
      </c>
      <c r="H20" s="347" t="s">
        <v>1982</v>
      </c>
      <c r="I20" s="267">
        <v>3615</v>
      </c>
      <c r="J20" s="270" t="s">
        <v>1491</v>
      </c>
      <c r="K20" s="270" t="s">
        <v>514</v>
      </c>
      <c r="L20" s="270" t="s">
        <v>241</v>
      </c>
      <c r="M20" s="265">
        <v>24921</v>
      </c>
      <c r="N20" s="267"/>
      <c r="O20" s="270" t="s">
        <v>1983</v>
      </c>
      <c r="P20" s="372">
        <v>30163</v>
      </c>
      <c r="Q20" s="267"/>
    </row>
    <row r="21" spans="1:17">
      <c r="A21" s="224">
        <v>15</v>
      </c>
      <c r="B21" s="248">
        <v>3.7534722222222219E-2</v>
      </c>
      <c r="C21" s="231">
        <f t="shared" si="1"/>
        <v>54.05</v>
      </c>
      <c r="D21" s="231">
        <f t="shared" si="0"/>
        <v>52.577184704232323</v>
      </c>
      <c r="E21" s="246">
        <f>'10K'!$E21*(1-$K$2)+H.Marathon!$E21*$K$2</f>
        <v>0.89772779325326879</v>
      </c>
      <c r="F21" s="334">
        <f t="shared" si="2"/>
        <v>97.27508733437989</v>
      </c>
      <c r="G21" s="224">
        <v>15</v>
      </c>
      <c r="H21" s="347" t="s">
        <v>1984</v>
      </c>
      <c r="I21" s="267">
        <v>3243</v>
      </c>
      <c r="J21" s="270" t="s">
        <v>276</v>
      </c>
      <c r="K21" s="270" t="s">
        <v>277</v>
      </c>
      <c r="L21" s="270" t="s">
        <v>268</v>
      </c>
      <c r="M21" s="265">
        <v>28256</v>
      </c>
      <c r="N21" s="267" t="s">
        <v>1985</v>
      </c>
      <c r="O21" s="270" t="s">
        <v>509</v>
      </c>
      <c r="P21" s="372">
        <v>34063</v>
      </c>
      <c r="Q21" s="267"/>
    </row>
    <row r="22" spans="1:17">
      <c r="A22" s="224">
        <v>16</v>
      </c>
      <c r="B22" s="248">
        <v>3.9108796296296294E-2</v>
      </c>
      <c r="C22" s="231">
        <f t="shared" si="1"/>
        <v>56.316666666666663</v>
      </c>
      <c r="D22" s="231">
        <f t="shared" si="0"/>
        <v>51.410874505416821</v>
      </c>
      <c r="E22" s="246">
        <f>'10K'!$E22*(1-$K$2)+H.Marathon!$E22*$K$2</f>
        <v>0.91809370009893243</v>
      </c>
      <c r="F22" s="334">
        <f t="shared" si="2"/>
        <v>91.288915961083433</v>
      </c>
      <c r="G22" s="224">
        <v>16</v>
      </c>
      <c r="H22" s="347" t="s">
        <v>1986</v>
      </c>
      <c r="I22" s="267">
        <v>3379</v>
      </c>
      <c r="J22" s="270" t="s">
        <v>306</v>
      </c>
      <c r="K22" s="270" t="s">
        <v>1987</v>
      </c>
      <c r="L22" s="270" t="s">
        <v>1499</v>
      </c>
      <c r="M22" s="265">
        <v>33967</v>
      </c>
      <c r="N22" s="267"/>
      <c r="O22" s="270" t="s">
        <v>1988</v>
      </c>
      <c r="P22" s="372">
        <v>40040</v>
      </c>
      <c r="Q22" s="267"/>
    </row>
    <row r="23" spans="1:17">
      <c r="A23" s="224">
        <v>17</v>
      </c>
      <c r="B23" s="248">
        <v>3.7337962962962962E-2</v>
      </c>
      <c r="C23" s="231">
        <f t="shared" si="1"/>
        <v>53.766666666666666</v>
      </c>
      <c r="D23" s="231">
        <f t="shared" si="0"/>
        <v>50.329366456031856</v>
      </c>
      <c r="E23" s="246">
        <f>'10K'!$E23*(1-$K$2)+H.Marathon!$E23*$K$2</f>
        <v>0.93782225614213344</v>
      </c>
      <c r="F23" s="334">
        <f t="shared" si="2"/>
        <v>93.607005187907973</v>
      </c>
      <c r="G23" s="224">
        <v>17</v>
      </c>
      <c r="H23" s="347" t="s">
        <v>1989</v>
      </c>
      <c r="I23" s="267">
        <v>3226</v>
      </c>
      <c r="J23" s="270" t="s">
        <v>1990</v>
      </c>
      <c r="K23" s="270" t="s">
        <v>1991</v>
      </c>
      <c r="L23" s="270" t="s">
        <v>268</v>
      </c>
      <c r="M23" s="265">
        <v>32348</v>
      </c>
      <c r="N23" s="267"/>
      <c r="O23" s="270" t="s">
        <v>1992</v>
      </c>
      <c r="P23" s="372">
        <v>38634</v>
      </c>
      <c r="Q23" s="267"/>
    </row>
    <row r="24" spans="1:17">
      <c r="A24" s="224">
        <v>18</v>
      </c>
      <c r="B24" s="248">
        <v>3.5879629629629629E-2</v>
      </c>
      <c r="C24" s="231">
        <f t="shared" si="1"/>
        <v>51.666666666666664</v>
      </c>
      <c r="D24" s="231">
        <f t="shared" si="0"/>
        <v>49.327918671422289</v>
      </c>
      <c r="E24" s="246">
        <f>'10K'!$E24*(1-$K$2)+H.Marathon!$E24*$K$2</f>
        <v>0.95686177871001321</v>
      </c>
      <c r="F24" s="334">
        <f t="shared" si="2"/>
        <v>95.473390976946376</v>
      </c>
      <c r="G24" s="224">
        <v>18</v>
      </c>
      <c r="H24" s="347" t="s">
        <v>1993</v>
      </c>
      <c r="I24" s="267">
        <v>3100</v>
      </c>
      <c r="J24" s="270" t="s">
        <v>275</v>
      </c>
      <c r="K24" s="270" t="s">
        <v>1907</v>
      </c>
      <c r="L24" s="270" t="s">
        <v>268</v>
      </c>
      <c r="M24" s="265">
        <v>27962</v>
      </c>
      <c r="N24" s="267" t="s">
        <v>1985</v>
      </c>
      <c r="O24" s="270" t="s">
        <v>509</v>
      </c>
      <c r="P24" s="372">
        <v>34798</v>
      </c>
      <c r="Q24" s="267"/>
    </row>
    <row r="25" spans="1:17">
      <c r="A25" s="224">
        <v>19</v>
      </c>
      <c r="B25" s="248">
        <v>3.6747685185185182E-2</v>
      </c>
      <c r="C25" s="231">
        <f t="shared" si="1"/>
        <v>52.916666666666664</v>
      </c>
      <c r="D25" s="231">
        <f t="shared" si="0"/>
        <v>48.433940143647717</v>
      </c>
      <c r="E25" s="246">
        <f>'10K'!$E25*(1-$K$2)+H.Marathon!$E25*$K$2</f>
        <v>0.97452323432724997</v>
      </c>
      <c r="F25" s="334">
        <f t="shared" si="2"/>
        <v>91.528705783271278</v>
      </c>
      <c r="G25" s="224">
        <v>19</v>
      </c>
      <c r="H25" s="347" t="s">
        <v>1994</v>
      </c>
      <c r="I25" s="267">
        <v>3175</v>
      </c>
      <c r="J25" s="270" t="s">
        <v>1995</v>
      </c>
      <c r="K25" s="270" t="s">
        <v>1996</v>
      </c>
      <c r="L25" s="270" t="s">
        <v>272</v>
      </c>
      <c r="M25" s="265">
        <v>30222</v>
      </c>
      <c r="N25" s="267" t="s">
        <v>1985</v>
      </c>
      <c r="O25" s="270" t="s">
        <v>509</v>
      </c>
      <c r="P25" s="372">
        <v>37353</v>
      </c>
      <c r="Q25" s="267"/>
    </row>
    <row r="26" spans="1:17">
      <c r="A26" s="224">
        <v>20</v>
      </c>
      <c r="B26" s="248">
        <v>3.574074074074074E-2</v>
      </c>
      <c r="C26" s="231">
        <f t="shared" si="1"/>
        <v>51.466666666666669</v>
      </c>
      <c r="D26" s="231">
        <f t="shared" si="0"/>
        <v>47.742370986408616</v>
      </c>
      <c r="E26" s="246">
        <f>'10K'!$E26*(1-$K$2)+H.Marathon!$E26*$K$2</f>
        <v>0.98863963026547186</v>
      </c>
      <c r="F26" s="334">
        <f t="shared" si="2"/>
        <v>92.7636741963898</v>
      </c>
      <c r="G26" s="224">
        <v>20</v>
      </c>
      <c r="H26" s="347" t="s">
        <v>1997</v>
      </c>
      <c r="I26" s="267">
        <v>3088</v>
      </c>
      <c r="J26" s="270" t="s">
        <v>1343</v>
      </c>
      <c r="K26" s="270" t="s">
        <v>1344</v>
      </c>
      <c r="L26" s="270" t="s">
        <v>272</v>
      </c>
      <c r="M26" s="265">
        <v>35364</v>
      </c>
      <c r="N26" s="267"/>
      <c r="O26" s="270" t="s">
        <v>368</v>
      </c>
      <c r="P26" s="372">
        <v>42750</v>
      </c>
      <c r="Q26" s="267"/>
    </row>
    <row r="27" spans="1:17">
      <c r="A27" s="224">
        <v>21</v>
      </c>
      <c r="B27" s="248">
        <v>3.6620370370370373E-2</v>
      </c>
      <c r="C27" s="231">
        <f t="shared" si="1"/>
        <v>52.733333333333334</v>
      </c>
      <c r="D27" s="231">
        <f t="shared" si="0"/>
        <v>47.335190544552077</v>
      </c>
      <c r="E27" s="246">
        <f>'10K'!$E27*(1-$K$2)+H.Marathon!$E27*$K$2</f>
        <v>0.99714397379630637</v>
      </c>
      <c r="F27" s="334">
        <f t="shared" si="2"/>
        <v>89.76331961672328</v>
      </c>
      <c r="G27" s="224">
        <v>21</v>
      </c>
      <c r="H27" s="347" t="s">
        <v>1998</v>
      </c>
      <c r="I27" s="267">
        <v>3164</v>
      </c>
      <c r="J27" s="270" t="s">
        <v>1999</v>
      </c>
      <c r="K27" s="270" t="s">
        <v>2000</v>
      </c>
      <c r="L27" s="270" t="s">
        <v>241</v>
      </c>
      <c r="M27" s="265">
        <v>24672</v>
      </c>
      <c r="N27" s="267" t="s">
        <v>1985</v>
      </c>
      <c r="O27" s="270" t="s">
        <v>509</v>
      </c>
      <c r="P27" s="372">
        <v>32600</v>
      </c>
      <c r="Q27" s="267"/>
    </row>
    <row r="28" spans="1:17">
      <c r="A28" s="224">
        <v>22</v>
      </c>
      <c r="B28" s="248">
        <v>3.5856481481481482E-2</v>
      </c>
      <c r="C28" s="231">
        <f t="shared" si="1"/>
        <v>51.633333333333333</v>
      </c>
      <c r="D28" s="231">
        <f t="shared" si="0"/>
        <v>47.2</v>
      </c>
      <c r="E28" s="246">
        <f>'10K'!$E28*(1-$K$2)+H.Marathon!$E28*$K$2</f>
        <v>1</v>
      </c>
      <c r="F28" s="334">
        <f t="shared" si="2"/>
        <v>91.413815364751457</v>
      </c>
      <c r="G28" s="224">
        <v>22</v>
      </c>
      <c r="H28" s="347" t="s">
        <v>2001</v>
      </c>
      <c r="I28" s="267">
        <v>3098</v>
      </c>
      <c r="J28" s="270" t="s">
        <v>2002</v>
      </c>
      <c r="K28" s="270" t="s">
        <v>2003</v>
      </c>
      <c r="L28" s="270" t="s">
        <v>272</v>
      </c>
      <c r="M28" s="265">
        <v>34374</v>
      </c>
      <c r="N28" s="267"/>
      <c r="O28" s="270" t="s">
        <v>2004</v>
      </c>
      <c r="P28" s="372">
        <v>42680</v>
      </c>
      <c r="Q28" s="267"/>
    </row>
    <row r="29" spans="1:17" ht="15.75">
      <c r="A29" s="224">
        <v>23</v>
      </c>
      <c r="B29" s="248">
        <v>3.4363425925925929E-2</v>
      </c>
      <c r="C29" s="231">
        <f t="shared" si="1"/>
        <v>49.483333333333341</v>
      </c>
      <c r="D29" s="231">
        <f t="shared" si="0"/>
        <v>47.2</v>
      </c>
      <c r="E29" s="246">
        <f>'10K'!$E29*(1-$K$2)+H.Marathon!$E29*$K$2</f>
        <v>1</v>
      </c>
      <c r="F29" s="334">
        <f t="shared" si="2"/>
        <v>95.385651734590766</v>
      </c>
      <c r="G29" s="224">
        <v>23</v>
      </c>
      <c r="H29" s="364" t="s">
        <v>2005</v>
      </c>
      <c r="I29" s="306">
        <v>2969</v>
      </c>
      <c r="J29" s="382" t="s">
        <v>2006</v>
      </c>
      <c r="K29" s="382" t="s">
        <v>2007</v>
      </c>
      <c r="L29" s="382" t="s">
        <v>268</v>
      </c>
      <c r="M29" s="385"/>
      <c r="N29" s="306" t="s">
        <v>2008</v>
      </c>
      <c r="O29" s="382" t="s">
        <v>2009</v>
      </c>
      <c r="P29" s="374">
        <v>43140</v>
      </c>
      <c r="Q29" s="365" t="s">
        <v>1358</v>
      </c>
    </row>
    <row r="30" spans="1:17">
      <c r="A30" s="224">
        <v>24</v>
      </c>
      <c r="B30" s="248">
        <v>3.5891203703703703E-2</v>
      </c>
      <c r="C30" s="231">
        <f t="shared" si="1"/>
        <v>51.68333333333333</v>
      </c>
      <c r="D30" s="231">
        <f t="shared" si="0"/>
        <v>47.2</v>
      </c>
      <c r="E30" s="246">
        <f>'10K'!$E30*(1-$K$2)+H.Marathon!$E30*$K$2</f>
        <v>1</v>
      </c>
      <c r="F30" s="334">
        <f t="shared" si="2"/>
        <v>91.325378910029031</v>
      </c>
      <c r="G30" s="224">
        <v>24</v>
      </c>
      <c r="H30" s="347" t="s">
        <v>2010</v>
      </c>
      <c r="I30" s="267">
        <v>3101</v>
      </c>
      <c r="J30" s="270" t="s">
        <v>2011</v>
      </c>
      <c r="K30" s="270" t="s">
        <v>2012</v>
      </c>
      <c r="L30" s="270" t="s">
        <v>284</v>
      </c>
      <c r="M30" s="265">
        <v>24394</v>
      </c>
      <c r="N30" s="267"/>
      <c r="O30" s="270" t="s">
        <v>555</v>
      </c>
      <c r="P30" s="372">
        <v>33348</v>
      </c>
      <c r="Q30" s="267"/>
    </row>
    <row r="31" spans="1:17">
      <c r="A31" s="224">
        <v>25</v>
      </c>
      <c r="B31" s="248">
        <v>3.6145833333333335E-2</v>
      </c>
      <c r="C31" s="231">
        <f t="shared" si="1"/>
        <v>52.050000000000004</v>
      </c>
      <c r="D31" s="231">
        <f t="shared" si="0"/>
        <v>47.2</v>
      </c>
      <c r="E31" s="246">
        <f>'10K'!$E31*(1-$K$2)+H.Marathon!$E31*$K$2</f>
        <v>1</v>
      </c>
      <c r="F31" s="334">
        <f t="shared" si="2"/>
        <v>90.682036503362156</v>
      </c>
      <c r="G31" s="224">
        <v>25</v>
      </c>
      <c r="H31" s="347" t="s">
        <v>2013</v>
      </c>
      <c r="I31" s="267">
        <v>3123</v>
      </c>
      <c r="J31" s="270" t="s">
        <v>1209</v>
      </c>
      <c r="K31" s="270" t="s">
        <v>2014</v>
      </c>
      <c r="L31" s="270" t="s">
        <v>241</v>
      </c>
      <c r="M31" s="265">
        <v>33523</v>
      </c>
      <c r="N31" s="267"/>
      <c r="O31" s="270" t="s">
        <v>2004</v>
      </c>
      <c r="P31" s="372">
        <v>42680</v>
      </c>
      <c r="Q31" s="267"/>
    </row>
    <row r="32" spans="1:17">
      <c r="A32" s="224">
        <v>26</v>
      </c>
      <c r="B32" s="248">
        <v>3.6377314814814814E-2</v>
      </c>
      <c r="C32" s="231">
        <f t="shared" si="1"/>
        <v>52.383333333333333</v>
      </c>
      <c r="D32" s="231">
        <f t="shared" si="0"/>
        <v>47.2</v>
      </c>
      <c r="E32" s="246">
        <f>'10K'!$E32*(1-$K$2)+H.Marathon!$E32*$K$2</f>
        <v>1</v>
      </c>
      <c r="F32" s="334">
        <f t="shared" si="2"/>
        <v>90.104995227489667</v>
      </c>
      <c r="G32" s="224">
        <v>26</v>
      </c>
      <c r="H32" s="347" t="s">
        <v>2015</v>
      </c>
      <c r="I32" s="267">
        <v>3143</v>
      </c>
      <c r="J32" s="270" t="s">
        <v>2016</v>
      </c>
      <c r="K32" s="270" t="s">
        <v>2017</v>
      </c>
      <c r="L32" s="270" t="s">
        <v>632</v>
      </c>
      <c r="M32" s="265">
        <v>22048</v>
      </c>
      <c r="N32" s="267" t="s">
        <v>1985</v>
      </c>
      <c r="O32" s="270" t="s">
        <v>509</v>
      </c>
      <c r="P32" s="372">
        <v>31872</v>
      </c>
      <c r="Q32" s="267"/>
    </row>
    <row r="33" spans="1:17">
      <c r="A33" s="224">
        <v>27</v>
      </c>
      <c r="B33" s="248">
        <v>3.560185185185185E-2</v>
      </c>
      <c r="C33" s="231">
        <f t="shared" si="1"/>
        <v>51.266666666666666</v>
      </c>
      <c r="D33" s="231">
        <f t="shared" si="0"/>
        <v>47.223976031817465</v>
      </c>
      <c r="E33" s="246">
        <f>'10K'!$E33*(1-$K$2)+H.Marathon!$E33*$K$2</f>
        <v>0.9994922911234474</v>
      </c>
      <c r="F33" s="334">
        <f t="shared" si="2"/>
        <v>92.114387578317562</v>
      </c>
      <c r="G33" s="224">
        <v>27</v>
      </c>
      <c r="H33" s="347" t="s">
        <v>2018</v>
      </c>
      <c r="I33" s="267">
        <v>3076</v>
      </c>
      <c r="J33" s="270" t="s">
        <v>2019</v>
      </c>
      <c r="K33" s="270" t="s">
        <v>2020</v>
      </c>
      <c r="L33" s="270" t="s">
        <v>268</v>
      </c>
      <c r="M33" s="265">
        <v>32810</v>
      </c>
      <c r="N33" s="267"/>
      <c r="O33" s="270" t="s">
        <v>368</v>
      </c>
      <c r="P33" s="372">
        <v>42750</v>
      </c>
      <c r="Q33" s="267"/>
    </row>
    <row r="34" spans="1:17">
      <c r="A34" s="224">
        <v>28</v>
      </c>
      <c r="B34" s="248">
        <v>3.6273148148148152E-2</v>
      </c>
      <c r="C34" s="231">
        <f t="shared" si="1"/>
        <v>52.233333333333341</v>
      </c>
      <c r="D34" s="231">
        <f t="shared" si="0"/>
        <v>47.250575034493579</v>
      </c>
      <c r="E34" s="246">
        <f>'10K'!$E34*(1-$K$2)+H.Marathon!$E34*$K$2</f>
        <v>0.99892964192590983</v>
      </c>
      <c r="F34" s="334">
        <f t="shared" si="2"/>
        <v>90.460577602731789</v>
      </c>
      <c r="G34" s="224">
        <v>28</v>
      </c>
      <c r="H34" s="347" t="s">
        <v>2021</v>
      </c>
      <c r="I34" s="267">
        <v>3134</v>
      </c>
      <c r="J34" s="270" t="s">
        <v>549</v>
      </c>
      <c r="K34" s="270" t="s">
        <v>550</v>
      </c>
      <c r="L34" s="270" t="s">
        <v>339</v>
      </c>
      <c r="M34" s="265">
        <v>23521</v>
      </c>
      <c r="N34" s="267"/>
      <c r="O34" s="270" t="s">
        <v>2022</v>
      </c>
      <c r="P34" s="372">
        <v>33853</v>
      </c>
      <c r="Q34" s="267"/>
    </row>
    <row r="35" spans="1:17">
      <c r="A35" s="224">
        <v>29</v>
      </c>
      <c r="B35" s="248">
        <v>3.6018518518518519E-2</v>
      </c>
      <c r="C35" s="231">
        <f t="shared" si="1"/>
        <v>51.866666666666667</v>
      </c>
      <c r="D35" s="231">
        <f t="shared" si="0"/>
        <v>47.295736621851546</v>
      </c>
      <c r="E35" s="246">
        <f>'10K'!$E35*(1-$K$2)+H.Marathon!$E35*$K$2</f>
        <v>0.99797578748763349</v>
      </c>
      <c r="F35" s="334">
        <f t="shared" si="2"/>
        <v>91.187152869893723</v>
      </c>
      <c r="G35" s="224">
        <v>29</v>
      </c>
      <c r="H35" s="347" t="s">
        <v>2023</v>
      </c>
      <c r="I35" s="267">
        <v>3112</v>
      </c>
      <c r="J35" s="270" t="s">
        <v>2024</v>
      </c>
      <c r="K35" s="270" t="s">
        <v>2025</v>
      </c>
      <c r="L35" s="270" t="s">
        <v>320</v>
      </c>
      <c r="M35" s="265">
        <v>27235</v>
      </c>
      <c r="N35" s="267" t="s">
        <v>2026</v>
      </c>
      <c r="O35" s="270" t="s">
        <v>2027</v>
      </c>
      <c r="P35" s="372">
        <v>37856</v>
      </c>
      <c r="Q35" s="267"/>
    </row>
    <row r="36" spans="1:17">
      <c r="A36" s="224">
        <v>30</v>
      </c>
      <c r="B36" s="248">
        <v>3.6168981481481483E-2</v>
      </c>
      <c r="C36" s="231">
        <f t="shared" si="1"/>
        <v>52.083333333333336</v>
      </c>
      <c r="D36" s="231">
        <f t="shared" si="0"/>
        <v>47.363014118180992</v>
      </c>
      <c r="E36" s="246">
        <f>'10K'!$E36*(1-$K$2)+H.Marathon!$E36*$K$2</f>
        <v>0.99655819796911083</v>
      </c>
      <c r="F36" s="334">
        <f t="shared" si="2"/>
        <v>90.936987106907495</v>
      </c>
      <c r="G36" s="224">
        <v>30</v>
      </c>
      <c r="H36" s="347" t="s">
        <v>2028</v>
      </c>
      <c r="I36" s="267">
        <v>3125</v>
      </c>
      <c r="J36" s="270" t="s">
        <v>294</v>
      </c>
      <c r="K36" s="270" t="s">
        <v>295</v>
      </c>
      <c r="L36" s="270" t="s">
        <v>272</v>
      </c>
      <c r="M36" s="265">
        <v>30605</v>
      </c>
      <c r="N36" s="267" t="s">
        <v>1985</v>
      </c>
      <c r="O36" s="270" t="s">
        <v>509</v>
      </c>
      <c r="P36" s="372">
        <v>41735</v>
      </c>
      <c r="Q36" s="267"/>
    </row>
    <row r="37" spans="1:17">
      <c r="A37" s="224">
        <v>31</v>
      </c>
      <c r="B37" s="248">
        <v>3.5983796296296298E-2</v>
      </c>
      <c r="C37" s="231">
        <f t="shared" si="1"/>
        <v>51.81666666666667</v>
      </c>
      <c r="D37" s="231">
        <f t="shared" si="0"/>
        <v>47.449136282661151</v>
      </c>
      <c r="E37" s="246">
        <f>'10K'!$E37*(1-$K$2)+H.Marathon!$E37*$K$2</f>
        <v>0.99474940320984961</v>
      </c>
      <c r="F37" s="334">
        <f t="shared" si="2"/>
        <v>91.571186135724318</v>
      </c>
      <c r="G37" s="224">
        <v>31</v>
      </c>
      <c r="H37" s="347" t="s">
        <v>2029</v>
      </c>
      <c r="I37" s="267">
        <v>3109</v>
      </c>
      <c r="J37" s="270" t="s">
        <v>270</v>
      </c>
      <c r="K37" s="270" t="s">
        <v>556</v>
      </c>
      <c r="L37" s="270" t="s">
        <v>272</v>
      </c>
      <c r="M37" s="265">
        <v>31199</v>
      </c>
      <c r="N37" s="267"/>
      <c r="O37" s="270" t="s">
        <v>1992</v>
      </c>
      <c r="P37" s="372">
        <v>42666</v>
      </c>
      <c r="Q37" s="267"/>
    </row>
    <row r="38" spans="1:17">
      <c r="A38" s="224">
        <v>32</v>
      </c>
      <c r="B38" s="248">
        <v>3.5416666666666666E-2</v>
      </c>
      <c r="C38" s="231">
        <f t="shared" si="1"/>
        <v>51</v>
      </c>
      <c r="D38" s="231">
        <f t="shared" si="0"/>
        <v>47.554729346219752</v>
      </c>
      <c r="E38" s="246">
        <f>'10K'!$E38*(1-$K$2)+H.Marathon!$E38*$K$2</f>
        <v>0.99254060845058834</v>
      </c>
      <c r="F38" s="334">
        <f t="shared" si="2"/>
        <v>93.244567345528935</v>
      </c>
      <c r="G38" s="224">
        <v>32</v>
      </c>
      <c r="H38" s="347" t="s">
        <v>2030</v>
      </c>
      <c r="I38" s="267">
        <v>3060</v>
      </c>
      <c r="J38" s="270" t="s">
        <v>299</v>
      </c>
      <c r="K38" s="270" t="s">
        <v>2031</v>
      </c>
      <c r="L38" s="270" t="s">
        <v>301</v>
      </c>
      <c r="M38" s="265">
        <v>25535</v>
      </c>
      <c r="N38" s="267"/>
      <c r="O38" s="270" t="s">
        <v>1992</v>
      </c>
      <c r="P38" s="372">
        <v>37507</v>
      </c>
      <c r="Q38" s="267"/>
    </row>
    <row r="39" spans="1:17">
      <c r="A39" s="224">
        <v>33</v>
      </c>
      <c r="B39" s="248">
        <v>3.560185185185185E-2</v>
      </c>
      <c r="C39" s="231">
        <f t="shared" si="1"/>
        <v>51.266666666666666</v>
      </c>
      <c r="D39" s="231">
        <f t="shared" si="0"/>
        <v>47.683121640035104</v>
      </c>
      <c r="E39" s="246">
        <f>'10K'!$E39*(1-$K$2)+H.Marathon!$E39*$K$2</f>
        <v>0.98986807861108095</v>
      </c>
      <c r="F39" s="334">
        <f t="shared" si="2"/>
        <v>93.009990195126989</v>
      </c>
      <c r="G39" s="224">
        <v>33</v>
      </c>
      <c r="H39" s="347" t="s">
        <v>2018</v>
      </c>
      <c r="I39" s="267">
        <v>3076</v>
      </c>
      <c r="J39" s="270" t="s">
        <v>304</v>
      </c>
      <c r="K39" s="270" t="s">
        <v>305</v>
      </c>
      <c r="L39" s="270" t="s">
        <v>241</v>
      </c>
      <c r="M39" s="265">
        <v>23483</v>
      </c>
      <c r="N39" s="267" t="s">
        <v>1985</v>
      </c>
      <c r="O39" s="270" t="s">
        <v>509</v>
      </c>
      <c r="P39" s="372">
        <v>35890</v>
      </c>
      <c r="Q39" s="267"/>
    </row>
    <row r="40" spans="1:17">
      <c r="A40" s="224">
        <v>34</v>
      </c>
      <c r="B40" s="248">
        <v>3.5543981481481482E-2</v>
      </c>
      <c r="C40" s="231">
        <f t="shared" si="1"/>
        <v>51.183333333333337</v>
      </c>
      <c r="D40" s="231">
        <f t="shared" si="0"/>
        <v>47.831163603431328</v>
      </c>
      <c r="E40" s="246">
        <f>'10K'!$E40*(1-$K$2)+H.Marathon!$E40*$K$2</f>
        <v>0.98680434353083457</v>
      </c>
      <c r="F40" s="334">
        <f t="shared" si="2"/>
        <v>93.45066155017517</v>
      </c>
      <c r="G40" s="224">
        <v>34</v>
      </c>
      <c r="H40" s="347" t="s">
        <v>2032</v>
      </c>
      <c r="I40" s="267">
        <v>3071</v>
      </c>
      <c r="J40" s="270" t="s">
        <v>282</v>
      </c>
      <c r="K40" s="270" t="s">
        <v>554</v>
      </c>
      <c r="L40" s="270" t="s">
        <v>284</v>
      </c>
      <c r="M40" s="265">
        <v>27015</v>
      </c>
      <c r="N40" s="267"/>
      <c r="O40" s="270" t="s">
        <v>1992</v>
      </c>
      <c r="P40" s="372">
        <v>39747</v>
      </c>
      <c r="Q40" s="267"/>
    </row>
    <row r="41" spans="1:17">
      <c r="A41" s="224">
        <v>35</v>
      </c>
      <c r="B41" s="248">
        <v>3.6249999999999998E-2</v>
      </c>
      <c r="C41" s="231">
        <f t="shared" si="1"/>
        <v>52.199999999999996</v>
      </c>
      <c r="D41" s="231">
        <f t="shared" si="0"/>
        <v>47.999644878259645</v>
      </c>
      <c r="E41" s="246">
        <f>'10K'!$E41*(1-$K$2)+H.Marathon!$E41*$K$2</f>
        <v>0.98334060845058835</v>
      </c>
      <c r="F41" s="334">
        <f t="shared" si="2"/>
        <v>91.953342678658331</v>
      </c>
      <c r="G41" s="224">
        <v>35</v>
      </c>
      <c r="H41" s="347" t="s">
        <v>2033</v>
      </c>
      <c r="I41" s="267">
        <v>3132</v>
      </c>
      <c r="J41" s="270" t="s">
        <v>1393</v>
      </c>
      <c r="K41" s="270" t="s">
        <v>1548</v>
      </c>
      <c r="L41" s="270" t="s">
        <v>241</v>
      </c>
      <c r="M41" s="265">
        <v>28724</v>
      </c>
      <c r="N41" s="267" t="s">
        <v>1985</v>
      </c>
      <c r="O41" s="270" t="s">
        <v>509</v>
      </c>
      <c r="P41" s="372">
        <v>41735</v>
      </c>
      <c r="Q41" s="267"/>
    </row>
    <row r="42" spans="1:17">
      <c r="A42" s="224">
        <v>36</v>
      </c>
      <c r="B42" s="248">
        <v>3.6712962962962961E-2</v>
      </c>
      <c r="C42" s="231">
        <f t="shared" si="1"/>
        <v>52.866666666666667</v>
      </c>
      <c r="D42" s="231">
        <f t="shared" si="0"/>
        <v>48.188556030770428</v>
      </c>
      <c r="E42" s="246">
        <f>'10K'!$E42*(1-$K$2)+H.Marathon!$E42*$K$2</f>
        <v>0.97948566812960336</v>
      </c>
      <c r="F42" s="334">
        <f t="shared" si="2"/>
        <v>91.151114812302197</v>
      </c>
      <c r="G42" s="224">
        <v>36</v>
      </c>
      <c r="H42" s="347" t="s">
        <v>2034</v>
      </c>
      <c r="I42" s="267">
        <v>3172</v>
      </c>
      <c r="J42" s="270" t="s">
        <v>1410</v>
      </c>
      <c r="K42" s="270" t="s">
        <v>1550</v>
      </c>
      <c r="L42" s="270" t="s">
        <v>291</v>
      </c>
      <c r="M42" s="265">
        <v>19039</v>
      </c>
      <c r="N42" s="267"/>
      <c r="O42" s="270" t="s">
        <v>815</v>
      </c>
      <c r="P42" s="372">
        <v>32453</v>
      </c>
      <c r="Q42" s="267"/>
    </row>
    <row r="43" spans="1:17">
      <c r="A43" s="224">
        <v>37</v>
      </c>
      <c r="B43" s="248">
        <v>3.7303240740740741E-2</v>
      </c>
      <c r="C43" s="231">
        <f t="shared" si="1"/>
        <v>53.716666666666669</v>
      </c>
      <c r="D43" s="231">
        <f t="shared" ref="D43:D74" si="3">E$4/E43</f>
        <v>48.403766442752882</v>
      </c>
      <c r="E43" s="246">
        <f>'10K'!$E43*(1-$K$2)+H.Marathon!$E43*$K$2</f>
        <v>0.97513072780861854</v>
      </c>
      <c r="F43" s="334">
        <f t="shared" si="2"/>
        <v>90.109400762183455</v>
      </c>
      <c r="G43" s="224">
        <v>37</v>
      </c>
      <c r="H43" s="347" t="s">
        <v>2035</v>
      </c>
      <c r="I43" s="267">
        <v>3223</v>
      </c>
      <c r="J43" s="270" t="s">
        <v>2036</v>
      </c>
      <c r="K43" s="270" t="s">
        <v>2037</v>
      </c>
      <c r="L43" s="270" t="s">
        <v>268</v>
      </c>
      <c r="M43" s="265">
        <v>27280</v>
      </c>
      <c r="N43" s="267"/>
      <c r="O43" s="270" t="s">
        <v>1992</v>
      </c>
      <c r="P43" s="372">
        <v>40846</v>
      </c>
      <c r="Q43" s="267"/>
    </row>
    <row r="44" spans="1:17">
      <c r="A44" s="224">
        <v>38</v>
      </c>
      <c r="B44" s="248">
        <v>3.7835648148148146E-2</v>
      </c>
      <c r="C44" s="231">
        <f t="shared" si="1"/>
        <v>54.483333333333327</v>
      </c>
      <c r="D44" s="231">
        <f t="shared" si="3"/>
        <v>48.640508993568197</v>
      </c>
      <c r="E44" s="246">
        <f>'10K'!$E44*(1-$K$2)+H.Marathon!$E44*$K$2</f>
        <v>0.97038458224689483</v>
      </c>
      <c r="F44" s="334">
        <f t="shared" si="2"/>
        <v>89.275941866445152</v>
      </c>
      <c r="G44" s="224">
        <v>38</v>
      </c>
      <c r="H44" s="347" t="s">
        <v>2038</v>
      </c>
      <c r="I44" s="267">
        <v>3269</v>
      </c>
      <c r="J44" s="270" t="s">
        <v>2039</v>
      </c>
      <c r="K44" s="270" t="s">
        <v>2040</v>
      </c>
      <c r="L44" s="270" t="s">
        <v>328</v>
      </c>
      <c r="M44" s="265">
        <v>22024</v>
      </c>
      <c r="N44" s="267" t="s">
        <v>1985</v>
      </c>
      <c r="O44" s="270" t="s">
        <v>509</v>
      </c>
      <c r="P44" s="372">
        <v>36261</v>
      </c>
      <c r="Q44" s="267"/>
    </row>
    <row r="45" spans="1:17">
      <c r="A45" s="224">
        <v>39</v>
      </c>
      <c r="B45" s="248">
        <v>3.6805555555555557E-2</v>
      </c>
      <c r="C45" s="231">
        <f t="shared" si="1"/>
        <v>53</v>
      </c>
      <c r="D45" s="231">
        <f t="shared" si="3"/>
        <v>48.897997556055692</v>
      </c>
      <c r="E45" s="246">
        <f>'10K'!$E45*(1-$K$2)+H.Marathon!$E45*$K$2</f>
        <v>0.96527470160492479</v>
      </c>
      <c r="F45" s="334">
        <f t="shared" si="2"/>
        <v>92.260372747274886</v>
      </c>
      <c r="G45" s="224">
        <v>39</v>
      </c>
      <c r="H45" s="347" t="s">
        <v>2041</v>
      </c>
      <c r="I45" s="267">
        <v>3180</v>
      </c>
      <c r="J45" s="270" t="s">
        <v>796</v>
      </c>
      <c r="K45" s="270" t="s">
        <v>2042</v>
      </c>
      <c r="L45" s="270" t="s">
        <v>284</v>
      </c>
      <c r="M45" s="265">
        <v>26927</v>
      </c>
      <c r="N45" s="267"/>
      <c r="O45" s="270" t="s">
        <v>1992</v>
      </c>
      <c r="P45" s="372">
        <v>41210</v>
      </c>
      <c r="Q45" s="267"/>
    </row>
    <row r="46" spans="1:17">
      <c r="A46" s="224">
        <v>40</v>
      </c>
      <c r="B46" s="248">
        <v>3.7858796296296293E-2</v>
      </c>
      <c r="C46" s="231">
        <f t="shared" si="1"/>
        <v>54.516666666666666</v>
      </c>
      <c r="D46" s="231">
        <f t="shared" si="3"/>
        <v>49.181980404436707</v>
      </c>
      <c r="E46" s="246">
        <f>'10K'!$E46*(1-$K$2)+H.Marathon!$E46*$K$2</f>
        <v>0.95970108588270864</v>
      </c>
      <c r="F46" s="334">
        <f t="shared" si="2"/>
        <v>90.214577323943828</v>
      </c>
      <c r="G46" s="224">
        <v>40</v>
      </c>
      <c r="H46" s="347" t="s">
        <v>2043</v>
      </c>
      <c r="I46" s="267">
        <v>3271</v>
      </c>
      <c r="J46" s="270" t="s">
        <v>326</v>
      </c>
      <c r="K46" s="270" t="s">
        <v>580</v>
      </c>
      <c r="L46" s="270" t="s">
        <v>328</v>
      </c>
      <c r="M46" s="265">
        <v>20152</v>
      </c>
      <c r="N46" s="267" t="s">
        <v>2026</v>
      </c>
      <c r="O46" s="270" t="s">
        <v>2027</v>
      </c>
      <c r="P46" s="372">
        <v>34937</v>
      </c>
      <c r="Q46" s="267"/>
    </row>
    <row r="47" spans="1:17">
      <c r="A47" s="224">
        <v>41</v>
      </c>
      <c r="B47" s="248">
        <v>3.7870370370370374E-2</v>
      </c>
      <c r="C47" s="231">
        <f t="shared" si="1"/>
        <v>54.533333333333339</v>
      </c>
      <c r="D47" s="231">
        <f t="shared" si="3"/>
        <v>49.491454335744997</v>
      </c>
      <c r="E47" s="246">
        <f>'10K'!$E47*(1-$K$2)+H.Marathon!$E47*$K$2</f>
        <v>0.95369999999999999</v>
      </c>
      <c r="F47" s="334">
        <f t="shared" si="2"/>
        <v>90.754500615669301</v>
      </c>
      <c r="G47" s="224">
        <v>41</v>
      </c>
      <c r="H47" s="347" t="s">
        <v>2044</v>
      </c>
      <c r="I47" s="267">
        <v>3272</v>
      </c>
      <c r="J47" s="270" t="s">
        <v>1410</v>
      </c>
      <c r="K47" s="270" t="s">
        <v>1550</v>
      </c>
      <c r="L47" s="270" t="s">
        <v>291</v>
      </c>
      <c r="M47" s="265">
        <v>19039</v>
      </c>
      <c r="N47" s="267"/>
      <c r="O47" s="270" t="s">
        <v>2045</v>
      </c>
      <c r="P47" s="372">
        <v>34210</v>
      </c>
      <c r="Q47" s="267"/>
    </row>
    <row r="48" spans="1:17">
      <c r="A48" s="224">
        <v>42</v>
      </c>
      <c r="B48" s="248">
        <v>3.6620370370370373E-2</v>
      </c>
      <c r="C48" s="231">
        <f t="shared" si="1"/>
        <v>52.733333333333334</v>
      </c>
      <c r="D48" s="231">
        <f t="shared" si="3"/>
        <v>49.827322781781859</v>
      </c>
      <c r="E48" s="246">
        <f>'10K'!$E48*(1-$K$2)+H.Marathon!$E48*$K$2</f>
        <v>0.94727144395679885</v>
      </c>
      <c r="F48" s="334">
        <f t="shared" si="2"/>
        <v>94.489234099459907</v>
      </c>
      <c r="G48" s="224">
        <v>42</v>
      </c>
      <c r="H48" s="347" t="s">
        <v>1998</v>
      </c>
      <c r="I48" s="267">
        <v>3164</v>
      </c>
      <c r="J48" s="270" t="s">
        <v>796</v>
      </c>
      <c r="K48" s="270" t="s">
        <v>2042</v>
      </c>
      <c r="L48" s="270" t="s">
        <v>284</v>
      </c>
      <c r="M48" s="265">
        <v>26927</v>
      </c>
      <c r="N48" s="267"/>
      <c r="O48" s="270" t="s">
        <v>1992</v>
      </c>
      <c r="P48" s="372">
        <v>42302</v>
      </c>
      <c r="Q48" s="267"/>
    </row>
    <row r="49" spans="1:17">
      <c r="A49" s="224">
        <v>43</v>
      </c>
      <c r="B49" s="248">
        <v>3.8576388888888889E-2</v>
      </c>
      <c r="C49" s="231">
        <f t="shared" si="1"/>
        <v>55.55</v>
      </c>
      <c r="D49" s="231">
        <f t="shared" si="3"/>
        <v>50.18718369014568</v>
      </c>
      <c r="E49" s="246">
        <f>'10K'!$E49*(1-$K$2)+H.Marathon!$E49*$K$2</f>
        <v>0.94047915283335148</v>
      </c>
      <c r="F49" s="334">
        <f t="shared" si="2"/>
        <v>90.345965238786107</v>
      </c>
      <c r="G49" s="224">
        <v>43</v>
      </c>
      <c r="H49" s="347" t="s">
        <v>2046</v>
      </c>
      <c r="I49" s="267">
        <v>3333</v>
      </c>
      <c r="J49" s="270" t="s">
        <v>334</v>
      </c>
      <c r="K49" s="270" t="s">
        <v>904</v>
      </c>
      <c r="L49" s="270" t="s">
        <v>284</v>
      </c>
      <c r="M49" s="265">
        <v>13814</v>
      </c>
      <c r="N49" s="267"/>
      <c r="O49" s="270" t="s">
        <v>2047</v>
      </c>
      <c r="P49" s="372">
        <v>29575</v>
      </c>
      <c r="Q49" s="267"/>
    </row>
    <row r="50" spans="1:17">
      <c r="A50" s="224">
        <v>44</v>
      </c>
      <c r="B50" s="248">
        <v>3.8402777777777779E-2</v>
      </c>
      <c r="C50" s="231">
        <f t="shared" si="1"/>
        <v>55.300000000000004</v>
      </c>
      <c r="D50" s="231">
        <f t="shared" si="3"/>
        <v>50.575435326332837</v>
      </c>
      <c r="E50" s="246">
        <f>'10K'!$E50*(1-$K$2)+H.Marathon!$E50*$K$2</f>
        <v>0.93325939154941162</v>
      </c>
      <c r="F50" s="334">
        <f t="shared" si="2"/>
        <v>91.456483411090119</v>
      </c>
      <c r="G50" s="224">
        <v>44</v>
      </c>
      <c r="H50" s="347" t="s">
        <v>2048</v>
      </c>
      <c r="I50" s="267">
        <v>3318</v>
      </c>
      <c r="J50" s="270" t="s">
        <v>583</v>
      </c>
      <c r="K50" s="270" t="s">
        <v>584</v>
      </c>
      <c r="L50" s="270" t="s">
        <v>241</v>
      </c>
      <c r="M50" s="265">
        <v>16398</v>
      </c>
      <c r="N50" s="267" t="s">
        <v>2026</v>
      </c>
      <c r="O50" s="270" t="s">
        <v>2027</v>
      </c>
      <c r="P50" s="372">
        <v>32746</v>
      </c>
      <c r="Q50" s="267"/>
    </row>
    <row r="51" spans="1:17">
      <c r="A51" s="224">
        <v>45</v>
      </c>
      <c r="B51" s="248">
        <v>3.8842592592592595E-2</v>
      </c>
      <c r="C51" s="231">
        <f t="shared" si="1"/>
        <v>55.933333333333337</v>
      </c>
      <c r="D51" s="231">
        <f t="shared" si="3"/>
        <v>50.995277908090266</v>
      </c>
      <c r="E51" s="246">
        <f>'10K'!$E51*(1-$K$2)+H.Marathon!$E51*$K$2</f>
        <v>0.92557589518522554</v>
      </c>
      <c r="F51" s="334">
        <f t="shared" si="2"/>
        <v>91.171533804690569</v>
      </c>
      <c r="G51" s="224">
        <v>45</v>
      </c>
      <c r="H51" s="347" t="s">
        <v>2049</v>
      </c>
      <c r="I51" s="267">
        <v>3356</v>
      </c>
      <c r="J51" s="270" t="s">
        <v>326</v>
      </c>
      <c r="K51" s="270" t="s">
        <v>580</v>
      </c>
      <c r="L51" s="270" t="s">
        <v>328</v>
      </c>
      <c r="M51" s="265">
        <v>20152</v>
      </c>
      <c r="N51" s="267" t="s">
        <v>2026</v>
      </c>
      <c r="O51" s="270" t="s">
        <v>2027</v>
      </c>
      <c r="P51" s="372">
        <v>36764</v>
      </c>
      <c r="Q51" s="267"/>
    </row>
    <row r="52" spans="1:17">
      <c r="A52" s="224">
        <v>46</v>
      </c>
      <c r="B52" s="248">
        <v>3.9270833333333331E-2</v>
      </c>
      <c r="C52" s="231">
        <f t="shared" si="1"/>
        <v>56.55</v>
      </c>
      <c r="D52" s="231">
        <f t="shared" si="3"/>
        <v>51.442534566238095</v>
      </c>
      <c r="E52" s="246">
        <f>'10K'!$E52*(1-$K$2)+H.Marathon!$E52*$K$2</f>
        <v>0.91752866374079323</v>
      </c>
      <c r="F52" s="334">
        <f t="shared" si="2"/>
        <v>90.96823088636269</v>
      </c>
      <c r="G52" s="224">
        <v>46</v>
      </c>
      <c r="H52" s="347" t="s">
        <v>2050</v>
      </c>
      <c r="I52" s="267">
        <v>3393</v>
      </c>
      <c r="J52" s="270" t="s">
        <v>583</v>
      </c>
      <c r="K52" s="270" t="s">
        <v>584</v>
      </c>
      <c r="L52" s="270" t="s">
        <v>241</v>
      </c>
      <c r="M52" s="265">
        <v>16398</v>
      </c>
      <c r="N52" s="267" t="s">
        <v>1985</v>
      </c>
      <c r="O52" s="270" t="s">
        <v>509</v>
      </c>
      <c r="P52" s="372">
        <v>33335</v>
      </c>
      <c r="Q52" s="267"/>
    </row>
    <row r="53" spans="1:17">
      <c r="A53" s="224">
        <v>47</v>
      </c>
      <c r="B53" s="248">
        <v>3.9328703703703706E-2</v>
      </c>
      <c r="C53" s="231">
        <f t="shared" si="1"/>
        <v>56.63333333333334</v>
      </c>
      <c r="D53" s="231">
        <f t="shared" si="3"/>
        <v>51.922110200258309</v>
      </c>
      <c r="E53" s="246">
        <f>'10K'!$E53*(1-$K$2)+H.Marathon!$E53*$K$2</f>
        <v>0.90905396213586842</v>
      </c>
      <c r="F53" s="334">
        <f t="shared" si="2"/>
        <v>91.681183402457279</v>
      </c>
      <c r="G53" s="224">
        <v>47</v>
      </c>
      <c r="H53" s="347" t="s">
        <v>2051</v>
      </c>
      <c r="I53" s="267">
        <v>3398</v>
      </c>
      <c r="J53" s="270" t="s">
        <v>326</v>
      </c>
      <c r="K53" s="270" t="s">
        <v>580</v>
      </c>
      <c r="L53" s="270" t="s">
        <v>328</v>
      </c>
      <c r="M53" s="265">
        <v>20152</v>
      </c>
      <c r="N53" s="267"/>
      <c r="O53" s="270" t="s">
        <v>1885</v>
      </c>
      <c r="P53" s="372">
        <v>37556</v>
      </c>
      <c r="Q53" s="267"/>
    </row>
    <row r="54" spans="1:17">
      <c r="A54" s="224">
        <v>48</v>
      </c>
      <c r="B54" s="248">
        <v>3.8576388888888889E-2</v>
      </c>
      <c r="C54" s="231">
        <f t="shared" si="1"/>
        <v>55.55</v>
      </c>
      <c r="D54" s="231">
        <f t="shared" si="3"/>
        <v>52.435600867466107</v>
      </c>
      <c r="E54" s="246">
        <f>'10K'!$E54*(1-$K$2)+H.Marathon!$E54*$K$2</f>
        <v>0.90015179037045123</v>
      </c>
      <c r="F54" s="334">
        <f t="shared" si="2"/>
        <v>94.393520913530352</v>
      </c>
      <c r="G54" s="224">
        <v>48</v>
      </c>
      <c r="H54" s="347" t="s">
        <v>2046</v>
      </c>
      <c r="I54" s="267">
        <v>3333</v>
      </c>
      <c r="J54" s="270" t="s">
        <v>334</v>
      </c>
      <c r="K54" s="270" t="s">
        <v>904</v>
      </c>
      <c r="L54" s="270" t="s">
        <v>284</v>
      </c>
      <c r="M54" s="265">
        <v>13814</v>
      </c>
      <c r="N54" s="267"/>
      <c r="O54" s="270" t="s">
        <v>2052</v>
      </c>
      <c r="P54" s="372">
        <v>31690</v>
      </c>
      <c r="Q54" s="267"/>
    </row>
    <row r="55" spans="1:17">
      <c r="A55" s="224">
        <v>49</v>
      </c>
      <c r="B55" s="248">
        <v>3.9247685185185184E-2</v>
      </c>
      <c r="C55" s="231">
        <f t="shared" si="1"/>
        <v>56.516666666666666</v>
      </c>
      <c r="D55" s="231">
        <f t="shared" si="3"/>
        <v>52.984762539206741</v>
      </c>
      <c r="E55" s="246">
        <f>'10K'!$E55*(1-$K$2)+H.Marathon!$E55*$K$2</f>
        <v>0.89082214844454133</v>
      </c>
      <c r="F55" s="334">
        <f t="shared" si="2"/>
        <v>93.750685707826733</v>
      </c>
      <c r="G55" s="224">
        <v>49</v>
      </c>
      <c r="H55" s="347" t="s">
        <v>2053</v>
      </c>
      <c r="I55" s="267">
        <v>3391</v>
      </c>
      <c r="J55" s="270" t="s">
        <v>326</v>
      </c>
      <c r="K55" s="270" t="s">
        <v>580</v>
      </c>
      <c r="L55" s="270" t="s">
        <v>328</v>
      </c>
      <c r="M55" s="265">
        <v>20152</v>
      </c>
      <c r="N55" s="267" t="s">
        <v>2026</v>
      </c>
      <c r="O55" s="270" t="s">
        <v>2027</v>
      </c>
      <c r="P55" s="372">
        <v>38227</v>
      </c>
      <c r="Q55" s="267"/>
    </row>
    <row r="56" spans="1:17">
      <c r="A56" s="224">
        <v>50</v>
      </c>
      <c r="B56" s="248">
        <v>4.0428240740740744E-2</v>
      </c>
      <c r="C56" s="231">
        <f t="shared" si="1"/>
        <v>58.216666666666669</v>
      </c>
      <c r="D56" s="231">
        <f t="shared" si="3"/>
        <v>53.558234845588181</v>
      </c>
      <c r="E56" s="246">
        <f>'10K'!$E56*(1-$K$2)+H.Marathon!$E56*$K$2</f>
        <v>0.88128371175937037</v>
      </c>
      <c r="F56" s="334">
        <f t="shared" si="2"/>
        <v>91.998113104359874</v>
      </c>
      <c r="G56" s="224">
        <v>50</v>
      </c>
      <c r="H56" s="347" t="s">
        <v>2054</v>
      </c>
      <c r="I56" s="267">
        <v>3493</v>
      </c>
      <c r="J56" s="270" t="s">
        <v>326</v>
      </c>
      <c r="K56" s="270" t="s">
        <v>580</v>
      </c>
      <c r="L56" s="270" t="s">
        <v>328</v>
      </c>
      <c r="M56" s="265">
        <v>20152</v>
      </c>
      <c r="N56" s="267" t="s">
        <v>2026</v>
      </c>
      <c r="O56" s="270" t="s">
        <v>2027</v>
      </c>
      <c r="P56" s="372">
        <v>38591</v>
      </c>
      <c r="Q56" s="267"/>
    </row>
    <row r="57" spans="1:17">
      <c r="A57" s="224">
        <v>51</v>
      </c>
      <c r="B57" s="248">
        <v>4.0972222222222222E-2</v>
      </c>
      <c r="C57" s="231">
        <f t="shared" si="1"/>
        <v>59</v>
      </c>
      <c r="D57" s="231">
        <f t="shared" si="3"/>
        <v>54.154974737410214</v>
      </c>
      <c r="E57" s="246">
        <f>'10K'!$E57*(1-$K$2)+H.Marathon!$E57*$K$2</f>
        <v>0.87157274523469175</v>
      </c>
      <c r="F57" s="334">
        <f t="shared" si="2"/>
        <v>91.788092775271551</v>
      </c>
      <c r="G57" s="224">
        <v>51</v>
      </c>
      <c r="H57" s="347" t="s">
        <v>2055</v>
      </c>
      <c r="I57" s="267">
        <v>3540</v>
      </c>
      <c r="J57" s="270" t="s">
        <v>326</v>
      </c>
      <c r="K57" s="270" t="s">
        <v>580</v>
      </c>
      <c r="L57" s="270" t="s">
        <v>328</v>
      </c>
      <c r="M57" s="265">
        <v>20152</v>
      </c>
      <c r="N57" s="267" t="s">
        <v>2026</v>
      </c>
      <c r="O57" s="270" t="s">
        <v>2027</v>
      </c>
      <c r="P57" s="372">
        <v>38955</v>
      </c>
      <c r="Q57" s="267"/>
    </row>
    <row r="58" spans="1:17">
      <c r="A58" s="224">
        <v>52</v>
      </c>
      <c r="B58" s="248">
        <v>4.116898148148148E-2</v>
      </c>
      <c r="C58" s="231">
        <f t="shared" si="1"/>
        <v>59.283333333333331</v>
      </c>
      <c r="D58" s="231">
        <f t="shared" si="3"/>
        <v>54.768025448694381</v>
      </c>
      <c r="E58" s="246">
        <f>'10K'!$E58*(1-$K$2)+H.Marathon!$E58*$K$2</f>
        <v>0.86181671903099821</v>
      </c>
      <c r="F58" s="334">
        <f t="shared" si="2"/>
        <v>92.383512142863736</v>
      </c>
      <c r="G58" s="224">
        <v>52</v>
      </c>
      <c r="H58" s="347" t="s">
        <v>1857</v>
      </c>
      <c r="I58" s="267">
        <v>3557</v>
      </c>
      <c r="J58" s="270" t="s">
        <v>337</v>
      </c>
      <c r="K58" s="270" t="s">
        <v>604</v>
      </c>
      <c r="L58" s="270" t="s">
        <v>339</v>
      </c>
      <c r="M58" s="265">
        <v>22396</v>
      </c>
      <c r="N58" s="267"/>
      <c r="O58" s="270" t="s">
        <v>325</v>
      </c>
      <c r="P58" s="372">
        <v>41510</v>
      </c>
      <c r="Q58" s="267"/>
    </row>
    <row r="59" spans="1:17">
      <c r="A59" s="224">
        <v>53</v>
      </c>
      <c r="B59" s="248">
        <v>4.2615740740740739E-2</v>
      </c>
      <c r="C59" s="231">
        <f t="shared" si="1"/>
        <v>61.366666666666667</v>
      </c>
      <c r="D59" s="231">
        <f t="shared" si="3"/>
        <v>55.406333895352091</v>
      </c>
      <c r="E59" s="246">
        <f>'10K'!$E59*(1-$K$2)+H.Marathon!$E59*$K$2</f>
        <v>0.85188816298779702</v>
      </c>
      <c r="F59" s="334">
        <f t="shared" si="2"/>
        <v>90.287344750709536</v>
      </c>
      <c r="G59" s="224">
        <v>53</v>
      </c>
      <c r="H59" s="347" t="s">
        <v>2056</v>
      </c>
      <c r="I59" s="267">
        <v>3682</v>
      </c>
      <c r="J59" s="270" t="s">
        <v>402</v>
      </c>
      <c r="K59" s="270" t="s">
        <v>2057</v>
      </c>
      <c r="L59" s="270" t="s">
        <v>284</v>
      </c>
      <c r="M59" s="265">
        <v>17084</v>
      </c>
      <c r="N59" s="267"/>
      <c r="O59" s="270" t="s">
        <v>2058</v>
      </c>
      <c r="P59" s="372">
        <v>36590</v>
      </c>
      <c r="Q59" s="267"/>
    </row>
    <row r="60" spans="1:17">
      <c r="A60" s="224">
        <v>54</v>
      </c>
      <c r="B60" s="248">
        <v>4.3368055555555556E-2</v>
      </c>
      <c r="C60" s="231">
        <f t="shared" si="1"/>
        <v>62.45</v>
      </c>
      <c r="D60" s="231">
        <f t="shared" si="3"/>
        <v>56.065111774211523</v>
      </c>
      <c r="E60" s="246">
        <f>'10K'!$E60*(1-$K$2)+H.Marathon!$E60*$K$2</f>
        <v>0.84187828234582707</v>
      </c>
      <c r="F60" s="334">
        <f t="shared" si="2"/>
        <v>89.775999638449193</v>
      </c>
      <c r="G60" s="224">
        <v>54</v>
      </c>
      <c r="H60" s="347" t="s">
        <v>2059</v>
      </c>
      <c r="I60" s="267">
        <v>7347</v>
      </c>
      <c r="J60" s="270" t="s">
        <v>341</v>
      </c>
      <c r="K60" s="270" t="s">
        <v>911</v>
      </c>
      <c r="L60" s="270" t="s">
        <v>241</v>
      </c>
      <c r="M60" s="265">
        <v>20956</v>
      </c>
      <c r="N60" s="267" t="s">
        <v>1985</v>
      </c>
      <c r="O60" s="270" t="s">
        <v>509</v>
      </c>
      <c r="P60" s="372">
        <v>41000</v>
      </c>
      <c r="Q60" s="267"/>
    </row>
    <row r="61" spans="1:17">
      <c r="A61" s="224">
        <v>55</v>
      </c>
      <c r="B61" s="248">
        <v>4.2592592592592592E-2</v>
      </c>
      <c r="C61" s="231">
        <f t="shared" si="1"/>
        <v>61.333333333333329</v>
      </c>
      <c r="D61" s="231">
        <f t="shared" si="3"/>
        <v>56.749039639731912</v>
      </c>
      <c r="E61" s="246">
        <f>'10K'!$E61*(1-$K$2)+H.Marathon!$E61*$K$2</f>
        <v>0.83173213678410329</v>
      </c>
      <c r="F61" s="334">
        <f t="shared" si="2"/>
        <v>92.525608108258567</v>
      </c>
      <c r="G61" s="224">
        <v>55</v>
      </c>
      <c r="H61" s="347" t="s">
        <v>2060</v>
      </c>
      <c r="I61" s="267">
        <v>3680</v>
      </c>
      <c r="J61" s="270" t="s">
        <v>1055</v>
      </c>
      <c r="K61" s="270" t="s">
        <v>1056</v>
      </c>
      <c r="L61" s="270" t="s">
        <v>241</v>
      </c>
      <c r="M61" s="265">
        <v>23193</v>
      </c>
      <c r="N61" s="224" t="s">
        <v>2061</v>
      </c>
      <c r="O61" s="224" t="s">
        <v>1058</v>
      </c>
      <c r="P61" s="372">
        <v>43352</v>
      </c>
      <c r="Q61" s="267"/>
    </row>
    <row r="62" spans="1:17">
      <c r="A62" s="224">
        <v>56</v>
      </c>
      <c r="B62" s="248">
        <v>4.4374999999999998E-2</v>
      </c>
      <c r="C62" s="231">
        <f t="shared" si="1"/>
        <v>63.9</v>
      </c>
      <c r="D62" s="231">
        <f t="shared" si="3"/>
        <v>57.455547019583321</v>
      </c>
      <c r="E62" s="246">
        <f>'10K'!$E62*(1-$K$2)+H.Marathon!$E62*$K$2</f>
        <v>0.82150466662361099</v>
      </c>
      <c r="F62" s="334">
        <f t="shared" si="2"/>
        <v>89.914784068205506</v>
      </c>
      <c r="G62" s="224">
        <v>56</v>
      </c>
      <c r="H62" s="347" t="s">
        <v>1363</v>
      </c>
      <c r="I62" s="267">
        <v>3834</v>
      </c>
      <c r="J62" s="270" t="s">
        <v>351</v>
      </c>
      <c r="K62" s="270" t="s">
        <v>2062</v>
      </c>
      <c r="L62" s="270" t="s">
        <v>241</v>
      </c>
      <c r="M62" s="265">
        <v>20087</v>
      </c>
      <c r="N62" s="267" t="s">
        <v>2063</v>
      </c>
      <c r="O62" s="270" t="s">
        <v>2064</v>
      </c>
      <c r="P62" s="372">
        <v>40607</v>
      </c>
      <c r="Q62" s="267"/>
    </row>
    <row r="63" spans="1:17">
      <c r="A63" s="224">
        <v>57</v>
      </c>
      <c r="B63" s="248">
        <v>4.4930555555555557E-2</v>
      </c>
      <c r="C63" s="231">
        <f t="shared" si="1"/>
        <v>64.7</v>
      </c>
      <c r="D63" s="231">
        <f t="shared" si="3"/>
        <v>58.192243174336127</v>
      </c>
      <c r="E63" s="246">
        <f>'10K'!$E63*(1-$K$2)+H.Marathon!$E63*$K$2</f>
        <v>0.81110466662361091</v>
      </c>
      <c r="F63" s="334">
        <f t="shared" si="2"/>
        <v>89.94164323699556</v>
      </c>
      <c r="G63" s="224">
        <v>57</v>
      </c>
      <c r="H63" s="347" t="s">
        <v>2065</v>
      </c>
      <c r="I63" s="267">
        <v>3882</v>
      </c>
      <c r="J63" s="270" t="s">
        <v>1925</v>
      </c>
      <c r="K63" s="270" t="s">
        <v>1926</v>
      </c>
      <c r="L63" s="270" t="s">
        <v>241</v>
      </c>
      <c r="M63" s="265">
        <v>10885</v>
      </c>
      <c r="N63" s="267" t="s">
        <v>2066</v>
      </c>
      <c r="O63" s="270" t="s">
        <v>2067</v>
      </c>
      <c r="P63" s="372">
        <v>31795</v>
      </c>
      <c r="Q63" s="267"/>
    </row>
    <row r="64" spans="1:17" ht="12" customHeight="1">
      <c r="A64" s="224">
        <v>58</v>
      </c>
      <c r="B64" s="248">
        <v>4.2106481481481481E-2</v>
      </c>
      <c r="C64" s="231">
        <f t="shared" si="1"/>
        <v>60.633333333333333</v>
      </c>
      <c r="D64" s="231">
        <f t="shared" si="3"/>
        <v>58.946054281728244</v>
      </c>
      <c r="E64" s="246">
        <f>'10K'!$E64*(1-$K$2)+H.Marathon!$E64*$K$2</f>
        <v>0.80073213678410338</v>
      </c>
      <c r="F64" s="334">
        <f t="shared" si="2"/>
        <v>97.217241806038885</v>
      </c>
      <c r="G64" s="224">
        <v>58</v>
      </c>
      <c r="H64" s="347" t="s">
        <v>2068</v>
      </c>
      <c r="I64" s="267">
        <v>3638</v>
      </c>
      <c r="J64" s="262" t="s">
        <v>1055</v>
      </c>
      <c r="K64" s="262" t="s">
        <v>1056</v>
      </c>
      <c r="L64" s="270" t="s">
        <v>241</v>
      </c>
      <c r="M64" s="265">
        <v>23193</v>
      </c>
      <c r="N64" s="317" t="s">
        <v>2069</v>
      </c>
      <c r="O64" s="262" t="s">
        <v>1058</v>
      </c>
      <c r="P64" s="372">
        <v>44654</v>
      </c>
      <c r="Q64" s="267"/>
    </row>
    <row r="65" spans="1:17" ht="11.25" customHeight="1">
      <c r="A65" s="224">
        <v>59</v>
      </c>
      <c r="B65" s="248">
        <v>4.4386574074074071E-2</v>
      </c>
      <c r="C65" s="231">
        <f t="shared" si="1"/>
        <v>63.916666666666664</v>
      </c>
      <c r="D65" s="231">
        <f t="shared" si="3"/>
        <v>59.724467355058707</v>
      </c>
      <c r="E65" s="246">
        <f>'10K'!$E65*(1-$K$2)+H.Marathon!$E65*$K$2</f>
        <v>0.79029587186434958</v>
      </c>
      <c r="F65" s="334">
        <f t="shared" si="2"/>
        <v>93.441148404263956</v>
      </c>
      <c r="G65" s="224">
        <v>59</v>
      </c>
      <c r="H65" s="347" t="s">
        <v>2070</v>
      </c>
      <c r="I65" s="267">
        <v>3841</v>
      </c>
      <c r="J65" s="270" t="s">
        <v>341</v>
      </c>
      <c r="K65" s="270" t="s">
        <v>911</v>
      </c>
      <c r="L65" s="270" t="s">
        <v>241</v>
      </c>
      <c r="M65" s="265">
        <v>20956</v>
      </c>
      <c r="N65" s="267" t="s">
        <v>1985</v>
      </c>
      <c r="O65" s="270" t="s">
        <v>509</v>
      </c>
      <c r="P65" s="372">
        <v>42827</v>
      </c>
      <c r="Q65" s="224"/>
    </row>
    <row r="66" spans="1:17">
      <c r="A66" s="224">
        <v>60</v>
      </c>
      <c r="B66" s="248">
        <v>4.372685185185185E-2</v>
      </c>
      <c r="C66" s="231">
        <f t="shared" si="1"/>
        <v>62.966666666666661</v>
      </c>
      <c r="D66" s="231">
        <f t="shared" si="3"/>
        <v>60.518768264402823</v>
      </c>
      <c r="E66" s="246">
        <f>'10K'!$E66*(1-$K$2)+H.Marathon!$E66*$K$2</f>
        <v>0.77992334202484215</v>
      </c>
      <c r="F66" s="334">
        <f t="shared" si="2"/>
        <v>96.112390044048951</v>
      </c>
      <c r="G66" s="224">
        <v>60</v>
      </c>
      <c r="H66" s="347" t="s">
        <v>2071</v>
      </c>
      <c r="I66" s="267">
        <v>3778</v>
      </c>
      <c r="J66" s="262" t="s">
        <v>1055</v>
      </c>
      <c r="K66" s="262" t="s">
        <v>1056</v>
      </c>
      <c r="L66" s="270" t="s">
        <v>241</v>
      </c>
      <c r="M66" s="265">
        <v>23193</v>
      </c>
      <c r="N66" s="267" t="s">
        <v>2061</v>
      </c>
      <c r="O66" s="262" t="s">
        <v>1058</v>
      </c>
      <c r="P66" s="372">
        <v>45179</v>
      </c>
      <c r="Q66" s="224"/>
    </row>
    <row r="67" spans="1:17">
      <c r="A67" s="224">
        <v>61</v>
      </c>
      <c r="B67" s="248">
        <v>4.5034722222222219E-2</v>
      </c>
      <c r="C67" s="231">
        <f t="shared" si="1"/>
        <v>64.849999999999994</v>
      </c>
      <c r="D67" s="231">
        <f t="shared" si="3"/>
        <v>61.339561643546524</v>
      </c>
      <c r="E67" s="246">
        <f>'10K'!$E67*(1-$K$2)+H.Marathon!$E67*$K$2</f>
        <v>0.76948707710508835</v>
      </c>
      <c r="F67" s="334">
        <f t="shared" si="2"/>
        <v>94.586833683186626</v>
      </c>
      <c r="G67" s="224">
        <v>61</v>
      </c>
      <c r="H67" s="347" t="s">
        <v>2072</v>
      </c>
      <c r="I67" s="267">
        <v>3891</v>
      </c>
      <c r="J67" s="270" t="s">
        <v>822</v>
      </c>
      <c r="K67" s="270" t="s">
        <v>1947</v>
      </c>
      <c r="L67" s="270" t="s">
        <v>522</v>
      </c>
      <c r="M67" s="265">
        <v>17849</v>
      </c>
      <c r="N67" s="267"/>
      <c r="O67" s="270" t="s">
        <v>2073</v>
      </c>
      <c r="P67" s="372">
        <v>40293</v>
      </c>
      <c r="Q67" s="224"/>
    </row>
    <row r="68" spans="1:17">
      <c r="A68" s="224">
        <v>62</v>
      </c>
      <c r="B68" s="248">
        <v>4.5057870370370373E-2</v>
      </c>
      <c r="C68" s="231">
        <f t="shared" si="1"/>
        <v>64.88333333333334</v>
      </c>
      <c r="D68" s="231">
        <f t="shared" si="3"/>
        <v>62.17770449798374</v>
      </c>
      <c r="E68" s="246">
        <f>'10K'!$E68*(1-$K$2)+H.Marathon!$E68*$K$2</f>
        <v>0.75911454726558092</v>
      </c>
      <c r="F68" s="334">
        <f t="shared" si="2"/>
        <v>95.83000950113086</v>
      </c>
      <c r="G68" s="224">
        <v>62</v>
      </c>
      <c r="H68" s="347" t="s">
        <v>2074</v>
      </c>
      <c r="I68" s="267">
        <v>3893</v>
      </c>
      <c r="J68" s="270" t="s">
        <v>822</v>
      </c>
      <c r="K68" s="270" t="s">
        <v>1947</v>
      </c>
      <c r="L68" s="270" t="s">
        <v>522</v>
      </c>
      <c r="M68" s="265">
        <v>17849</v>
      </c>
      <c r="N68" s="267"/>
      <c r="O68" s="270" t="s">
        <v>2073</v>
      </c>
      <c r="P68" s="372">
        <v>40664</v>
      </c>
      <c r="Q68" s="224"/>
    </row>
    <row r="69" spans="1:17">
      <c r="A69" s="224">
        <v>63</v>
      </c>
      <c r="B69" s="248">
        <v>4.6886574074074074E-2</v>
      </c>
      <c r="C69" s="231">
        <f t="shared" si="1"/>
        <v>67.516666666666666</v>
      </c>
      <c r="D69" s="231">
        <f t="shared" si="3"/>
        <v>63.044435925279757</v>
      </c>
      <c r="E69" s="246">
        <f>'10K'!$E69*(1-$K$2)+H.Marathon!$E69*$K$2</f>
        <v>0.74867828234582712</v>
      </c>
      <c r="F69" s="334">
        <f t="shared" si="2"/>
        <v>93.376108504487419</v>
      </c>
      <c r="G69" s="224">
        <v>63</v>
      </c>
      <c r="H69" s="347" t="s">
        <v>2075</v>
      </c>
      <c r="I69" s="267">
        <v>4051</v>
      </c>
      <c r="J69" s="270" t="s">
        <v>822</v>
      </c>
      <c r="K69" s="270" t="s">
        <v>1947</v>
      </c>
      <c r="L69" s="270" t="s">
        <v>522</v>
      </c>
      <c r="M69" s="265">
        <v>17849</v>
      </c>
      <c r="N69" s="267"/>
      <c r="O69" s="270" t="s">
        <v>278</v>
      </c>
      <c r="P69" s="372">
        <v>41041</v>
      </c>
      <c r="Q69" s="224"/>
    </row>
    <row r="70" spans="1:17">
      <c r="A70" s="224">
        <v>64</v>
      </c>
      <c r="B70" s="248">
        <v>4.372685185185185E-2</v>
      </c>
      <c r="C70" s="231">
        <f t="shared" si="1"/>
        <v>62.966666666666661</v>
      </c>
      <c r="D70" s="231">
        <f t="shared" si="3"/>
        <v>63.93015338126596</v>
      </c>
      <c r="E70" s="246">
        <f>'10K'!$E70*(1-$K$2)+H.Marathon!$E70*$K$2</f>
        <v>0.73830575250631969</v>
      </c>
      <c r="F70" s="334">
        <f t="shared" si="2"/>
        <v>101.53015359650497</v>
      </c>
      <c r="G70" s="224">
        <v>64</v>
      </c>
      <c r="H70" s="347" t="s">
        <v>2071</v>
      </c>
      <c r="I70" s="267">
        <v>4120</v>
      </c>
      <c r="J70" s="270" t="s">
        <v>822</v>
      </c>
      <c r="K70" s="270" t="s">
        <v>1947</v>
      </c>
      <c r="L70" s="270" t="s">
        <v>522</v>
      </c>
      <c r="M70" s="265">
        <v>17849</v>
      </c>
      <c r="N70" s="267"/>
      <c r="O70" s="270" t="s">
        <v>2073</v>
      </c>
      <c r="P70" s="372">
        <v>41392</v>
      </c>
      <c r="Q70" s="224"/>
    </row>
    <row r="71" spans="1:17">
      <c r="A71" s="224">
        <v>65</v>
      </c>
      <c r="B71" s="248">
        <v>4.7847222222222222E-2</v>
      </c>
      <c r="C71" s="231">
        <f t="shared" si="1"/>
        <v>68.900000000000006</v>
      </c>
      <c r="D71" s="231">
        <f t="shared" si="3"/>
        <v>64.846790262500861</v>
      </c>
      <c r="E71" s="246">
        <f>'10K'!$E71*(1-$K$2)+H.Marathon!$E71*$K$2</f>
        <v>0.72786948758656578</v>
      </c>
      <c r="F71" s="334">
        <f t="shared" si="2"/>
        <v>94.117257275037531</v>
      </c>
      <c r="G71" s="224">
        <v>65</v>
      </c>
      <c r="H71" s="347" t="s">
        <v>2076</v>
      </c>
      <c r="I71" s="267">
        <v>4134</v>
      </c>
      <c r="J71" s="224" t="s">
        <v>360</v>
      </c>
      <c r="K71" s="224" t="s">
        <v>361</v>
      </c>
      <c r="L71" s="270" t="s">
        <v>241</v>
      </c>
      <c r="M71" s="265">
        <v>18901</v>
      </c>
      <c r="N71" s="267" t="s">
        <v>2077</v>
      </c>
      <c r="O71" s="270" t="s">
        <v>2078</v>
      </c>
      <c r="P71" s="372">
        <v>42749</v>
      </c>
      <c r="Q71" s="224"/>
    </row>
    <row r="72" spans="1:17">
      <c r="A72" s="224">
        <v>66</v>
      </c>
      <c r="B72" s="248">
        <v>4.9583333333333333E-2</v>
      </c>
      <c r="C72" s="231">
        <f t="shared" si="1"/>
        <v>71.400000000000006</v>
      </c>
      <c r="D72" s="231">
        <f t="shared" si="3"/>
        <v>65.784251055514005</v>
      </c>
      <c r="E72" s="246">
        <f>'10K'!$E72*(1-$K$2)+H.Marathon!$E72*$K$2</f>
        <v>0.71749695774705824</v>
      </c>
      <c r="F72" s="334">
        <f t="shared" si="2"/>
        <v>92.134805399879554</v>
      </c>
      <c r="G72" s="224">
        <v>66</v>
      </c>
      <c r="H72" s="347" t="s">
        <v>2079</v>
      </c>
      <c r="I72" s="267">
        <v>4284</v>
      </c>
      <c r="J72" s="270" t="s">
        <v>365</v>
      </c>
      <c r="K72" s="270" t="s">
        <v>1949</v>
      </c>
      <c r="L72" s="270" t="s">
        <v>241</v>
      </c>
      <c r="M72" s="265">
        <v>17959</v>
      </c>
      <c r="N72" s="267"/>
      <c r="O72" s="270" t="s">
        <v>368</v>
      </c>
      <c r="P72" s="372">
        <v>42288</v>
      </c>
      <c r="Q72" s="224"/>
    </row>
    <row r="73" spans="1:17">
      <c r="A73" s="224">
        <v>67</v>
      </c>
      <c r="B73" s="248">
        <v>5.0960648148148151E-2</v>
      </c>
      <c r="C73" s="231">
        <f t="shared" si="1"/>
        <v>73.38333333333334</v>
      </c>
      <c r="D73" s="231">
        <f t="shared" si="3"/>
        <v>66.755231168717117</v>
      </c>
      <c r="E73" s="246">
        <f>'10K'!$E73*(1-$K$2)+H.Marathon!$E73*$K$2</f>
        <v>0.70706069282730455</v>
      </c>
      <c r="F73" s="334">
        <f t="shared" ref="F73:F86" si="4">100*(D73/C73)</f>
        <v>90.967837159278375</v>
      </c>
      <c r="G73" s="224">
        <v>67</v>
      </c>
      <c r="H73" s="347" t="s">
        <v>1870</v>
      </c>
      <c r="I73" s="267">
        <v>4403</v>
      </c>
      <c r="J73" s="270" t="s">
        <v>1607</v>
      </c>
      <c r="K73" s="270" t="s">
        <v>1608</v>
      </c>
      <c r="L73" s="270" t="s">
        <v>241</v>
      </c>
      <c r="M73" s="265">
        <v>18106</v>
      </c>
      <c r="N73" s="267" t="s">
        <v>1985</v>
      </c>
      <c r="O73" s="270" t="s">
        <v>509</v>
      </c>
      <c r="P73" s="372">
        <v>42827</v>
      </c>
      <c r="Q73" s="224"/>
    </row>
    <row r="74" spans="1:17">
      <c r="A74" s="224">
        <v>68</v>
      </c>
      <c r="B74" s="248">
        <v>4.9942129629629628E-2</v>
      </c>
      <c r="C74" s="231">
        <f t="shared" si="1"/>
        <v>71.916666666666657</v>
      </c>
      <c r="D74" s="231">
        <f t="shared" si="3"/>
        <v>67.749105708326411</v>
      </c>
      <c r="E74" s="246">
        <f>'10K'!$E74*(1-$K$2)+H.Marathon!$E74*$K$2</f>
        <v>0.69668816298779701</v>
      </c>
      <c r="F74" s="334">
        <f t="shared" si="4"/>
        <v>94.205013731160719</v>
      </c>
      <c r="G74" s="224">
        <v>68</v>
      </c>
      <c r="H74" s="347" t="s">
        <v>2080</v>
      </c>
      <c r="I74" s="267">
        <v>4315</v>
      </c>
      <c r="J74" s="270" t="s">
        <v>365</v>
      </c>
      <c r="K74" s="270" t="s">
        <v>1949</v>
      </c>
      <c r="L74" s="270" t="s">
        <v>241</v>
      </c>
      <c r="M74" s="265">
        <v>17959</v>
      </c>
      <c r="N74" s="267" t="s">
        <v>2026</v>
      </c>
      <c r="O74" s="270" t="s">
        <v>2027</v>
      </c>
      <c r="P74" s="372">
        <v>42973</v>
      </c>
      <c r="Q74" s="224"/>
    </row>
    <row r="75" spans="1:17">
      <c r="A75" s="224">
        <v>69</v>
      </c>
      <c r="B75" s="248">
        <v>5.1053240740740739E-2</v>
      </c>
      <c r="C75" s="231">
        <f t="shared" si="1"/>
        <v>73.516666666666666</v>
      </c>
      <c r="D75" s="231">
        <f t="shared" ref="D75:D106" si="5">E$4/E75</f>
        <v>68.779409037525213</v>
      </c>
      <c r="E75" s="246">
        <f>'10K'!$E75*(1-$K$2)+H.Marathon!$E75*$K$2</f>
        <v>0.68625189806804321</v>
      </c>
      <c r="F75" s="334">
        <f t="shared" si="4"/>
        <v>93.556212701235836</v>
      </c>
      <c r="G75" s="224">
        <v>69</v>
      </c>
      <c r="H75" s="347" t="s">
        <v>2081</v>
      </c>
      <c r="I75" s="267">
        <v>4411</v>
      </c>
      <c r="J75" s="270" t="s">
        <v>382</v>
      </c>
      <c r="K75" s="270" t="s">
        <v>925</v>
      </c>
      <c r="L75" s="270" t="s">
        <v>241</v>
      </c>
      <c r="M75" s="265">
        <v>17637</v>
      </c>
      <c r="N75" s="267" t="s">
        <v>2026</v>
      </c>
      <c r="O75" s="270" t="s">
        <v>2027</v>
      </c>
      <c r="P75" s="372">
        <v>42973</v>
      </c>
      <c r="Q75" s="224"/>
    </row>
    <row r="76" spans="1:17">
      <c r="A76" s="224">
        <v>70</v>
      </c>
      <c r="B76" s="248">
        <v>5.1886574074074071E-2</v>
      </c>
      <c r="C76" s="231">
        <f t="shared" ref="C76:C86" si="6">B76*1440</f>
        <v>74.716666666666669</v>
      </c>
      <c r="D76" s="231">
        <f t="shared" si="5"/>
        <v>69.834947209159694</v>
      </c>
      <c r="E76" s="246">
        <f>'10K'!$E76*(1-$K$2)+H.Marathon!$E76*$K$2</f>
        <v>0.67587936822853578</v>
      </c>
      <c r="F76" s="334">
        <f t="shared" si="4"/>
        <v>93.466358076055798</v>
      </c>
      <c r="G76" s="224">
        <v>70</v>
      </c>
      <c r="H76" s="347" t="s">
        <v>2082</v>
      </c>
      <c r="I76" s="267">
        <v>4483</v>
      </c>
      <c r="J76" s="270" t="s">
        <v>372</v>
      </c>
      <c r="K76" s="270" t="s">
        <v>623</v>
      </c>
      <c r="L76" s="270" t="s">
        <v>284</v>
      </c>
      <c r="M76" s="265">
        <v>17277</v>
      </c>
      <c r="N76" s="267"/>
      <c r="O76" s="270" t="s">
        <v>2083</v>
      </c>
      <c r="P76" s="372">
        <v>42995</v>
      </c>
      <c r="Q76" s="224"/>
    </row>
    <row r="77" spans="1:17">
      <c r="A77" s="224">
        <v>71</v>
      </c>
      <c r="B77" s="248">
        <v>4.9780092592592591E-2</v>
      </c>
      <c r="C77" s="231">
        <f t="shared" si="6"/>
        <v>71.683333333333337</v>
      </c>
      <c r="D77" s="231">
        <f t="shared" si="5"/>
        <v>70.930181356313554</v>
      </c>
      <c r="E77" s="246">
        <f>'10K'!$E77*(1-$K$2)+H.Marathon!$E77*$K$2</f>
        <v>0.66544310330878198</v>
      </c>
      <c r="F77" s="334">
        <f t="shared" si="4"/>
        <v>98.949334605413</v>
      </c>
      <c r="G77" s="224">
        <v>71</v>
      </c>
      <c r="H77" s="347" t="s">
        <v>2084</v>
      </c>
      <c r="I77" s="267">
        <v>4301</v>
      </c>
      <c r="J77" s="270" t="s">
        <v>382</v>
      </c>
      <c r="K77" s="270" t="s">
        <v>925</v>
      </c>
      <c r="L77" s="270" t="s">
        <v>241</v>
      </c>
      <c r="M77" s="265">
        <v>17637</v>
      </c>
      <c r="N77" s="267" t="s">
        <v>2026</v>
      </c>
      <c r="O77" s="270" t="s">
        <v>2027</v>
      </c>
      <c r="P77" s="372">
        <v>43700</v>
      </c>
      <c r="Q77" s="224"/>
    </row>
    <row r="78" spans="1:17">
      <c r="A78" s="224">
        <v>72</v>
      </c>
      <c r="B78" s="248">
        <v>5.5185185185185184E-2</v>
      </c>
      <c r="C78" s="231">
        <f t="shared" si="6"/>
        <v>79.466666666666669</v>
      </c>
      <c r="D78" s="231">
        <f t="shared" si="5"/>
        <v>72.053305264541663</v>
      </c>
      <c r="E78" s="246">
        <f>'10K'!$E78*(1-$K$2)+H.Marathon!$E78*$K$2</f>
        <v>0.65507057346927444</v>
      </c>
      <c r="F78" s="334">
        <f t="shared" si="4"/>
        <v>90.671105618131293</v>
      </c>
      <c r="G78" s="224">
        <v>72</v>
      </c>
      <c r="H78" s="347" t="s">
        <v>2085</v>
      </c>
      <c r="I78" s="267">
        <v>4768</v>
      </c>
      <c r="J78" s="270" t="s">
        <v>637</v>
      </c>
      <c r="K78" s="270" t="s">
        <v>638</v>
      </c>
      <c r="L78" s="270" t="s">
        <v>284</v>
      </c>
      <c r="M78" s="265">
        <v>12120</v>
      </c>
      <c r="N78" s="267"/>
      <c r="O78" s="270" t="s">
        <v>2086</v>
      </c>
      <c r="P78" s="372">
        <v>38669</v>
      </c>
      <c r="Q78" s="224"/>
    </row>
    <row r="79" spans="1:17">
      <c r="A79" s="224">
        <v>73</v>
      </c>
      <c r="B79" s="248">
        <v>5.6215277777777781E-2</v>
      </c>
      <c r="C79" s="231">
        <f t="shared" si="6"/>
        <v>80.95</v>
      </c>
      <c r="D79" s="231">
        <f t="shared" si="5"/>
        <v>73.219807531193638</v>
      </c>
      <c r="E79" s="246">
        <f>'10K'!$E79*(1-$K$2)+H.Marathon!$E79*$K$2</f>
        <v>0.64463430854952075</v>
      </c>
      <c r="F79" s="334">
        <f t="shared" si="4"/>
        <v>90.450657851999551</v>
      </c>
      <c r="G79" s="224">
        <v>73</v>
      </c>
      <c r="H79" s="347" t="s">
        <v>2087</v>
      </c>
      <c r="I79" s="267">
        <v>4857</v>
      </c>
      <c r="J79" s="270" t="s">
        <v>637</v>
      </c>
      <c r="K79" s="270" t="s">
        <v>638</v>
      </c>
      <c r="L79" s="270" t="s">
        <v>284</v>
      </c>
      <c r="M79" s="265">
        <v>12120</v>
      </c>
      <c r="N79" s="267"/>
      <c r="O79" s="270" t="s">
        <v>2088</v>
      </c>
      <c r="P79" s="372">
        <v>39040</v>
      </c>
      <c r="Q79" s="224"/>
    </row>
    <row r="80" spans="1:17">
      <c r="A80" s="224">
        <v>74</v>
      </c>
      <c r="B80" s="248">
        <v>5.5937500000000001E-2</v>
      </c>
      <c r="C80" s="231">
        <f t="shared" si="6"/>
        <v>80.55</v>
      </c>
      <c r="D80" s="231">
        <f t="shared" si="5"/>
        <v>74.417222642671675</v>
      </c>
      <c r="E80" s="246">
        <f>'10K'!$E80*(1-$K$2)+H.Marathon!$E80*$K$2</f>
        <v>0.63426177871001321</v>
      </c>
      <c r="F80" s="334">
        <f t="shared" si="4"/>
        <v>92.386371995868004</v>
      </c>
      <c r="G80" s="224">
        <v>74</v>
      </c>
      <c r="H80" s="347" t="s">
        <v>2089</v>
      </c>
      <c r="I80" s="267">
        <v>4833</v>
      </c>
      <c r="J80" s="224" t="s">
        <v>662</v>
      </c>
      <c r="K80" s="224" t="s">
        <v>663</v>
      </c>
      <c r="L80" s="270" t="s">
        <v>241</v>
      </c>
      <c r="M80" s="265">
        <v>6357</v>
      </c>
      <c r="N80" s="267" t="s">
        <v>2090</v>
      </c>
      <c r="O80" s="270" t="s">
        <v>2091</v>
      </c>
      <c r="P80" s="372">
        <v>33524</v>
      </c>
      <c r="Q80" s="224"/>
    </row>
    <row r="81" spans="1:17" ht="15.75">
      <c r="A81" s="224">
        <v>75</v>
      </c>
      <c r="B81" s="248">
        <v>5.5115740740740743E-2</v>
      </c>
      <c r="C81" s="231">
        <f t="shared" si="6"/>
        <v>79.366666666666674</v>
      </c>
      <c r="D81" s="231">
        <f t="shared" si="5"/>
        <v>75.6621827042961</v>
      </c>
      <c r="E81" s="246">
        <f>'10K'!$E81*(1-$K$2)+H.Marathon!$E81*$K$2</f>
        <v>0.62382551379025952</v>
      </c>
      <c r="F81" s="334">
        <f t="shared" si="4"/>
        <v>95.332443558541897</v>
      </c>
      <c r="G81" s="224">
        <v>75</v>
      </c>
      <c r="H81" s="347" t="s">
        <v>2092</v>
      </c>
      <c r="I81" s="267">
        <v>4762</v>
      </c>
      <c r="J81" s="270" t="s">
        <v>390</v>
      </c>
      <c r="K81" s="270" t="s">
        <v>391</v>
      </c>
      <c r="L81" s="270" t="s">
        <v>241</v>
      </c>
      <c r="M81" s="252">
        <v>13343</v>
      </c>
      <c r="N81" s="271" t="s">
        <v>2093</v>
      </c>
      <c r="O81" s="270" t="s">
        <v>2094</v>
      </c>
      <c r="P81" s="372">
        <v>40791</v>
      </c>
      <c r="Q81" s="224"/>
    </row>
    <row r="82" spans="1:17">
      <c r="A82" s="224">
        <v>76</v>
      </c>
      <c r="B82" s="248">
        <v>5.8958333333333335E-2</v>
      </c>
      <c r="C82" s="231">
        <f t="shared" si="6"/>
        <v>84.9</v>
      </c>
      <c r="D82" s="231">
        <f t="shared" si="5"/>
        <v>76.965500930588703</v>
      </c>
      <c r="E82" s="246">
        <f>'10K'!$E82*(1-$K$2)+H.Marathon!$E82*$K$2</f>
        <v>0.61326177871001319</v>
      </c>
      <c r="F82" s="334">
        <f t="shared" si="4"/>
        <v>90.654300271600349</v>
      </c>
      <c r="G82" s="224">
        <v>76</v>
      </c>
      <c r="H82" s="347" t="s">
        <v>713</v>
      </c>
      <c r="I82" s="267">
        <v>5094</v>
      </c>
      <c r="J82" s="224" t="s">
        <v>662</v>
      </c>
      <c r="K82" s="224" t="s">
        <v>663</v>
      </c>
      <c r="L82" s="270" t="s">
        <v>241</v>
      </c>
      <c r="M82" s="265">
        <v>6357</v>
      </c>
      <c r="N82" s="267" t="s">
        <v>2090</v>
      </c>
      <c r="O82" s="270" t="s">
        <v>509</v>
      </c>
      <c r="P82" s="372">
        <v>34259</v>
      </c>
      <c r="Q82" s="224"/>
    </row>
    <row r="83" spans="1:17" ht="15.75">
      <c r="A83" s="224">
        <v>77</v>
      </c>
      <c r="B83" s="248">
        <v>5.8946759259259261E-2</v>
      </c>
      <c r="C83" s="231">
        <f t="shared" si="6"/>
        <v>84.88333333333334</v>
      </c>
      <c r="D83" s="231">
        <f t="shared" si="5"/>
        <v>78.380816663373182</v>
      </c>
      <c r="E83" s="246">
        <f>'10K'!$E83*(1-$K$2)+H.Marathon!$E83*$K$2</f>
        <v>0.60218816298779698</v>
      </c>
      <c r="F83" s="334">
        <f t="shared" si="4"/>
        <v>92.339465929754383</v>
      </c>
      <c r="G83" s="224">
        <v>77</v>
      </c>
      <c r="H83" s="347" t="s">
        <v>1514</v>
      </c>
      <c r="I83" s="267">
        <v>5093</v>
      </c>
      <c r="J83" s="270" t="s">
        <v>390</v>
      </c>
      <c r="K83" s="270" t="s">
        <v>391</v>
      </c>
      <c r="L83" s="270" t="s">
        <v>241</v>
      </c>
      <c r="M83" s="252">
        <v>13343</v>
      </c>
      <c r="N83" s="271" t="s">
        <v>2095</v>
      </c>
      <c r="O83" s="270" t="s">
        <v>2094</v>
      </c>
      <c r="P83" s="372">
        <v>41777</v>
      </c>
      <c r="Q83" s="224"/>
    </row>
    <row r="84" spans="1:17">
      <c r="A84" s="224">
        <v>78</v>
      </c>
      <c r="B84" s="248">
        <v>6.6875000000000004E-2</v>
      </c>
      <c r="C84" s="231">
        <f t="shared" si="6"/>
        <v>96.300000000000011</v>
      </c>
      <c r="D84" s="231">
        <f t="shared" si="5"/>
        <v>79.970919420190526</v>
      </c>
      <c r="E84" s="246">
        <f>'10K'!$E84*(1-$K$2)+H.Marathon!$E84*$K$2</f>
        <v>0.59021454726558087</v>
      </c>
      <c r="F84" s="334">
        <f t="shared" si="4"/>
        <v>83.043530031350485</v>
      </c>
      <c r="G84" s="224">
        <v>78</v>
      </c>
      <c r="H84" s="347" t="s">
        <v>2096</v>
      </c>
      <c r="I84" s="267">
        <v>5778</v>
      </c>
      <c r="J84" s="270" t="s">
        <v>1313</v>
      </c>
      <c r="K84" s="270" t="s">
        <v>2097</v>
      </c>
      <c r="L84" s="270" t="s">
        <v>241</v>
      </c>
      <c r="M84" s="265">
        <v>14194</v>
      </c>
      <c r="N84" s="267" t="s">
        <v>1985</v>
      </c>
      <c r="O84" s="270" t="s">
        <v>2091</v>
      </c>
      <c r="P84" s="372">
        <v>42463</v>
      </c>
      <c r="Q84" s="224"/>
    </row>
    <row r="85" spans="1:17">
      <c r="A85" s="224">
        <v>79</v>
      </c>
      <c r="B85" s="248">
        <v>6.3032407407407412E-2</v>
      </c>
      <c r="C85" s="231">
        <f t="shared" si="6"/>
        <v>90.76666666666668</v>
      </c>
      <c r="D85" s="231">
        <f t="shared" si="5"/>
        <v>81.736073975187921</v>
      </c>
      <c r="E85" s="246">
        <f>'10K'!$E85*(1-$K$2)+H.Marathon!$E85*$K$2</f>
        <v>0.57746840170385716</v>
      </c>
      <c r="F85" s="334">
        <f t="shared" si="4"/>
        <v>90.050760898113751</v>
      </c>
      <c r="G85" s="224">
        <v>79</v>
      </c>
      <c r="H85" s="347" t="s">
        <v>2098</v>
      </c>
      <c r="I85" s="267">
        <v>5446</v>
      </c>
      <c r="J85" s="224" t="s">
        <v>662</v>
      </c>
      <c r="K85" s="224" t="s">
        <v>663</v>
      </c>
      <c r="L85" s="270" t="s">
        <v>241</v>
      </c>
      <c r="M85" s="265">
        <v>6357</v>
      </c>
      <c r="N85" s="267"/>
      <c r="O85" s="270"/>
      <c r="P85" s="372">
        <v>34987</v>
      </c>
      <c r="Q85" s="224"/>
    </row>
    <row r="86" spans="1:17">
      <c r="A86" s="224">
        <v>80</v>
      </c>
      <c r="B86" s="248">
        <v>6.627314814814815E-2</v>
      </c>
      <c r="C86" s="231">
        <f t="shared" si="6"/>
        <v>95.433333333333337</v>
      </c>
      <c r="D86" s="231">
        <f t="shared" si="5"/>
        <v>83.715631556990459</v>
      </c>
      <c r="E86" s="246">
        <f>'10K'!$E86*(1-$K$2)+H.Marathon!$E86*$K$2</f>
        <v>0.56381346138287225</v>
      </c>
      <c r="F86" s="334">
        <f t="shared" si="4"/>
        <v>87.721583887869841</v>
      </c>
      <c r="G86" s="224">
        <v>80</v>
      </c>
      <c r="H86" s="347" t="s">
        <v>2099</v>
      </c>
      <c r="I86" s="267">
        <v>5726</v>
      </c>
      <c r="J86" s="224" t="s">
        <v>662</v>
      </c>
      <c r="K86" s="224" t="s">
        <v>663</v>
      </c>
      <c r="L86" s="270" t="s">
        <v>241</v>
      </c>
      <c r="M86" s="265">
        <v>6357</v>
      </c>
      <c r="N86" s="267" t="s">
        <v>1985</v>
      </c>
      <c r="O86" s="270" t="s">
        <v>509</v>
      </c>
      <c r="P86" s="372">
        <v>35533</v>
      </c>
      <c r="Q86" s="224"/>
    </row>
    <row r="87" spans="1:17">
      <c r="A87" s="224">
        <v>81</v>
      </c>
      <c r="B87" s="248">
        <v>8.0150462962962965E-2</v>
      </c>
      <c r="C87" s="231"/>
      <c r="D87" s="231">
        <f t="shared" si="5"/>
        <v>85.934033228556473</v>
      </c>
      <c r="E87" s="246">
        <f>'10K'!$E87*(1-$K$2)+H.Marathon!$E87*$K$2</f>
        <v>0.54925852106188722</v>
      </c>
      <c r="F87" s="334"/>
      <c r="G87" s="224">
        <v>81</v>
      </c>
      <c r="H87" s="347" t="s">
        <v>2100</v>
      </c>
      <c r="I87" s="267">
        <v>6925</v>
      </c>
      <c r="J87" s="270" t="s">
        <v>2101</v>
      </c>
      <c r="K87" s="270" t="s">
        <v>2102</v>
      </c>
      <c r="L87" s="270" t="s">
        <v>522</v>
      </c>
      <c r="M87" s="265">
        <v>9288</v>
      </c>
      <c r="N87" s="267"/>
      <c r="O87" s="270" t="s">
        <v>278</v>
      </c>
      <c r="P87" s="372">
        <v>38493</v>
      </c>
      <c r="Q87" s="224"/>
    </row>
    <row r="88" spans="1:17">
      <c r="A88" s="224">
        <v>82</v>
      </c>
      <c r="B88" s="248">
        <v>6.3472222222222222E-2</v>
      </c>
      <c r="C88" s="231"/>
      <c r="D88" s="231">
        <f t="shared" si="5"/>
        <v>88.412937394190934</v>
      </c>
      <c r="E88" s="246">
        <f>'10K'!$E88*(1-$K$2)+H.Marathon!$E88*$K$2</f>
        <v>0.53385852106188725</v>
      </c>
      <c r="F88" s="334"/>
      <c r="G88" s="224">
        <v>82</v>
      </c>
      <c r="H88" s="347" t="s">
        <v>2103</v>
      </c>
      <c r="I88" s="267">
        <v>5484</v>
      </c>
      <c r="J88" s="224" t="s">
        <v>662</v>
      </c>
      <c r="K88" s="224" t="s">
        <v>663</v>
      </c>
      <c r="L88" s="270" t="s">
        <v>241</v>
      </c>
      <c r="M88" s="265">
        <v>6357</v>
      </c>
      <c r="N88" s="267" t="s">
        <v>1985</v>
      </c>
      <c r="O88" s="270" t="s">
        <v>509</v>
      </c>
      <c r="P88" s="372">
        <v>35890</v>
      </c>
      <c r="Q88" s="224"/>
    </row>
    <row r="89" spans="1:17">
      <c r="A89" s="224">
        <v>83</v>
      </c>
      <c r="B89" s="248">
        <v>6.7500000000000004E-2</v>
      </c>
      <c r="C89" s="231"/>
      <c r="D89" s="231">
        <f t="shared" si="5"/>
        <v>91.192576307036532</v>
      </c>
      <c r="E89" s="246">
        <f>'10K'!$E89*(1-$K$2)+H.Marathon!$E89*$K$2</f>
        <v>0.51758599122237969</v>
      </c>
      <c r="F89" s="334"/>
      <c r="G89" s="224">
        <v>83</v>
      </c>
      <c r="H89" s="347" t="s">
        <v>2104</v>
      </c>
      <c r="I89" s="267">
        <v>5832</v>
      </c>
      <c r="J89" s="224" t="s">
        <v>662</v>
      </c>
      <c r="K89" s="224" t="s">
        <v>663</v>
      </c>
      <c r="L89" s="270" t="s">
        <v>241</v>
      </c>
      <c r="M89" s="265">
        <v>6357</v>
      </c>
      <c r="N89" s="267" t="s">
        <v>1985</v>
      </c>
      <c r="O89" s="270" t="s">
        <v>509</v>
      </c>
      <c r="P89" s="375">
        <v>36261</v>
      </c>
      <c r="Q89" s="224"/>
    </row>
    <row r="90" spans="1:17">
      <c r="A90" s="224">
        <v>84</v>
      </c>
      <c r="B90" s="248">
        <v>8.5023148148148153E-2</v>
      </c>
      <c r="C90" s="231"/>
      <c r="D90" s="231">
        <f t="shared" si="5"/>
        <v>94.323660725375277</v>
      </c>
      <c r="E90" s="246">
        <f>'10K'!$E90*(1-$K$2)+H.Marathon!$E90*$K$2</f>
        <v>0.50040466662361094</v>
      </c>
      <c r="F90" s="334"/>
      <c r="G90" s="224">
        <v>84</v>
      </c>
      <c r="H90" s="347" t="s">
        <v>2105</v>
      </c>
      <c r="I90" s="267">
        <v>7346</v>
      </c>
      <c r="J90" s="224" t="s">
        <v>402</v>
      </c>
      <c r="K90" s="224" t="s">
        <v>2106</v>
      </c>
      <c r="L90" s="270" t="s">
        <v>241</v>
      </c>
      <c r="M90" s="265">
        <v>3552</v>
      </c>
      <c r="N90" s="267" t="s">
        <v>2107</v>
      </c>
      <c r="O90" s="270" t="s">
        <v>2108</v>
      </c>
      <c r="P90" s="375">
        <v>33749</v>
      </c>
      <c r="Q90" s="224"/>
    </row>
    <row r="91" spans="1:17">
      <c r="A91" s="224">
        <v>85</v>
      </c>
      <c r="B91" s="248">
        <v>7.9201388888888891E-2</v>
      </c>
      <c r="C91" s="231"/>
      <c r="D91" s="231">
        <f t="shared" si="5"/>
        <v>97.859663606263865</v>
      </c>
      <c r="E91" s="246">
        <f>'10K'!$E91*(1-$K$2)+H.Marathon!$E91*$K$2</f>
        <v>0.48232334202484212</v>
      </c>
      <c r="F91" s="334"/>
      <c r="G91" s="224">
        <v>85</v>
      </c>
      <c r="H91" s="347" t="s">
        <v>2109</v>
      </c>
      <c r="I91" s="267">
        <v>6843</v>
      </c>
      <c r="J91" s="224" t="s">
        <v>662</v>
      </c>
      <c r="K91" s="224" t="s">
        <v>663</v>
      </c>
      <c r="L91" s="270" t="s">
        <v>241</v>
      </c>
      <c r="M91" s="265">
        <v>6357</v>
      </c>
      <c r="N91" s="267" t="s">
        <v>1985</v>
      </c>
      <c r="O91" s="270" t="s">
        <v>509</v>
      </c>
      <c r="P91" s="375">
        <v>36989</v>
      </c>
      <c r="Q91" s="224"/>
    </row>
    <row r="92" spans="1:17">
      <c r="A92" s="224">
        <v>86</v>
      </c>
      <c r="B92" s="248">
        <v>6.7500000000000004E-2</v>
      </c>
      <c r="C92" s="231"/>
      <c r="D92" s="231">
        <f t="shared" si="5"/>
        <v>101.85651677446654</v>
      </c>
      <c r="E92" s="246">
        <f>'10K'!$E92*(1-$K$2)+H.Marathon!$E92*$K$2</f>
        <v>0.46339695774705825</v>
      </c>
      <c r="F92" s="334"/>
      <c r="G92" s="224">
        <v>86</v>
      </c>
      <c r="H92" s="347" t="s">
        <v>2104</v>
      </c>
      <c r="I92" s="267">
        <v>5832</v>
      </c>
      <c r="J92" s="224" t="s">
        <v>662</v>
      </c>
      <c r="K92" s="224" t="s">
        <v>663</v>
      </c>
      <c r="L92" s="270" t="s">
        <v>241</v>
      </c>
      <c r="M92" s="265">
        <v>6357</v>
      </c>
      <c r="N92" s="267" t="s">
        <v>1960</v>
      </c>
      <c r="O92" s="270" t="s">
        <v>1961</v>
      </c>
      <c r="P92" s="375">
        <v>37738</v>
      </c>
      <c r="Q92" s="224"/>
    </row>
    <row r="93" spans="1:17">
      <c r="A93" s="224">
        <v>87</v>
      </c>
      <c r="B93" s="248">
        <v>9.22337962962963E-2</v>
      </c>
      <c r="C93" s="231"/>
      <c r="D93" s="231">
        <f t="shared" si="5"/>
        <v>106.40263337002851</v>
      </c>
      <c r="E93" s="246">
        <f>'10K'!$E93*(1-$K$2)+H.Marathon!$E93*$K$2</f>
        <v>0.44359804362976696</v>
      </c>
      <c r="F93" s="334"/>
      <c r="G93" s="224">
        <v>87</v>
      </c>
      <c r="H93" s="347" t="s">
        <v>2110</v>
      </c>
      <c r="I93" s="267">
        <v>7969</v>
      </c>
      <c r="J93" s="224" t="s">
        <v>662</v>
      </c>
      <c r="K93" s="224" t="s">
        <v>663</v>
      </c>
      <c r="L93" s="270" t="s">
        <v>241</v>
      </c>
      <c r="M93" s="265">
        <v>6357</v>
      </c>
      <c r="N93" s="267" t="s">
        <v>1985</v>
      </c>
      <c r="O93" s="270" t="s">
        <v>509</v>
      </c>
      <c r="P93" s="375">
        <v>38081</v>
      </c>
      <c r="Q93" s="267"/>
    </row>
    <row r="94" spans="1:17">
      <c r="A94" s="224">
        <v>88</v>
      </c>
      <c r="B94" s="248">
        <v>8.1689814814814812E-2</v>
      </c>
      <c r="C94" s="231"/>
      <c r="D94" s="231">
        <f t="shared" si="5"/>
        <v>111.62011127522499</v>
      </c>
      <c r="E94" s="246">
        <f>'10K'!$E94*(1-$K$2)+H.Marathon!$E94*$K$2</f>
        <v>0.42286286459272182</v>
      </c>
      <c r="F94" s="334"/>
      <c r="G94" s="224">
        <v>88</v>
      </c>
      <c r="H94" s="347" t="s">
        <v>2111</v>
      </c>
      <c r="I94" s="267">
        <v>7058</v>
      </c>
      <c r="J94" s="270" t="s">
        <v>662</v>
      </c>
      <c r="K94" s="270" t="s">
        <v>2112</v>
      </c>
      <c r="L94" s="270" t="s">
        <v>241</v>
      </c>
      <c r="M94" s="265">
        <v>6357</v>
      </c>
      <c r="N94" s="267" t="s">
        <v>1985</v>
      </c>
      <c r="O94" s="270" t="s">
        <v>509</v>
      </c>
      <c r="P94" s="372">
        <v>38445</v>
      </c>
      <c r="Q94" s="267"/>
    </row>
    <row r="95" spans="1:17">
      <c r="A95" s="224">
        <v>89</v>
      </c>
      <c r="B95" s="248"/>
      <c r="C95" s="231"/>
      <c r="D95" s="231">
        <f t="shared" si="5"/>
        <v>117.62283477109077</v>
      </c>
      <c r="E95" s="246">
        <f>'10K'!$E95*(1-$K$2)+H.Marathon!$E95*$K$2</f>
        <v>0.40128262587666164</v>
      </c>
      <c r="F95" s="334"/>
      <c r="G95" s="224">
        <v>89</v>
      </c>
      <c r="H95" s="347"/>
      <c r="I95" s="267"/>
      <c r="J95" s="270"/>
      <c r="K95" s="270"/>
      <c r="L95" s="270"/>
      <c r="M95" s="265"/>
      <c r="N95" s="267"/>
      <c r="O95" s="270"/>
      <c r="P95" s="372"/>
      <c r="Q95" s="267"/>
    </row>
    <row r="96" spans="1:17">
      <c r="A96" s="224">
        <v>90</v>
      </c>
      <c r="B96" s="248"/>
      <c r="C96" s="231"/>
      <c r="D96" s="231">
        <f t="shared" si="5"/>
        <v>124.58226594880036</v>
      </c>
      <c r="E96" s="246">
        <f>'10K'!$E96*(1-$K$2)+H.Marathon!$E96*$K$2</f>
        <v>0.37886612224084776</v>
      </c>
      <c r="F96" s="334"/>
      <c r="G96" s="224">
        <v>90</v>
      </c>
      <c r="H96" s="347"/>
      <c r="I96" s="267"/>
      <c r="J96" s="270"/>
      <c r="K96" s="270"/>
      <c r="L96" s="270"/>
      <c r="M96" s="265"/>
      <c r="N96" s="267"/>
      <c r="O96" s="270"/>
      <c r="P96" s="372"/>
      <c r="Q96" s="267"/>
    </row>
    <row r="97" spans="1:17" ht="15.75">
      <c r="A97" s="224">
        <v>91</v>
      </c>
      <c r="B97" s="248">
        <v>0.14523148148148149</v>
      </c>
      <c r="C97" s="231"/>
      <c r="D97" s="231">
        <f t="shared" si="5"/>
        <v>132.77930277845067</v>
      </c>
      <c r="E97" s="246">
        <f>'10K'!$E97*(1-$K$2)+H.Marathon!$E97*$K$2</f>
        <v>0.35547708876552631</v>
      </c>
      <c r="F97" s="334"/>
      <c r="G97" s="224">
        <v>91</v>
      </c>
      <c r="H97" s="347" t="s">
        <v>2113</v>
      </c>
      <c r="I97" s="251">
        <v>13148</v>
      </c>
      <c r="J97" s="224" t="s">
        <v>665</v>
      </c>
      <c r="K97" s="224" t="s">
        <v>666</v>
      </c>
      <c r="L97" s="270" t="s">
        <v>241</v>
      </c>
      <c r="M97" s="252">
        <v>535</v>
      </c>
      <c r="N97" s="267" t="s">
        <v>1985</v>
      </c>
      <c r="O97" s="270" t="s">
        <v>509</v>
      </c>
      <c r="P97" s="386">
        <v>33699</v>
      </c>
      <c r="Q97" s="251"/>
    </row>
    <row r="98" spans="1:17">
      <c r="A98" s="224">
        <v>92</v>
      </c>
      <c r="B98" s="248"/>
      <c r="C98" s="231"/>
      <c r="D98" s="231">
        <f t="shared" si="5"/>
        <v>142.47798043364449</v>
      </c>
      <c r="E98" s="246">
        <f>'10K'!$E98*(1-$K$2)+H.Marathon!$E98*$K$2</f>
        <v>0.33127926053094364</v>
      </c>
      <c r="F98" s="334"/>
      <c r="G98" s="224">
        <v>92</v>
      </c>
      <c r="H98" s="280"/>
      <c r="I98" s="224"/>
      <c r="J98" s="224"/>
      <c r="K98" s="224"/>
      <c r="L98" s="224"/>
      <c r="M98" s="224"/>
      <c r="N98" s="224"/>
      <c r="O98" s="224"/>
      <c r="P98" s="373"/>
      <c r="Q98" s="224"/>
    </row>
    <row r="99" spans="1:17">
      <c r="A99" s="224">
        <v>93</v>
      </c>
      <c r="B99" s="248"/>
      <c r="C99" s="231"/>
      <c r="D99" s="231">
        <f t="shared" si="5"/>
        <v>154.14313438078685</v>
      </c>
      <c r="E99" s="246">
        <f>'10K'!$E99*(1-$K$2)+H.Marathon!$E99*$K$2</f>
        <v>0.30620890245685339</v>
      </c>
      <c r="F99" s="334"/>
      <c r="G99" s="224">
        <v>93</v>
      </c>
      <c r="H99" s="280"/>
      <c r="I99" s="224"/>
      <c r="J99" s="224"/>
      <c r="K99" s="224"/>
      <c r="L99" s="224"/>
      <c r="M99" s="224"/>
      <c r="N99" s="224"/>
      <c r="O99" s="224"/>
      <c r="P99" s="373"/>
      <c r="Q99" s="224"/>
    </row>
    <row r="100" spans="1:17">
      <c r="A100" s="224">
        <v>94</v>
      </c>
      <c r="B100" s="248"/>
      <c r="C100" s="231"/>
      <c r="D100" s="231">
        <f t="shared" si="5"/>
        <v>168.41142896658721</v>
      </c>
      <c r="E100" s="246">
        <f>'10K'!$E100*(1-$K$2)+H.Marathon!$E100*$K$2</f>
        <v>0.28026601454325567</v>
      </c>
      <c r="F100" s="334"/>
      <c r="G100" s="224">
        <v>94</v>
      </c>
      <c r="H100" s="280"/>
      <c r="I100" s="224"/>
      <c r="J100" s="224"/>
      <c r="K100" s="224"/>
      <c r="L100" s="224"/>
      <c r="M100" s="224"/>
      <c r="N100" s="224"/>
      <c r="O100" s="224"/>
      <c r="P100" s="373"/>
      <c r="Q100" s="224"/>
    </row>
    <row r="101" spans="1:17">
      <c r="A101" s="224">
        <v>95</v>
      </c>
      <c r="B101" s="248"/>
      <c r="C101" s="231"/>
      <c r="D101" s="231">
        <f t="shared" si="5"/>
        <v>186.30309380757305</v>
      </c>
      <c r="E101" s="246">
        <f>'10K'!$E101*(1-$K$2)+H.Marathon!$E101*$K$2</f>
        <v>0.25335059679015037</v>
      </c>
      <c r="F101" s="334"/>
      <c r="G101" s="224">
        <v>95</v>
      </c>
      <c r="H101" s="280"/>
      <c r="I101" s="224"/>
      <c r="J101" s="224"/>
      <c r="K101" s="224"/>
      <c r="L101" s="224"/>
      <c r="M101" s="224"/>
      <c r="N101" s="224"/>
      <c r="O101" s="224"/>
      <c r="P101" s="224"/>
      <c r="Q101" s="224"/>
    </row>
    <row r="102" spans="1:17">
      <c r="A102" s="224">
        <v>96</v>
      </c>
      <c r="B102" s="224"/>
      <c r="C102" s="231"/>
      <c r="D102" s="231">
        <f t="shared" si="5"/>
        <v>209.19539242311706</v>
      </c>
      <c r="E102" s="246">
        <f>'10K'!$E102*(1-$K$2)+H.Marathon!$E102*$K$2</f>
        <v>0.22562638427778386</v>
      </c>
      <c r="F102" s="334"/>
      <c r="G102" s="224">
        <v>96</v>
      </c>
      <c r="H102" s="280"/>
      <c r="I102" s="224"/>
      <c r="J102" s="224"/>
      <c r="K102" s="224"/>
      <c r="L102" s="224"/>
      <c r="M102" s="224"/>
      <c r="N102" s="224"/>
      <c r="O102" s="224"/>
      <c r="P102" s="224"/>
      <c r="Q102" s="224"/>
    </row>
    <row r="103" spans="1:17">
      <c r="A103" s="224">
        <v>97</v>
      </c>
      <c r="B103" s="224" t="s">
        <v>81</v>
      </c>
      <c r="C103" s="231"/>
      <c r="D103" s="231">
        <f t="shared" si="5"/>
        <v>239.55786316532465</v>
      </c>
      <c r="E103" s="246">
        <f>'10K'!$E103*(1-$K$2)+H.Marathon!$E103*$K$2</f>
        <v>0.19702964192590977</v>
      </c>
      <c r="F103" s="334"/>
      <c r="G103" s="224">
        <v>97</v>
      </c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</row>
    <row r="104" spans="1:17">
      <c r="A104" s="224">
        <v>98</v>
      </c>
      <c r="B104" s="224" t="s">
        <v>81</v>
      </c>
      <c r="C104" s="231"/>
      <c r="D104" s="231">
        <f t="shared" si="5"/>
        <v>281.79670652740106</v>
      </c>
      <c r="E104" s="246">
        <f>'10K'!$E104*(1-$K$2)+H.Marathon!$E104*$K$2</f>
        <v>0.16749663465428194</v>
      </c>
      <c r="F104" s="224"/>
      <c r="G104" s="224">
        <v>98</v>
      </c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</row>
    <row r="105" spans="1:17">
      <c r="A105" s="224">
        <v>99</v>
      </c>
      <c r="B105" s="224" t="s">
        <v>81</v>
      </c>
      <c r="C105" s="231"/>
      <c r="D105" s="231">
        <f t="shared" si="5"/>
        <v>344.13661624016061</v>
      </c>
      <c r="E105" s="246">
        <f>'10K'!$E105*(1-$K$2)+H.Marathon!$E105*$K$2</f>
        <v>0.13715483262339284</v>
      </c>
      <c r="F105" s="224"/>
      <c r="G105" s="224">
        <v>99</v>
      </c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</row>
    <row r="106" spans="1:17">
      <c r="A106" s="224">
        <v>100</v>
      </c>
      <c r="B106" s="224"/>
      <c r="C106" s="224"/>
      <c r="D106" s="231">
        <f t="shared" si="5"/>
        <v>445.68566713725642</v>
      </c>
      <c r="E106" s="246">
        <f>'10K'!$E106*(1-$K$2)+H.Marathon!$E106*$K$2</f>
        <v>0.10590423583324246</v>
      </c>
      <c r="F106" s="224"/>
      <c r="G106" s="224">
        <v>100</v>
      </c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20" t="s">
        <v>87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J1" s="224"/>
      <c r="K1" s="224" t="s">
        <v>2119</v>
      </c>
      <c r="L1" s="224"/>
      <c r="M1" s="224"/>
      <c r="N1" s="224"/>
      <c r="O1" s="224"/>
      <c r="P1" s="224"/>
      <c r="Q1" s="224"/>
    </row>
    <row r="2" spans="1:35" ht="15.95" customHeight="1">
      <c r="A2" s="220"/>
      <c r="B2" s="221"/>
      <c r="C2" s="222"/>
      <c r="D2" s="223"/>
      <c r="E2" s="223"/>
      <c r="F2" s="387">
        <f>(+H$3-H$4)*F$4/2</f>
        <v>4.725E-2</v>
      </c>
      <c r="G2" s="388">
        <f>(+I$4-I$3)*G$4/2</f>
        <v>0.17219999999999999</v>
      </c>
      <c r="H2" s="225"/>
      <c r="I2" s="225"/>
      <c r="J2" s="224"/>
      <c r="K2" s="229">
        <f>Parameters!Z22</f>
        <v>0.92844299215419079</v>
      </c>
      <c r="L2" s="224"/>
      <c r="M2" s="224"/>
      <c r="N2" s="224"/>
      <c r="O2" s="224"/>
      <c r="P2" s="224"/>
      <c r="Q2" s="224"/>
    </row>
    <row r="3" spans="1:35" ht="15.95" customHeight="1">
      <c r="A3" s="220"/>
      <c r="B3" s="221"/>
      <c r="C3" s="222"/>
      <c r="D3" s="223"/>
      <c r="E3" s="223"/>
      <c r="F3" s="387">
        <f>F4/(2*(+H3-H4))</f>
        <v>1.89E-3</v>
      </c>
      <c r="G3" s="388">
        <f>G4/(2*(+I4-I3))</f>
        <v>1.6006097560975613E-4</v>
      </c>
      <c r="H3" s="226">
        <v>22</v>
      </c>
      <c r="I3" s="227">
        <v>24</v>
      </c>
      <c r="J3" s="224"/>
      <c r="K3" s="224"/>
      <c r="L3" s="224"/>
      <c r="M3" s="224"/>
      <c r="N3" s="224"/>
      <c r="O3" s="224"/>
      <c r="P3" s="224"/>
      <c r="Q3" s="224"/>
    </row>
    <row r="4" spans="1:35" ht="15.75">
      <c r="A4" s="221"/>
      <c r="B4" s="221"/>
      <c r="C4" s="221"/>
      <c r="D4" s="228">
        <f>Parameters!G22</f>
        <v>4.1319444444444443E-2</v>
      </c>
      <c r="E4" s="229">
        <f>D4*1440</f>
        <v>59.5</v>
      </c>
      <c r="F4" s="230">
        <v>1.89E-2</v>
      </c>
      <c r="G4" s="219">
        <v>1.0500000000000001E-2</v>
      </c>
      <c r="H4" s="226">
        <v>17</v>
      </c>
      <c r="I4" s="227">
        <v>56.8</v>
      </c>
      <c r="J4" s="224"/>
      <c r="K4" s="224"/>
      <c r="L4" s="224"/>
      <c r="M4" s="224"/>
      <c r="N4" s="224"/>
      <c r="O4" s="224"/>
      <c r="P4" s="224"/>
      <c r="Q4" s="224"/>
    </row>
    <row r="5" spans="1:35" ht="15.75">
      <c r="A5" s="221"/>
      <c r="B5" s="221"/>
      <c r="C5" s="221"/>
      <c r="D5" s="228"/>
      <c r="E5" s="221">
        <f>E4*60</f>
        <v>3570</v>
      </c>
      <c r="F5" s="230">
        <v>9.1E-4</v>
      </c>
      <c r="G5" s="219">
        <v>5.1000000000000004E-4</v>
      </c>
      <c r="H5" s="226">
        <v>15</v>
      </c>
      <c r="I5" s="227">
        <v>76.7</v>
      </c>
      <c r="J5" s="224"/>
      <c r="K5" s="224">
        <v>62.1</v>
      </c>
      <c r="L5" s="224"/>
      <c r="M5" s="224"/>
      <c r="N5" s="224"/>
      <c r="O5" s="224"/>
      <c r="P5" s="224"/>
      <c r="Q5" s="224"/>
    </row>
    <row r="6" spans="1:35" ht="63">
      <c r="A6" s="232" t="s">
        <v>70</v>
      </c>
      <c r="B6" s="232" t="s">
        <v>2115</v>
      </c>
      <c r="C6" s="232" t="s">
        <v>2115</v>
      </c>
      <c r="D6" s="232" t="s">
        <v>2116</v>
      </c>
      <c r="E6" s="232" t="s">
        <v>2117</v>
      </c>
      <c r="F6" s="222" t="s">
        <v>148</v>
      </c>
      <c r="G6" s="232" t="s">
        <v>70</v>
      </c>
      <c r="H6" s="353" t="s">
        <v>735</v>
      </c>
      <c r="I6" s="354" t="s">
        <v>1184</v>
      </c>
      <c r="J6" s="355" t="s">
        <v>428</v>
      </c>
      <c r="K6" s="355" t="s">
        <v>429</v>
      </c>
      <c r="L6" s="356" t="s">
        <v>430</v>
      </c>
      <c r="M6" s="357" t="s">
        <v>431</v>
      </c>
      <c r="N6" s="358" t="s">
        <v>432</v>
      </c>
      <c r="O6" s="356" t="s">
        <v>433</v>
      </c>
      <c r="P6" s="357" t="s">
        <v>434</v>
      </c>
      <c r="Q6" s="359" t="s">
        <v>1180</v>
      </c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</row>
    <row r="7" spans="1:35">
      <c r="A7" s="224">
        <v>1</v>
      </c>
      <c r="B7" s="360"/>
      <c r="C7" s="224"/>
      <c r="D7" s="224"/>
      <c r="E7" s="224"/>
      <c r="F7" s="224"/>
      <c r="G7" s="224">
        <v>1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</row>
    <row r="8" spans="1:35">
      <c r="A8" s="224">
        <v>2</v>
      </c>
      <c r="B8" s="360"/>
      <c r="C8" s="224"/>
      <c r="D8" s="224"/>
      <c r="E8" s="224"/>
      <c r="F8" s="224"/>
      <c r="G8" s="224">
        <v>2</v>
      </c>
      <c r="H8" s="224"/>
      <c r="I8" s="224"/>
      <c r="J8" s="224"/>
      <c r="K8" s="224"/>
      <c r="L8" s="224"/>
      <c r="M8" s="224"/>
      <c r="N8" s="224"/>
      <c r="O8" s="224"/>
      <c r="P8" s="224"/>
      <c r="Q8" s="224"/>
    </row>
    <row r="9" spans="1:35">
      <c r="A9" s="224">
        <v>3</v>
      </c>
      <c r="B9" s="360"/>
      <c r="C9" s="231"/>
      <c r="D9" s="231"/>
      <c r="E9" s="246">
        <f>'10K'!$E9*(1-$K$2)+H.Marathon!$E9*$K$2</f>
        <v>0.48022492024963304</v>
      </c>
      <c r="F9" s="224"/>
      <c r="G9" s="224">
        <v>3</v>
      </c>
      <c r="H9" s="224"/>
      <c r="I9" s="224"/>
      <c r="J9" s="224"/>
      <c r="K9" s="224"/>
      <c r="L9" s="224"/>
      <c r="M9" s="224"/>
      <c r="N9" s="224"/>
      <c r="O9" s="224"/>
      <c r="P9" s="224"/>
      <c r="Q9" s="333"/>
    </row>
    <row r="10" spans="1:35">
      <c r="A10" s="224">
        <v>4</v>
      </c>
      <c r="B10" s="361"/>
      <c r="C10" s="231"/>
      <c r="D10" s="231"/>
      <c r="E10" s="246">
        <f>'10K'!$E10*(1-$K$2)+H.Marathon!$E10*$K$2</f>
        <v>0.52550273390334268</v>
      </c>
      <c r="F10" s="334"/>
      <c r="G10" s="224">
        <v>4</v>
      </c>
      <c r="H10" s="335"/>
      <c r="I10" s="224"/>
      <c r="J10" s="224"/>
      <c r="K10" s="224"/>
      <c r="L10" s="224"/>
      <c r="M10" s="224"/>
      <c r="N10" s="224"/>
      <c r="O10" s="224"/>
      <c r="P10" s="224"/>
      <c r="Q10" s="333"/>
    </row>
    <row r="11" spans="1:35">
      <c r="A11" s="224">
        <v>5</v>
      </c>
      <c r="B11" s="361"/>
      <c r="C11" s="231"/>
      <c r="D11" s="231">
        <f t="shared" ref="D11:D42" si="0">E$4/E11</f>
        <v>104.62289532330875</v>
      </c>
      <c r="E11" s="246">
        <f>'10K'!$E11*(1-$K$2)+H.Marathon!$E11*$K$2</f>
        <v>0.56870917036019075</v>
      </c>
      <c r="F11" s="334"/>
      <c r="G11" s="224">
        <v>5</v>
      </c>
      <c r="H11" s="335"/>
      <c r="I11" s="224"/>
      <c r="J11" s="224"/>
      <c r="K11" s="224"/>
      <c r="L11" s="224"/>
      <c r="M11" s="224"/>
      <c r="N11" s="224"/>
      <c r="O11" s="224"/>
      <c r="P11" s="224"/>
      <c r="Q11" s="333"/>
    </row>
    <row r="12" spans="1:35">
      <c r="A12" s="224">
        <v>6</v>
      </c>
      <c r="B12" s="361"/>
      <c r="C12" s="231"/>
      <c r="D12" s="231">
        <f t="shared" si="0"/>
        <v>97.554480218193007</v>
      </c>
      <c r="E12" s="246">
        <f>'10K'!$E12*(1-$K$2)+H.Marathon!$E12*$K$2</f>
        <v>0.60991560681703882</v>
      </c>
      <c r="F12" s="334"/>
      <c r="G12" s="224">
        <v>6</v>
      </c>
      <c r="H12" s="335"/>
      <c r="I12" s="224"/>
      <c r="J12" s="224"/>
      <c r="K12" s="224"/>
      <c r="L12" s="224"/>
      <c r="M12" s="224"/>
      <c r="N12" s="224"/>
      <c r="O12" s="224"/>
      <c r="P12" s="224"/>
      <c r="Q12" s="333"/>
    </row>
    <row r="13" spans="1:35">
      <c r="A13" s="224">
        <v>7</v>
      </c>
      <c r="B13" s="362">
        <v>7.9178240740740743E-2</v>
      </c>
      <c r="C13" s="231">
        <f>B13*1440</f>
        <v>114.01666666666667</v>
      </c>
      <c r="D13" s="231">
        <f t="shared" si="0"/>
        <v>91.659238749092736</v>
      </c>
      <c r="E13" s="246">
        <f>'10K'!$E13*(1-$K$2)+H.Marathon!$E13*$K$2</f>
        <v>0.64914351037624063</v>
      </c>
      <c r="F13" s="334">
        <f t="shared" ref="F13:F44" si="1">100*(D13/C13)</f>
        <v>80.39108792494612</v>
      </c>
      <c r="G13" s="224">
        <v>7</v>
      </c>
      <c r="H13" s="347" t="s">
        <v>1318</v>
      </c>
      <c r="I13" s="354">
        <v>6841</v>
      </c>
      <c r="J13" s="355" t="s">
        <v>1181</v>
      </c>
      <c r="K13" s="355" t="s">
        <v>1182</v>
      </c>
      <c r="L13" s="355" t="s">
        <v>241</v>
      </c>
      <c r="M13" s="357">
        <v>39841</v>
      </c>
      <c r="N13" s="359"/>
      <c r="O13" s="355" t="s">
        <v>1319</v>
      </c>
      <c r="P13" s="357">
        <v>42749</v>
      </c>
      <c r="Q13" s="359"/>
    </row>
    <row r="14" spans="1:35">
      <c r="A14" s="224">
        <v>8</v>
      </c>
      <c r="B14" s="362"/>
      <c r="C14" s="231"/>
      <c r="D14" s="231">
        <f t="shared" si="0"/>
        <v>86.697679145418903</v>
      </c>
      <c r="E14" s="246">
        <f>'10K'!$E14*(1-$K$2)+H.Marathon!$E14*$K$2</f>
        <v>0.68629288103779618</v>
      </c>
      <c r="F14" s="334"/>
      <c r="G14" s="224">
        <v>8</v>
      </c>
      <c r="H14" s="363"/>
      <c r="I14" s="224"/>
      <c r="J14" s="224"/>
      <c r="K14" s="224"/>
      <c r="L14" s="224"/>
      <c r="M14" s="224"/>
      <c r="N14" s="224"/>
      <c r="O14" s="224"/>
      <c r="P14" s="224"/>
      <c r="Q14" s="333"/>
    </row>
    <row r="15" spans="1:35">
      <c r="A15" s="224">
        <v>9</v>
      </c>
      <c r="B15" s="362"/>
      <c r="C15" s="231"/>
      <c r="D15" s="231">
        <f t="shared" si="0"/>
        <v>82.472865580995077</v>
      </c>
      <c r="E15" s="246">
        <f>'10K'!$E15*(1-$K$2)+H.Marathon!$E15*$K$2</f>
        <v>0.7214494074001363</v>
      </c>
      <c r="F15" s="334"/>
      <c r="G15" s="224">
        <v>9</v>
      </c>
      <c r="H15" s="363"/>
      <c r="I15" s="224"/>
      <c r="J15" s="224"/>
      <c r="K15" s="224"/>
      <c r="L15" s="224"/>
      <c r="M15" s="224"/>
      <c r="N15" s="224"/>
      <c r="O15" s="224"/>
      <c r="P15" s="224"/>
      <c r="Q15" s="333"/>
    </row>
    <row r="16" spans="1:35">
      <c r="A16" s="224">
        <v>10</v>
      </c>
      <c r="B16" s="362"/>
      <c r="C16" s="231"/>
      <c r="D16" s="231">
        <f t="shared" si="0"/>
        <v>78.847606304367574</v>
      </c>
      <c r="E16" s="246">
        <f>'10K'!$E16*(1-$K$2)+H.Marathon!$E16*$K$2</f>
        <v>0.75462024516404558</v>
      </c>
      <c r="F16" s="334"/>
      <c r="G16" s="224">
        <v>10</v>
      </c>
      <c r="H16" s="363"/>
      <c r="I16" s="224"/>
      <c r="J16" s="224"/>
      <c r="K16" s="224"/>
      <c r="L16" s="224"/>
      <c r="M16" s="224"/>
      <c r="N16" s="224"/>
      <c r="O16" s="224"/>
      <c r="P16" s="224"/>
      <c r="Q16" s="333"/>
    </row>
    <row r="17" spans="1:17">
      <c r="A17" s="224">
        <v>11</v>
      </c>
      <c r="B17" s="362"/>
      <c r="C17" s="231"/>
      <c r="D17" s="231">
        <f t="shared" si="0"/>
        <v>75.727440013150883</v>
      </c>
      <c r="E17" s="246">
        <f>'10K'!$E17*(1-$K$2)+H.Marathon!$E17*$K$2</f>
        <v>0.78571255003030849</v>
      </c>
      <c r="F17" s="334"/>
      <c r="G17" s="224">
        <v>11</v>
      </c>
      <c r="H17" s="363"/>
      <c r="I17" s="224"/>
      <c r="J17" s="224"/>
      <c r="K17" s="224"/>
      <c r="L17" s="224"/>
      <c r="M17" s="224"/>
      <c r="N17" s="224"/>
      <c r="O17" s="224"/>
      <c r="P17" s="224"/>
      <c r="Q17" s="333"/>
    </row>
    <row r="18" spans="1:17">
      <c r="A18" s="224">
        <v>12</v>
      </c>
      <c r="B18" s="362"/>
      <c r="C18" s="231"/>
      <c r="D18" s="231">
        <f t="shared" si="0"/>
        <v>73.022337300088822</v>
      </c>
      <c r="E18" s="246">
        <f>'10K'!$E18*(1-$K$2)+H.Marathon!$E18*$K$2</f>
        <v>0.81481916629814077</v>
      </c>
      <c r="F18" s="334"/>
      <c r="G18" s="224">
        <v>12</v>
      </c>
      <c r="H18" s="363"/>
      <c r="I18" s="224"/>
      <c r="J18" s="224"/>
      <c r="K18" s="224"/>
      <c r="L18" s="224"/>
      <c r="M18" s="224"/>
      <c r="N18" s="224"/>
      <c r="O18" s="224"/>
      <c r="P18" s="224"/>
      <c r="Q18" s="333"/>
    </row>
    <row r="19" spans="1:17">
      <c r="A19" s="224">
        <v>13</v>
      </c>
      <c r="B19" s="362">
        <v>5.8703703703703702E-2</v>
      </c>
      <c r="C19" s="231">
        <f t="shared" ref="C19:C77" si="2">B19*1440</f>
        <v>84.533333333333331</v>
      </c>
      <c r="D19" s="231">
        <f t="shared" si="0"/>
        <v>70.678505842576413</v>
      </c>
      <c r="E19" s="246">
        <f>'10K'!$E19*(1-$K$2)+H.Marathon!$E19*$K$2</f>
        <v>0.84184009396754211</v>
      </c>
      <c r="F19" s="334">
        <f t="shared" si="1"/>
        <v>83.610219845319094</v>
      </c>
      <c r="G19" s="224">
        <v>13</v>
      </c>
      <c r="H19" s="347" t="s">
        <v>1320</v>
      </c>
      <c r="I19" s="267">
        <v>5072</v>
      </c>
      <c r="J19" s="262" t="s">
        <v>1321</v>
      </c>
      <c r="K19" s="262" t="s">
        <v>1322</v>
      </c>
      <c r="L19" s="262" t="s">
        <v>241</v>
      </c>
      <c r="M19" s="271">
        <v>24858</v>
      </c>
      <c r="N19" s="263"/>
      <c r="O19" s="262" t="s">
        <v>1323</v>
      </c>
      <c r="P19" s="271">
        <v>29940</v>
      </c>
      <c r="Q19" s="263"/>
    </row>
    <row r="20" spans="1:17">
      <c r="A20" s="224">
        <v>14</v>
      </c>
      <c r="B20" s="362">
        <v>6.3310185185185192E-2</v>
      </c>
      <c r="C20" s="231">
        <f t="shared" si="2"/>
        <v>91.166666666666671</v>
      </c>
      <c r="D20" s="231">
        <f t="shared" si="0"/>
        <v>68.63732042235489</v>
      </c>
      <c r="E20" s="246">
        <f>'10K'!$E20*(1-$K$2)+H.Marathon!$E20*$K$2</f>
        <v>0.86687533303851261</v>
      </c>
      <c r="F20" s="334">
        <f t="shared" si="1"/>
        <v>75.287737209164405</v>
      </c>
      <c r="G20" s="224">
        <v>14</v>
      </c>
      <c r="H20" s="347" t="s">
        <v>1324</v>
      </c>
      <c r="I20" s="267">
        <v>5470</v>
      </c>
      <c r="J20" s="262" t="s">
        <v>306</v>
      </c>
      <c r="K20" s="262" t="s">
        <v>1325</v>
      </c>
      <c r="L20" s="262" t="s">
        <v>241</v>
      </c>
      <c r="M20" s="271">
        <v>23260</v>
      </c>
      <c r="N20" s="263"/>
      <c r="O20" s="262" t="s">
        <v>1326</v>
      </c>
      <c r="P20" s="271">
        <v>28687</v>
      </c>
      <c r="Q20" s="263"/>
    </row>
    <row r="21" spans="1:17">
      <c r="A21" s="224">
        <v>15</v>
      </c>
      <c r="B21" s="362">
        <v>6.0763888888888888E-2</v>
      </c>
      <c r="C21" s="231">
        <f t="shared" si="2"/>
        <v>87.5</v>
      </c>
      <c r="D21" s="231">
        <f t="shared" si="0"/>
        <v>66.866013927204747</v>
      </c>
      <c r="E21" s="246">
        <f>'10K'!$E21*(1-$K$2)+H.Marathon!$E21*$K$2</f>
        <v>0.88983919491262142</v>
      </c>
      <c r="F21" s="334">
        <f t="shared" si="1"/>
        <v>76.41830163109114</v>
      </c>
      <c r="G21" s="224">
        <v>15</v>
      </c>
      <c r="H21" s="347" t="s">
        <v>1327</v>
      </c>
      <c r="I21" s="267">
        <v>5250</v>
      </c>
      <c r="J21" s="262" t="s">
        <v>1328</v>
      </c>
      <c r="K21" s="262" t="s">
        <v>1329</v>
      </c>
      <c r="L21" s="262" t="s">
        <v>241</v>
      </c>
      <c r="M21" s="271">
        <v>22980</v>
      </c>
      <c r="N21" s="263" t="s">
        <v>1330</v>
      </c>
      <c r="O21" s="262" t="s">
        <v>1331</v>
      </c>
      <c r="P21" s="271">
        <v>28658</v>
      </c>
      <c r="Q21" s="263"/>
    </row>
    <row r="22" spans="1:17">
      <c r="A22" s="224">
        <v>16</v>
      </c>
      <c r="B22" s="362">
        <v>5.2789351851851851E-2</v>
      </c>
      <c r="C22" s="231">
        <f t="shared" si="2"/>
        <v>76.016666666666666</v>
      </c>
      <c r="D22" s="231">
        <f t="shared" si="0"/>
        <v>65.321833651869312</v>
      </c>
      <c r="E22" s="246">
        <f>'10K'!$E22*(1-$K$2)+H.Marathon!$E22*$K$2</f>
        <v>0.91087461379457602</v>
      </c>
      <c r="F22" s="334">
        <f t="shared" si="1"/>
        <v>85.93093661723654</v>
      </c>
      <c r="G22" s="224">
        <v>16</v>
      </c>
      <c r="H22" s="347" t="s">
        <v>1332</v>
      </c>
      <c r="I22" s="267">
        <v>4561</v>
      </c>
      <c r="J22" s="262" t="s">
        <v>1333</v>
      </c>
      <c r="K22" s="262" t="s">
        <v>1334</v>
      </c>
      <c r="L22" s="262" t="s">
        <v>264</v>
      </c>
      <c r="M22" s="271">
        <v>23751</v>
      </c>
      <c r="N22" s="263"/>
      <c r="O22" s="262" t="s">
        <v>756</v>
      </c>
      <c r="P22" s="271">
        <v>29877</v>
      </c>
      <c r="Q22" s="263"/>
    </row>
    <row r="23" spans="1:17">
      <c r="A23" s="224">
        <v>17</v>
      </c>
      <c r="B23" s="362">
        <v>4.8391203703703707E-2</v>
      </c>
      <c r="C23" s="231">
        <f t="shared" si="2"/>
        <v>69.683333333333337</v>
      </c>
      <c r="D23" s="231">
        <f t="shared" si="0"/>
        <v>63.911038262498643</v>
      </c>
      <c r="E23" s="246">
        <f>'10K'!$E23*(1-$K$2)+H.Marathon!$E23*$K$2</f>
        <v>0.9309815896843765</v>
      </c>
      <c r="F23" s="334">
        <f t="shared" si="1"/>
        <v>91.716390713942076</v>
      </c>
      <c r="G23" s="224">
        <v>17</v>
      </c>
      <c r="H23" s="347" t="s">
        <v>1335</v>
      </c>
      <c r="I23" s="267">
        <v>4181</v>
      </c>
      <c r="J23" s="262" t="s">
        <v>1336</v>
      </c>
      <c r="K23" s="262" t="s">
        <v>1337</v>
      </c>
      <c r="L23" s="262" t="s">
        <v>272</v>
      </c>
      <c r="M23" s="271">
        <v>32267</v>
      </c>
      <c r="N23" s="263"/>
      <c r="O23" s="262" t="s">
        <v>1338</v>
      </c>
      <c r="P23" s="271">
        <v>38838</v>
      </c>
      <c r="Q23" s="263"/>
    </row>
    <row r="24" spans="1:17">
      <c r="A24" s="224">
        <v>18</v>
      </c>
      <c r="B24" s="362">
        <v>4.6192129629629632E-2</v>
      </c>
      <c r="C24" s="231">
        <f t="shared" si="2"/>
        <v>66.516666666666666</v>
      </c>
      <c r="D24" s="231">
        <f t="shared" si="0"/>
        <v>62.56883838983763</v>
      </c>
      <c r="E24" s="246">
        <f>'10K'!$E24*(1-$K$2)+H.Marathon!$E24*$K$2</f>
        <v>0.95095260725927</v>
      </c>
      <c r="F24" s="334">
        <f t="shared" si="1"/>
        <v>94.064903617896718</v>
      </c>
      <c r="G24" s="224">
        <v>18</v>
      </c>
      <c r="H24" s="347" t="s">
        <v>1339</v>
      </c>
      <c r="I24" s="267">
        <v>3991</v>
      </c>
      <c r="J24" s="262" t="s">
        <v>1340</v>
      </c>
      <c r="K24" s="262" t="s">
        <v>1341</v>
      </c>
      <c r="L24" s="262" t="s">
        <v>264</v>
      </c>
      <c r="M24" s="271">
        <v>29647</v>
      </c>
      <c r="N24" s="263"/>
      <c r="O24" s="262" t="s">
        <v>756</v>
      </c>
      <c r="P24" s="271">
        <v>36478</v>
      </c>
      <c r="Q24" s="263"/>
    </row>
    <row r="25" spans="1:17">
      <c r="A25" s="224">
        <v>19</v>
      </c>
      <c r="B25" s="362">
        <v>4.611111111111111E-2</v>
      </c>
      <c r="C25" s="231">
        <f t="shared" si="2"/>
        <v>66.399999999999991</v>
      </c>
      <c r="D25" s="231">
        <f t="shared" si="0"/>
        <v>61.299021571879408</v>
      </c>
      <c r="E25" s="246">
        <f>'10K'!$E25*(1-$K$2)+H.Marathon!$E25*$K$2</f>
        <v>0.97065170820434921</v>
      </c>
      <c r="F25" s="334">
        <f t="shared" si="1"/>
        <v>92.31780357210755</v>
      </c>
      <c r="G25" s="224">
        <v>19</v>
      </c>
      <c r="H25" s="347" t="s">
        <v>1342</v>
      </c>
      <c r="I25" s="267">
        <v>3984</v>
      </c>
      <c r="J25" s="262" t="s">
        <v>1343</v>
      </c>
      <c r="K25" s="262" t="s">
        <v>1344</v>
      </c>
      <c r="L25" s="262" t="s">
        <v>272</v>
      </c>
      <c r="M25" s="271">
        <v>35364</v>
      </c>
      <c r="N25" s="263"/>
      <c r="O25" s="262" t="s">
        <v>801</v>
      </c>
      <c r="P25" s="271">
        <v>42652</v>
      </c>
      <c r="Q25" s="263"/>
    </row>
    <row r="26" spans="1:17">
      <c r="A26" s="224">
        <v>20</v>
      </c>
      <c r="B26" s="362">
        <v>4.5555555555555557E-2</v>
      </c>
      <c r="C26" s="231">
        <f t="shared" si="2"/>
        <v>65.600000000000009</v>
      </c>
      <c r="D26" s="231">
        <f t="shared" si="0"/>
        <v>60.288440996829202</v>
      </c>
      <c r="E26" s="246">
        <f>'10K'!$E26*(1-$K$2)+H.Marathon!$E26*$K$2</f>
        <v>0.98692218634629036</v>
      </c>
      <c r="F26" s="334">
        <f t="shared" si="1"/>
        <v>91.903111275654254</v>
      </c>
      <c r="G26" s="224">
        <v>20</v>
      </c>
      <c r="H26" s="347" t="s">
        <v>1345</v>
      </c>
      <c r="I26" s="267">
        <v>3936</v>
      </c>
      <c r="J26" s="262" t="s">
        <v>1346</v>
      </c>
      <c r="K26" s="262" t="s">
        <v>1347</v>
      </c>
      <c r="L26" s="262" t="s">
        <v>264</v>
      </c>
      <c r="M26" s="271">
        <v>31503</v>
      </c>
      <c r="N26" s="263"/>
      <c r="O26" s="262" t="s">
        <v>1348</v>
      </c>
      <c r="P26" s="271">
        <v>38998</v>
      </c>
      <c r="Q26" s="263"/>
    </row>
    <row r="27" spans="1:17">
      <c r="A27" s="224">
        <v>21</v>
      </c>
      <c r="B27" s="362">
        <v>4.4895833333333336E-2</v>
      </c>
      <c r="C27" s="231">
        <f t="shared" si="2"/>
        <v>64.650000000000006</v>
      </c>
      <c r="D27" s="231">
        <f t="shared" si="0"/>
        <v>59.696560745636695</v>
      </c>
      <c r="E27" s="246">
        <f>'10K'!$E27*(1-$K$2)+H.Marathon!$E27*$K$2</f>
        <v>0.99670733551176882</v>
      </c>
      <c r="F27" s="334">
        <f t="shared" si="1"/>
        <v>92.338067665331309</v>
      </c>
      <c r="G27" s="224">
        <v>21</v>
      </c>
      <c r="H27" s="347" t="s">
        <v>1349</v>
      </c>
      <c r="I27" s="267">
        <v>3879</v>
      </c>
      <c r="J27" s="262" t="s">
        <v>1350</v>
      </c>
      <c r="K27" s="262" t="s">
        <v>1351</v>
      </c>
      <c r="L27" s="262" t="s">
        <v>272</v>
      </c>
      <c r="M27" s="271">
        <v>34830</v>
      </c>
      <c r="N27" s="263"/>
      <c r="O27" s="262" t="s">
        <v>765</v>
      </c>
      <c r="P27" s="271">
        <v>42631</v>
      </c>
      <c r="Q27" s="263"/>
    </row>
    <row r="28" spans="1:17">
      <c r="A28" s="224">
        <v>22</v>
      </c>
      <c r="B28" s="362">
        <v>4.4594907407407409E-2</v>
      </c>
      <c r="C28" s="231">
        <f t="shared" si="2"/>
        <v>64.216666666666669</v>
      </c>
      <c r="D28" s="231">
        <f t="shared" si="0"/>
        <v>59.5</v>
      </c>
      <c r="E28" s="246">
        <f>'10K'!$E28*(1-$K$2)+H.Marathon!$E28*$K$2</f>
        <v>1</v>
      </c>
      <c r="F28" s="334">
        <f t="shared" si="1"/>
        <v>92.655073968336353</v>
      </c>
      <c r="G28" s="224">
        <v>22</v>
      </c>
      <c r="H28" s="347" t="s">
        <v>1352</v>
      </c>
      <c r="I28" s="267">
        <v>3853</v>
      </c>
      <c r="J28" s="262" t="s">
        <v>546</v>
      </c>
      <c r="K28" s="262" t="s">
        <v>1353</v>
      </c>
      <c r="L28" s="262" t="s">
        <v>268</v>
      </c>
      <c r="M28" s="271">
        <v>34239</v>
      </c>
      <c r="N28" s="263"/>
      <c r="O28" s="262" t="s">
        <v>786</v>
      </c>
      <c r="P28" s="271">
        <v>42455</v>
      </c>
      <c r="Q28" s="263"/>
    </row>
    <row r="29" spans="1:17" ht="15.75">
      <c r="A29" s="224">
        <v>23</v>
      </c>
      <c r="B29" s="362">
        <v>4.2650462962962966E-2</v>
      </c>
      <c r="C29" s="231">
        <f t="shared" si="2"/>
        <v>61.416666666666671</v>
      </c>
      <c r="D29" s="231">
        <f t="shared" si="0"/>
        <v>59.5</v>
      </c>
      <c r="E29" s="246">
        <f>'10K'!$E29*(1-$K$2)+H.Marathon!$E29*$K$2</f>
        <v>1</v>
      </c>
      <c r="F29" s="334">
        <f t="shared" si="1"/>
        <v>96.879240162822242</v>
      </c>
      <c r="G29" s="224">
        <v>23</v>
      </c>
      <c r="H29" s="364" t="s">
        <v>1354</v>
      </c>
      <c r="I29" s="306">
        <v>3685</v>
      </c>
      <c r="J29" s="302" t="s">
        <v>1355</v>
      </c>
      <c r="K29" s="302" t="s">
        <v>1356</v>
      </c>
      <c r="L29" s="302" t="s">
        <v>268</v>
      </c>
      <c r="M29" s="258">
        <v>34311</v>
      </c>
      <c r="N29" s="304"/>
      <c r="O29" s="302" t="s">
        <v>1357</v>
      </c>
      <c r="P29" s="346">
        <v>42826</v>
      </c>
      <c r="Q29" s="365" t="s">
        <v>1358</v>
      </c>
    </row>
    <row r="30" spans="1:17">
      <c r="A30" s="224">
        <v>24</v>
      </c>
      <c r="B30" s="362">
        <v>4.5509259259259256E-2</v>
      </c>
      <c r="C30" s="231">
        <f t="shared" si="2"/>
        <v>65.533333333333331</v>
      </c>
      <c r="D30" s="231">
        <f t="shared" si="0"/>
        <v>59.5</v>
      </c>
      <c r="E30" s="246">
        <f>'10K'!$E30*(1-$K$2)+H.Marathon!$E30*$K$2</f>
        <v>1</v>
      </c>
      <c r="F30" s="334">
        <f t="shared" si="1"/>
        <v>90.793489318413023</v>
      </c>
      <c r="G30" s="224">
        <v>24</v>
      </c>
      <c r="H30" s="347" t="s">
        <v>1359</v>
      </c>
      <c r="I30" s="267">
        <v>3932</v>
      </c>
      <c r="J30" s="262" t="s">
        <v>1360</v>
      </c>
      <c r="K30" s="262" t="s">
        <v>1361</v>
      </c>
      <c r="L30" s="262" t="s">
        <v>264</v>
      </c>
      <c r="M30" s="271">
        <v>30035</v>
      </c>
      <c r="N30" s="263"/>
      <c r="O30" s="262" t="s">
        <v>1348</v>
      </c>
      <c r="P30" s="271">
        <v>38998</v>
      </c>
      <c r="Q30" s="263"/>
    </row>
    <row r="31" spans="1:17">
      <c r="A31" s="224">
        <v>25</v>
      </c>
      <c r="B31" s="362">
        <v>4.4293981481481483E-2</v>
      </c>
      <c r="C31" s="231">
        <f t="shared" si="2"/>
        <v>63.783333333333339</v>
      </c>
      <c r="D31" s="231">
        <f t="shared" si="0"/>
        <v>59.5</v>
      </c>
      <c r="E31" s="246">
        <f>'10K'!$E31*(1-$K$2)+H.Marathon!$E31*$K$2</f>
        <v>1</v>
      </c>
      <c r="F31" s="334">
        <f t="shared" si="1"/>
        <v>93.284557094329756</v>
      </c>
      <c r="G31" s="224">
        <v>25</v>
      </c>
      <c r="H31" s="347" t="s">
        <v>1362</v>
      </c>
      <c r="I31" s="267">
        <v>3827</v>
      </c>
      <c r="J31" s="262" t="s">
        <v>1198</v>
      </c>
      <c r="K31" s="262" t="s">
        <v>1199</v>
      </c>
      <c r="L31" s="262" t="s">
        <v>268</v>
      </c>
      <c r="M31" s="271">
        <v>29632</v>
      </c>
      <c r="N31" s="263"/>
      <c r="O31" s="262" t="s">
        <v>1348</v>
      </c>
      <c r="P31" s="271">
        <v>38998</v>
      </c>
      <c r="Q31" s="263"/>
    </row>
    <row r="32" spans="1:17">
      <c r="A32" s="224">
        <v>26</v>
      </c>
      <c r="B32" s="362">
        <v>4.4374999999999998E-2</v>
      </c>
      <c r="C32" s="231">
        <f t="shared" si="2"/>
        <v>63.9</v>
      </c>
      <c r="D32" s="231">
        <f t="shared" si="0"/>
        <v>59.5</v>
      </c>
      <c r="E32" s="246">
        <f>'10K'!$E32*(1-$K$2)+H.Marathon!$E32*$K$2</f>
        <v>1</v>
      </c>
      <c r="F32" s="334">
        <f t="shared" si="1"/>
        <v>93.114241001564949</v>
      </c>
      <c r="G32" s="224">
        <v>26</v>
      </c>
      <c r="H32" s="347" t="s">
        <v>1363</v>
      </c>
      <c r="I32" s="267">
        <v>3834</v>
      </c>
      <c r="J32" s="262" t="s">
        <v>290</v>
      </c>
      <c r="K32" s="262" t="s">
        <v>1364</v>
      </c>
      <c r="L32" s="262" t="s">
        <v>291</v>
      </c>
      <c r="M32" s="271">
        <v>27150</v>
      </c>
      <c r="N32" s="263"/>
      <c r="O32" s="262" t="s">
        <v>1365</v>
      </c>
      <c r="P32" s="271">
        <v>36961</v>
      </c>
      <c r="Q32" s="263"/>
    </row>
    <row r="33" spans="1:17">
      <c r="A33" s="224">
        <v>27</v>
      </c>
      <c r="B33" s="362">
        <v>4.4664351851851851E-2</v>
      </c>
      <c r="C33" s="231">
        <f t="shared" si="2"/>
        <v>64.316666666666663</v>
      </c>
      <c r="D33" s="231">
        <f t="shared" si="0"/>
        <v>59.505961295955053</v>
      </c>
      <c r="E33" s="246">
        <f>'10K'!$E33*(1-$K$2)+H.Marathon!$E33*$K$2</f>
        <v>0.99989982018901591</v>
      </c>
      <c r="F33" s="334">
        <f t="shared" si="1"/>
        <v>92.520281880209993</v>
      </c>
      <c r="G33" s="224">
        <v>27</v>
      </c>
      <c r="H33" s="347" t="s">
        <v>1366</v>
      </c>
      <c r="I33" s="267">
        <v>3859</v>
      </c>
      <c r="J33" s="262" t="s">
        <v>306</v>
      </c>
      <c r="K33" s="262" t="s">
        <v>1367</v>
      </c>
      <c r="L33" s="262" t="s">
        <v>268</v>
      </c>
      <c r="M33" s="271">
        <v>32494</v>
      </c>
      <c r="N33" s="263"/>
      <c r="O33" s="262" t="s">
        <v>786</v>
      </c>
      <c r="P33" s="271">
        <v>42455</v>
      </c>
      <c r="Q33" s="263"/>
    </row>
    <row r="34" spans="1:17">
      <c r="A34" s="224">
        <v>28</v>
      </c>
      <c r="B34" s="362">
        <v>4.6296296296296294E-2</v>
      </c>
      <c r="C34" s="231">
        <f t="shared" si="2"/>
        <v>66.666666666666657</v>
      </c>
      <c r="D34" s="231">
        <f t="shared" si="0"/>
        <v>59.522126565979633</v>
      </c>
      <c r="E34" s="246">
        <f>'10K'!$E34*(1-$K$2)+H.Marathon!$E34*$K$2</f>
        <v>0.99962826318117004</v>
      </c>
      <c r="F34" s="334">
        <f t="shared" si="1"/>
        <v>89.283189848969457</v>
      </c>
      <c r="G34" s="224">
        <v>28</v>
      </c>
      <c r="H34" s="347" t="s">
        <v>1368</v>
      </c>
      <c r="I34" s="267">
        <v>4000</v>
      </c>
      <c r="J34" s="262" t="s">
        <v>334</v>
      </c>
      <c r="K34" s="262" t="s">
        <v>1369</v>
      </c>
      <c r="L34" s="262" t="s">
        <v>268</v>
      </c>
      <c r="M34" s="271">
        <v>25878</v>
      </c>
      <c r="N34" s="263"/>
      <c r="O34" s="262" t="s">
        <v>1365</v>
      </c>
      <c r="P34" s="271">
        <v>36232</v>
      </c>
      <c r="Q34" s="263"/>
    </row>
    <row r="35" spans="1:17">
      <c r="A35" s="224">
        <v>29</v>
      </c>
      <c r="B35" s="362">
        <v>4.5173611111111109E-2</v>
      </c>
      <c r="C35" s="231">
        <f t="shared" si="2"/>
        <v>65.05</v>
      </c>
      <c r="D35" s="231">
        <f t="shared" si="0"/>
        <v>59.566823654658776</v>
      </c>
      <c r="E35" s="246">
        <f>'10K'!$E35*(1-$K$2)+H.Marathon!$E35*$K$2</f>
        <v>0.99887817327567796</v>
      </c>
      <c r="F35" s="334">
        <f t="shared" si="1"/>
        <v>91.570828062503878</v>
      </c>
      <c r="G35" s="224">
        <v>29</v>
      </c>
      <c r="H35" s="347" t="s">
        <v>1370</v>
      </c>
      <c r="I35" s="267">
        <v>3903</v>
      </c>
      <c r="J35" s="262" t="s">
        <v>1371</v>
      </c>
      <c r="K35" s="262" t="s">
        <v>1353</v>
      </c>
      <c r="L35" s="262" t="s">
        <v>268</v>
      </c>
      <c r="M35" s="271">
        <v>30890</v>
      </c>
      <c r="N35" s="263"/>
      <c r="O35" s="262" t="s">
        <v>801</v>
      </c>
      <c r="P35" s="271">
        <v>41560</v>
      </c>
      <c r="Q35" s="263"/>
    </row>
    <row r="36" spans="1:17">
      <c r="A36" s="224">
        <v>30</v>
      </c>
      <c r="B36" s="362">
        <v>4.5486111111111109E-2</v>
      </c>
      <c r="C36" s="231">
        <f t="shared" si="2"/>
        <v>65.5</v>
      </c>
      <c r="D36" s="231">
        <f t="shared" si="0"/>
        <v>59.641036793576262</v>
      </c>
      <c r="E36" s="246">
        <f>'10K'!$E36*(1-$K$2)+H.Marathon!$E36*$K$2</f>
        <v>0.99763523907097051</v>
      </c>
      <c r="F36" s="334">
        <f t="shared" si="1"/>
        <v>91.055018005459942</v>
      </c>
      <c r="G36" s="224">
        <v>30</v>
      </c>
      <c r="H36" s="347" t="s">
        <v>1372</v>
      </c>
      <c r="I36" s="267">
        <v>3930</v>
      </c>
      <c r="J36" s="262" t="s">
        <v>1373</v>
      </c>
      <c r="K36" s="262" t="s">
        <v>1374</v>
      </c>
      <c r="L36" s="262" t="s">
        <v>268</v>
      </c>
      <c r="M36" s="271">
        <v>28908</v>
      </c>
      <c r="N36" s="263"/>
      <c r="O36" s="262" t="s">
        <v>801</v>
      </c>
      <c r="P36" s="271">
        <v>40097</v>
      </c>
      <c r="Q36" s="263"/>
    </row>
    <row r="37" spans="1:17">
      <c r="A37" s="224">
        <v>31</v>
      </c>
      <c r="B37" s="362">
        <v>4.5624999999999999E-2</v>
      </c>
      <c r="C37" s="231">
        <f t="shared" si="2"/>
        <v>65.7</v>
      </c>
      <c r="D37" s="231">
        <f t="shared" si="0"/>
        <v>59.744128131079769</v>
      </c>
      <c r="E37" s="246">
        <f>'10K'!$E37*(1-$K$2)+H.Marathon!$E37*$K$2</f>
        <v>0.99591377196861675</v>
      </c>
      <c r="F37" s="334">
        <f t="shared" si="1"/>
        <v>90.934746013820046</v>
      </c>
      <c r="G37" s="224">
        <v>31</v>
      </c>
      <c r="H37" s="347" t="s">
        <v>1375</v>
      </c>
      <c r="I37" s="267">
        <v>3942</v>
      </c>
      <c r="J37" s="262" t="s">
        <v>1376</v>
      </c>
      <c r="K37" s="262" t="s">
        <v>1377</v>
      </c>
      <c r="L37" s="262" t="s">
        <v>328</v>
      </c>
      <c r="M37" s="271">
        <v>27544</v>
      </c>
      <c r="N37" s="263"/>
      <c r="O37" s="262" t="s">
        <v>1348</v>
      </c>
      <c r="P37" s="271">
        <v>38998</v>
      </c>
      <c r="Q37" s="263"/>
    </row>
    <row r="38" spans="1:17">
      <c r="A38" s="224">
        <v>32</v>
      </c>
      <c r="B38" s="362">
        <v>4.3993055555555556E-2</v>
      </c>
      <c r="C38" s="231">
        <f t="shared" si="2"/>
        <v>63.35</v>
      </c>
      <c r="D38" s="231">
        <f t="shared" si="0"/>
        <v>59.871665043740762</v>
      </c>
      <c r="E38" s="246">
        <f>'10K'!$E38*(1-$K$2)+H.Marathon!$E38*$K$2</f>
        <v>0.99379230486626302</v>
      </c>
      <c r="F38" s="334">
        <f t="shared" si="1"/>
        <v>94.509337085620771</v>
      </c>
      <c r="G38" s="224">
        <v>32</v>
      </c>
      <c r="H38" s="347" t="s">
        <v>1378</v>
      </c>
      <c r="I38" s="267">
        <v>3801</v>
      </c>
      <c r="J38" s="262" t="s">
        <v>290</v>
      </c>
      <c r="K38" s="262" t="s">
        <v>1364</v>
      </c>
      <c r="L38" s="262" t="s">
        <v>291</v>
      </c>
      <c r="M38" s="271">
        <v>27150</v>
      </c>
      <c r="N38" s="263"/>
      <c r="O38" s="262" t="s">
        <v>1348</v>
      </c>
      <c r="P38" s="271">
        <v>38998</v>
      </c>
      <c r="Q38" s="263"/>
    </row>
    <row r="39" spans="1:17">
      <c r="A39" s="224">
        <v>33</v>
      </c>
      <c r="B39" s="362">
        <v>4.6574074074074073E-2</v>
      </c>
      <c r="C39" s="231">
        <f t="shared" si="2"/>
        <v>67.066666666666663</v>
      </c>
      <c r="D39" s="231">
        <f t="shared" si="0"/>
        <v>60.029581359061332</v>
      </c>
      <c r="E39" s="246">
        <f>'10K'!$E39*(1-$K$2)+H.Marathon!$E39*$K$2</f>
        <v>0.99117799346469382</v>
      </c>
      <c r="F39" s="334">
        <f t="shared" si="1"/>
        <v>89.507328070170971</v>
      </c>
      <c r="G39" s="224">
        <v>33</v>
      </c>
      <c r="H39" s="347" t="s">
        <v>1379</v>
      </c>
      <c r="I39" s="267">
        <v>4024</v>
      </c>
      <c r="J39" s="262" t="s">
        <v>1380</v>
      </c>
      <c r="K39" s="262" t="s">
        <v>1381</v>
      </c>
      <c r="L39" s="262" t="s">
        <v>632</v>
      </c>
      <c r="M39" s="271">
        <v>30264</v>
      </c>
      <c r="N39" s="263"/>
      <c r="O39" s="262" t="s">
        <v>786</v>
      </c>
      <c r="P39" s="271">
        <v>42455</v>
      </c>
      <c r="Q39" s="263"/>
    </row>
    <row r="40" spans="1:17">
      <c r="A40" s="224">
        <v>34</v>
      </c>
      <c r="B40" s="362">
        <v>4.5266203703703704E-2</v>
      </c>
      <c r="C40" s="231">
        <f t="shared" si="2"/>
        <v>65.183333333333337</v>
      </c>
      <c r="D40" s="231">
        <f t="shared" si="0"/>
        <v>60.217482319466889</v>
      </c>
      <c r="E40" s="246">
        <f>'10K'!$E40*(1-$K$2)+H.Marathon!$E40*$K$2</f>
        <v>0.9880851491654784</v>
      </c>
      <c r="F40" s="334">
        <f t="shared" si="1"/>
        <v>92.381716675224069</v>
      </c>
      <c r="G40" s="224">
        <v>34</v>
      </c>
      <c r="H40" s="347" t="s">
        <v>1382</v>
      </c>
      <c r="I40" s="267">
        <v>3911</v>
      </c>
      <c r="J40" s="262" t="s">
        <v>304</v>
      </c>
      <c r="K40" s="262" t="s">
        <v>305</v>
      </c>
      <c r="L40" s="262" t="s">
        <v>241</v>
      </c>
      <c r="M40" s="271">
        <v>23483</v>
      </c>
      <c r="N40" s="262" t="s">
        <v>1383</v>
      </c>
      <c r="O40" s="262" t="s">
        <v>1384</v>
      </c>
      <c r="P40" s="271">
        <v>36045</v>
      </c>
      <c r="Q40" s="263"/>
    </row>
    <row r="41" spans="1:17">
      <c r="A41" s="224">
        <v>35</v>
      </c>
      <c r="B41" s="362">
        <v>4.6666666666666669E-2</v>
      </c>
      <c r="C41" s="231">
        <f t="shared" si="2"/>
        <v>67.2</v>
      </c>
      <c r="D41" s="231">
        <f t="shared" si="0"/>
        <v>60.431104027450097</v>
      </c>
      <c r="E41" s="246">
        <f>'10K'!$E41*(1-$K$2)+H.Marathon!$E41*$K$2</f>
        <v>0.98459230486626304</v>
      </c>
      <c r="F41" s="334">
        <f t="shared" si="1"/>
        <v>89.927238136086459</v>
      </c>
      <c r="G41" s="224">
        <v>35</v>
      </c>
      <c r="H41" s="347" t="s">
        <v>1385</v>
      </c>
      <c r="I41" s="267">
        <v>4032</v>
      </c>
      <c r="J41" s="262" t="s">
        <v>1386</v>
      </c>
      <c r="K41" s="262" t="s">
        <v>1387</v>
      </c>
      <c r="L41" s="262" t="s">
        <v>291</v>
      </c>
      <c r="M41" s="271">
        <v>23469</v>
      </c>
      <c r="N41" s="263"/>
      <c r="O41" s="262" t="s">
        <v>1365</v>
      </c>
      <c r="P41" s="271">
        <v>36597</v>
      </c>
      <c r="Q41" s="263"/>
    </row>
    <row r="42" spans="1:17">
      <c r="A42" s="224">
        <v>36</v>
      </c>
      <c r="B42" s="362">
        <v>4.4016203703703703E-2</v>
      </c>
      <c r="C42" s="231">
        <f t="shared" si="2"/>
        <v>63.383333333333333</v>
      </c>
      <c r="D42" s="231">
        <f t="shared" si="0"/>
        <v>60.675841521566376</v>
      </c>
      <c r="E42" s="246">
        <f>'10K'!$E42*(1-$K$2)+H.Marathon!$E42*$K$2</f>
        <v>0.98062092766940134</v>
      </c>
      <c r="F42" s="334">
        <f t="shared" si="1"/>
        <v>95.728385256218317</v>
      </c>
      <c r="G42" s="224">
        <v>36</v>
      </c>
      <c r="H42" s="347" t="s">
        <v>1388</v>
      </c>
      <c r="I42" s="267">
        <v>3803</v>
      </c>
      <c r="J42" s="262" t="s">
        <v>1389</v>
      </c>
      <c r="K42" s="262" t="s">
        <v>1390</v>
      </c>
      <c r="L42" s="262" t="s">
        <v>1391</v>
      </c>
      <c r="M42" s="271">
        <v>25591</v>
      </c>
      <c r="N42" s="263"/>
      <c r="O42" s="262" t="s">
        <v>1348</v>
      </c>
      <c r="P42" s="271">
        <v>38998</v>
      </c>
      <c r="Q42" s="263"/>
    </row>
    <row r="43" spans="1:17">
      <c r="A43" s="224">
        <v>37</v>
      </c>
      <c r="B43" s="362">
        <v>4.6539351851851853E-2</v>
      </c>
      <c r="C43" s="231">
        <f t="shared" si="2"/>
        <v>67.016666666666666</v>
      </c>
      <c r="D43" s="231">
        <f t="shared" ref="D43:D74" si="3">E$4/E43</f>
        <v>60.953774932536639</v>
      </c>
      <c r="E43" s="246">
        <f>'10K'!$E43*(1-$K$2)+H.Marathon!$E43*$K$2</f>
        <v>0.97614955047253971</v>
      </c>
      <c r="F43" s="334">
        <f t="shared" si="1"/>
        <v>90.95315831763736</v>
      </c>
      <c r="G43" s="224">
        <v>37</v>
      </c>
      <c r="H43" s="347" t="s">
        <v>1392</v>
      </c>
      <c r="I43" s="267">
        <v>4021</v>
      </c>
      <c r="J43" s="262" t="s">
        <v>1393</v>
      </c>
      <c r="K43" s="262" t="s">
        <v>1394</v>
      </c>
      <c r="L43" s="262" t="s">
        <v>241</v>
      </c>
      <c r="M43" s="271">
        <v>28724</v>
      </c>
      <c r="N43" s="263"/>
      <c r="O43" s="262" t="s">
        <v>786</v>
      </c>
      <c r="P43" s="271">
        <v>42455</v>
      </c>
      <c r="Q43" s="263"/>
    </row>
    <row r="44" spans="1:17">
      <c r="A44" s="224">
        <v>38</v>
      </c>
      <c r="B44" s="362">
        <v>4.7141203703703706E-2</v>
      </c>
      <c r="C44" s="231">
        <f t="shared" si="2"/>
        <v>67.88333333333334</v>
      </c>
      <c r="D44" s="231">
        <f t="shared" si="3"/>
        <v>61.264437841883975</v>
      </c>
      <c r="E44" s="246">
        <f>'10K'!$E44*(1-$K$2)+H.Marathon!$E44*$K$2</f>
        <v>0.97119964037803186</v>
      </c>
      <c r="F44" s="334">
        <f t="shared" si="1"/>
        <v>90.249601534815568</v>
      </c>
      <c r="G44" s="224">
        <v>38</v>
      </c>
      <c r="H44" s="347" t="s">
        <v>1395</v>
      </c>
      <c r="I44" s="267">
        <v>4073</v>
      </c>
      <c r="J44" s="262" t="s">
        <v>304</v>
      </c>
      <c r="K44" s="262" t="s">
        <v>305</v>
      </c>
      <c r="L44" s="262" t="s">
        <v>241</v>
      </c>
      <c r="M44" s="271">
        <v>23483</v>
      </c>
      <c r="N44" s="262" t="s">
        <v>1383</v>
      </c>
      <c r="O44" s="262" t="s">
        <v>1384</v>
      </c>
      <c r="P44" s="271">
        <v>37501</v>
      </c>
      <c r="Q44" s="263"/>
    </row>
    <row r="45" spans="1:17">
      <c r="A45" s="224">
        <v>39</v>
      </c>
      <c r="B45" s="362">
        <v>4.5381944444444447E-2</v>
      </c>
      <c r="C45" s="231">
        <f t="shared" si="2"/>
        <v>65.350000000000009</v>
      </c>
      <c r="D45" s="231">
        <f t="shared" si="3"/>
        <v>61.603329502965991</v>
      </c>
      <c r="E45" s="246">
        <f>'10K'!$E45*(1-$K$2)+H.Marathon!$E45*$K$2</f>
        <v>0.9658568859843083</v>
      </c>
      <c r="F45" s="334">
        <f t="shared" ref="F45:F76" si="4">100*(D45/C45)</f>
        <v>94.26676282014688</v>
      </c>
      <c r="G45" s="224">
        <v>39</v>
      </c>
      <c r="H45" s="347" t="s">
        <v>1396</v>
      </c>
      <c r="I45" s="267">
        <v>3921</v>
      </c>
      <c r="J45" s="262" t="s">
        <v>309</v>
      </c>
      <c r="K45" s="262" t="s">
        <v>310</v>
      </c>
      <c r="L45" s="262" t="s">
        <v>268</v>
      </c>
      <c r="M45" s="271">
        <v>24566</v>
      </c>
      <c r="N45" s="263"/>
      <c r="O45" s="262" t="s">
        <v>1348</v>
      </c>
      <c r="P45" s="271">
        <v>38998</v>
      </c>
      <c r="Q45" s="263"/>
    </row>
    <row r="46" spans="1:17">
      <c r="A46" s="224">
        <v>40</v>
      </c>
      <c r="B46" s="362">
        <v>4.7905092592592589E-2</v>
      </c>
      <c r="C46" s="231">
        <f t="shared" si="2"/>
        <v>68.983333333333334</v>
      </c>
      <c r="D46" s="231">
        <f t="shared" si="3"/>
        <v>61.977792354870516</v>
      </c>
      <c r="E46" s="246">
        <f>'10K'!$E46*(1-$K$2)+H.Marathon!$E46*$K$2</f>
        <v>0.9600212872913696</v>
      </c>
      <c r="F46" s="334">
        <f t="shared" si="4"/>
        <v>89.844589062387797</v>
      </c>
      <c r="G46" s="224">
        <v>40</v>
      </c>
      <c r="H46" s="347" t="s">
        <v>1397</v>
      </c>
      <c r="I46" s="267">
        <v>4139</v>
      </c>
      <c r="J46" s="262" t="s">
        <v>1398</v>
      </c>
      <c r="K46" s="262" t="s">
        <v>1399</v>
      </c>
      <c r="L46" s="262" t="s">
        <v>241</v>
      </c>
      <c r="M46" s="271">
        <v>27599</v>
      </c>
      <c r="N46" s="262" t="s">
        <v>1383</v>
      </c>
      <c r="O46" s="262" t="s">
        <v>1384</v>
      </c>
      <c r="P46" s="271">
        <v>42254</v>
      </c>
      <c r="Q46" s="263"/>
    </row>
    <row r="47" spans="1:17">
      <c r="A47" s="224">
        <v>41</v>
      </c>
      <c r="B47" s="362">
        <v>4.5740740740740742E-2</v>
      </c>
      <c r="C47" s="231">
        <f t="shared" si="2"/>
        <v>65.866666666666674</v>
      </c>
      <c r="D47" s="231">
        <f t="shared" si="3"/>
        <v>62.388591800356508</v>
      </c>
      <c r="E47" s="246">
        <f>'10K'!$E47*(1-$K$2)+H.Marathon!$E47*$K$2</f>
        <v>0.95369999999999999</v>
      </c>
      <c r="F47" s="334">
        <f t="shared" si="4"/>
        <v>94.719521964104004</v>
      </c>
      <c r="G47" s="224">
        <v>41</v>
      </c>
      <c r="H47" s="347" t="s">
        <v>693</v>
      </c>
      <c r="I47" s="267">
        <v>3952</v>
      </c>
      <c r="J47" s="224" t="s">
        <v>316</v>
      </c>
      <c r="K47" s="224" t="s">
        <v>317</v>
      </c>
      <c r="L47" s="262" t="s">
        <v>241</v>
      </c>
      <c r="M47" s="271">
        <v>26709</v>
      </c>
      <c r="N47" s="224" t="s">
        <v>1400</v>
      </c>
      <c r="O47" s="262" t="s">
        <v>1401</v>
      </c>
      <c r="P47" s="264">
        <v>41903</v>
      </c>
      <c r="Q47" s="263"/>
    </row>
    <row r="48" spans="1:17">
      <c r="A48" s="224">
        <v>42</v>
      </c>
      <c r="B48" s="362">
        <v>4.8194444444444443E-2</v>
      </c>
      <c r="C48" s="231">
        <f t="shared" si="2"/>
        <v>69.399999999999991</v>
      </c>
      <c r="D48" s="231">
        <f t="shared" si="3"/>
        <v>62.837087701551582</v>
      </c>
      <c r="E48" s="246">
        <f>'10K'!$E48*(1-$K$2)+H.Marathon!$E48*$K$2</f>
        <v>0.94689302411019949</v>
      </c>
      <c r="F48" s="334">
        <f t="shared" si="4"/>
        <v>90.543354036817846</v>
      </c>
      <c r="G48" s="224">
        <v>42</v>
      </c>
      <c r="H48" s="347" t="s">
        <v>1402</v>
      </c>
      <c r="I48" s="267">
        <v>4164</v>
      </c>
      <c r="J48" s="262" t="s">
        <v>586</v>
      </c>
      <c r="K48" s="224" t="s">
        <v>587</v>
      </c>
      <c r="L48" s="262" t="s">
        <v>241</v>
      </c>
      <c r="M48" s="271">
        <v>24103</v>
      </c>
      <c r="N48" s="262" t="s">
        <v>1383</v>
      </c>
      <c r="O48" s="262" t="s">
        <v>1384</v>
      </c>
      <c r="P48" s="271">
        <v>39692</v>
      </c>
      <c r="Q48" s="263"/>
    </row>
    <row r="49" spans="1:17">
      <c r="A49" s="224">
        <v>43</v>
      </c>
      <c r="B49" s="362">
        <v>4.9641203703703701E-2</v>
      </c>
      <c r="C49" s="231">
        <f t="shared" si="2"/>
        <v>71.483333333333334</v>
      </c>
      <c r="D49" s="231">
        <f t="shared" si="3"/>
        <v>63.318538169390166</v>
      </c>
      <c r="E49" s="246">
        <f>'10K'!$E49*(1-$K$2)+H.Marathon!$E49*$K$2</f>
        <v>0.93969320392118361</v>
      </c>
      <c r="F49" s="334">
        <f t="shared" si="4"/>
        <v>88.578043603716722</v>
      </c>
      <c r="G49" s="224">
        <v>43</v>
      </c>
      <c r="H49" s="347" t="s">
        <v>1403</v>
      </c>
      <c r="I49" s="267">
        <v>4289</v>
      </c>
      <c r="J49" s="262" t="s">
        <v>326</v>
      </c>
      <c r="K49" s="262" t="s">
        <v>327</v>
      </c>
      <c r="L49" s="262" t="s">
        <v>328</v>
      </c>
      <c r="M49" s="271">
        <v>20152</v>
      </c>
      <c r="N49" s="262" t="s">
        <v>1383</v>
      </c>
      <c r="O49" s="262" t="s">
        <v>1384</v>
      </c>
      <c r="P49" s="271">
        <v>36045</v>
      </c>
      <c r="Q49" s="263"/>
    </row>
    <row r="50" spans="1:17">
      <c r="A50" s="224">
        <v>44</v>
      </c>
      <c r="B50" s="362">
        <v>4.777777777777778E-2</v>
      </c>
      <c r="C50" s="231">
        <f t="shared" si="2"/>
        <v>68.8</v>
      </c>
      <c r="D50" s="231">
        <f t="shared" si="3"/>
        <v>63.840674611020397</v>
      </c>
      <c r="E50" s="246">
        <f>'10K'!$E50*(1-$K$2)+H.Marathon!$E50*$K$2</f>
        <v>0.93200769513373694</v>
      </c>
      <c r="F50" s="334">
        <f t="shared" si="4"/>
        <v>92.791678213692435</v>
      </c>
      <c r="G50" s="224">
        <v>44</v>
      </c>
      <c r="H50" s="347" t="s">
        <v>698</v>
      </c>
      <c r="I50" s="267">
        <v>4128</v>
      </c>
      <c r="J50" s="262" t="s">
        <v>601</v>
      </c>
      <c r="K50" s="262" t="s">
        <v>798</v>
      </c>
      <c r="L50" s="262" t="s">
        <v>578</v>
      </c>
      <c r="M50" s="271">
        <v>18655</v>
      </c>
      <c r="N50" s="263"/>
      <c r="O50" s="262" t="s">
        <v>1404</v>
      </c>
      <c r="P50" s="271">
        <v>34784</v>
      </c>
      <c r="Q50" s="263"/>
    </row>
    <row r="51" spans="1:17">
      <c r="A51" s="224">
        <v>45</v>
      </c>
      <c r="B51" s="362">
        <v>4.6770833333333331E-2</v>
      </c>
      <c r="C51" s="231">
        <f t="shared" si="2"/>
        <v>67.349999999999994</v>
      </c>
      <c r="D51" s="231">
        <f t="shared" si="3"/>
        <v>64.405834813772458</v>
      </c>
      <c r="E51" s="246">
        <f>'10K'!$E51*(1-$K$2)+H.Marathon!$E51*$K$2</f>
        <v>0.9238293420470749</v>
      </c>
      <c r="F51" s="334">
        <f t="shared" si="4"/>
        <v>95.628559485927937</v>
      </c>
      <c r="G51" s="224">
        <v>45</v>
      </c>
      <c r="H51" s="347" t="s">
        <v>1405</v>
      </c>
      <c r="I51" s="267">
        <v>4041</v>
      </c>
      <c r="J51" s="262" t="s">
        <v>304</v>
      </c>
      <c r="K51" s="262" t="s">
        <v>305</v>
      </c>
      <c r="L51" s="262" t="s">
        <v>241</v>
      </c>
      <c r="M51" s="271">
        <v>23483</v>
      </c>
      <c r="N51" s="262" t="s">
        <v>1383</v>
      </c>
      <c r="O51" s="262" t="s">
        <v>1384</v>
      </c>
      <c r="P51" s="271">
        <v>40063</v>
      </c>
      <c r="Q51" s="263"/>
    </row>
    <row r="52" spans="1:17">
      <c r="A52" s="224">
        <v>46</v>
      </c>
      <c r="B52" s="362">
        <v>4.8877314814814818E-2</v>
      </c>
      <c r="C52" s="231">
        <f t="shared" si="2"/>
        <v>70.38333333333334</v>
      </c>
      <c r="D52" s="231">
        <f t="shared" si="3"/>
        <v>65.008981725068637</v>
      </c>
      <c r="E52" s="246">
        <f>'10K'!$E52*(1-$K$2)+H.Marathon!$E52*$K$2</f>
        <v>0.91525814466119726</v>
      </c>
      <c r="F52" s="334">
        <f t="shared" si="4"/>
        <v>92.364170104288846</v>
      </c>
      <c r="G52" s="224">
        <v>46</v>
      </c>
      <c r="H52" s="347" t="s">
        <v>1406</v>
      </c>
      <c r="I52" s="267">
        <v>4223</v>
      </c>
      <c r="J52" s="262" t="s">
        <v>304</v>
      </c>
      <c r="K52" s="262" t="s">
        <v>305</v>
      </c>
      <c r="L52" s="262" t="s">
        <v>241</v>
      </c>
      <c r="M52" s="271">
        <v>23483</v>
      </c>
      <c r="N52" s="262" t="s">
        <v>1383</v>
      </c>
      <c r="O52" s="262" t="s">
        <v>1384</v>
      </c>
      <c r="P52" s="271">
        <v>40427</v>
      </c>
      <c r="Q52" s="263"/>
    </row>
    <row r="53" spans="1:17">
      <c r="A53" s="224">
        <v>47</v>
      </c>
      <c r="B53" s="362">
        <v>5.1701388888888887E-2</v>
      </c>
      <c r="C53" s="231">
        <f t="shared" si="2"/>
        <v>74.45</v>
      </c>
      <c r="D53" s="231">
        <f t="shared" si="3"/>
        <v>65.65870377058819</v>
      </c>
      <c r="E53" s="246">
        <f>'10K'!$E53*(1-$K$2)+H.Marathon!$E53*$K$2</f>
        <v>0.90620125867688883</v>
      </c>
      <c r="F53" s="334">
        <f t="shared" si="4"/>
        <v>88.191677327855189</v>
      </c>
      <c r="G53" s="224">
        <v>47</v>
      </c>
      <c r="H53" s="347" t="s">
        <v>1407</v>
      </c>
      <c r="I53" s="267">
        <v>4467</v>
      </c>
      <c r="J53" s="262" t="s">
        <v>1280</v>
      </c>
      <c r="K53" s="262" t="s">
        <v>1408</v>
      </c>
      <c r="L53" s="262" t="s">
        <v>241</v>
      </c>
      <c r="M53" s="271">
        <v>16974</v>
      </c>
      <c r="N53" s="262" t="s">
        <v>1383</v>
      </c>
      <c r="O53" s="262" t="s">
        <v>1384</v>
      </c>
      <c r="P53" s="271">
        <v>34218</v>
      </c>
      <c r="Q53" s="263"/>
    </row>
    <row r="54" spans="1:17">
      <c r="A54" s="224">
        <v>48</v>
      </c>
      <c r="B54" s="362">
        <v>5.3483796296296293E-2</v>
      </c>
      <c r="C54" s="231">
        <f t="shared" si="2"/>
        <v>77.016666666666666</v>
      </c>
      <c r="D54" s="231">
        <f t="shared" si="3"/>
        <v>66.357468070595814</v>
      </c>
      <c r="E54" s="246">
        <f>'10K'!$E54*(1-$K$2)+H.Marathon!$E54*$K$2</f>
        <v>0.89665868409414973</v>
      </c>
      <c r="F54" s="334">
        <f t="shared" si="4"/>
        <v>86.159880636999546</v>
      </c>
      <c r="G54" s="224">
        <v>48</v>
      </c>
      <c r="H54" s="347" t="s">
        <v>1409</v>
      </c>
      <c r="I54" s="267">
        <v>4621</v>
      </c>
      <c r="J54" s="262" t="s">
        <v>1410</v>
      </c>
      <c r="K54" s="262" t="s">
        <v>1411</v>
      </c>
      <c r="L54" s="262" t="s">
        <v>291</v>
      </c>
      <c r="M54" s="271">
        <v>21521</v>
      </c>
      <c r="N54" s="263"/>
      <c r="O54" s="262" t="s">
        <v>1365</v>
      </c>
      <c r="P54" s="271">
        <v>39152</v>
      </c>
      <c r="Q54" s="263"/>
    </row>
    <row r="55" spans="1:17">
      <c r="A55" s="224">
        <v>49</v>
      </c>
      <c r="B55" s="362">
        <v>4.8402777777777781E-2</v>
      </c>
      <c r="C55" s="231">
        <f t="shared" si="2"/>
        <v>69.7</v>
      </c>
      <c r="D55" s="231">
        <f t="shared" si="3"/>
        <v>67.10800644391577</v>
      </c>
      <c r="E55" s="246">
        <f>'10K'!$E55*(1-$K$2)+H.Marathon!$E55*$K$2</f>
        <v>0.88663042091297972</v>
      </c>
      <c r="F55" s="334">
        <f t="shared" si="4"/>
        <v>96.281214410209131</v>
      </c>
      <c r="G55" s="224">
        <v>49</v>
      </c>
      <c r="H55" s="347" t="s">
        <v>1412</v>
      </c>
      <c r="I55" s="267">
        <v>4182</v>
      </c>
      <c r="J55" s="262" t="s">
        <v>330</v>
      </c>
      <c r="K55" s="262" t="s">
        <v>1413</v>
      </c>
      <c r="L55" s="262" t="s">
        <v>241</v>
      </c>
      <c r="M55" s="271">
        <v>22408</v>
      </c>
      <c r="N55" s="262" t="s">
        <v>1414</v>
      </c>
      <c r="O55" s="262" t="s">
        <v>1415</v>
      </c>
      <c r="P55" s="264">
        <v>40454</v>
      </c>
      <c r="Q55" s="263"/>
    </row>
    <row r="56" spans="1:17">
      <c r="A56" s="224">
        <v>50</v>
      </c>
      <c r="B56" s="362">
        <v>5.4930555555555559E-2</v>
      </c>
      <c r="C56" s="231">
        <f t="shared" si="2"/>
        <v>79.100000000000009</v>
      </c>
      <c r="D56" s="231">
        <f t="shared" si="3"/>
        <v>67.885123581295687</v>
      </c>
      <c r="E56" s="246">
        <f>'10K'!$E56*(1-$K$2)+H.Marathon!$E56*$K$2</f>
        <v>0.87648069062945577</v>
      </c>
      <c r="F56" s="334">
        <f t="shared" si="4"/>
        <v>85.821900861309331</v>
      </c>
      <c r="G56" s="224">
        <v>50</v>
      </c>
      <c r="H56" s="347" t="s">
        <v>1416</v>
      </c>
      <c r="I56" s="267">
        <v>4746</v>
      </c>
      <c r="J56" s="262" t="s">
        <v>1410</v>
      </c>
      <c r="K56" s="262" t="s">
        <v>1411</v>
      </c>
      <c r="L56" s="262" t="s">
        <v>291</v>
      </c>
      <c r="M56" s="271">
        <v>21521</v>
      </c>
      <c r="N56" s="263"/>
      <c r="O56" s="262" t="s">
        <v>1365</v>
      </c>
      <c r="P56" s="271">
        <v>39880</v>
      </c>
      <c r="Q56" s="263"/>
    </row>
    <row r="57" spans="1:17">
      <c r="A57" s="224">
        <v>51</v>
      </c>
      <c r="B57" s="362">
        <v>5.3611111111111109E-2</v>
      </c>
      <c r="C57" s="231">
        <f t="shared" si="2"/>
        <v>77.2</v>
      </c>
      <c r="D57" s="231">
        <f t="shared" si="3"/>
        <v>68.689513267276951</v>
      </c>
      <c r="E57" s="246">
        <f>'10K'!$E57*(1-$K$2)+H.Marathon!$E57*$K$2</f>
        <v>0.8662166489443629</v>
      </c>
      <c r="F57" s="334">
        <f t="shared" si="4"/>
        <v>88.976053455021955</v>
      </c>
      <c r="G57" s="224">
        <v>51</v>
      </c>
      <c r="H57" s="347" t="s">
        <v>1417</v>
      </c>
      <c r="I57" s="267">
        <v>4632</v>
      </c>
      <c r="J57" s="262" t="s">
        <v>304</v>
      </c>
      <c r="K57" s="262" t="s">
        <v>305</v>
      </c>
      <c r="L57" s="262" t="s">
        <v>241</v>
      </c>
      <c r="M57" s="271">
        <v>23483</v>
      </c>
      <c r="N57" s="263" t="s">
        <v>1418</v>
      </c>
      <c r="O57" s="262" t="s">
        <v>1419</v>
      </c>
      <c r="P57" s="271">
        <v>42413</v>
      </c>
      <c r="Q57" s="263"/>
    </row>
    <row r="58" spans="1:17">
      <c r="A58" s="224">
        <v>52</v>
      </c>
      <c r="B58" s="362">
        <v>5.3969907407407404E-2</v>
      </c>
      <c r="C58" s="231">
        <f t="shared" si="2"/>
        <v>77.716666666666669</v>
      </c>
      <c r="D58" s="231">
        <f t="shared" si="3"/>
        <v>69.507398250999799</v>
      </c>
      <c r="E58" s="246">
        <f>'10K'!$E58*(1-$K$2)+H.Marathon!$E58*$K$2</f>
        <v>0.85602398445613159</v>
      </c>
      <c r="F58" s="334">
        <f t="shared" si="4"/>
        <v>89.436926765172373</v>
      </c>
      <c r="G58" s="224">
        <v>52</v>
      </c>
      <c r="H58" s="347" t="s">
        <v>1420</v>
      </c>
      <c r="I58" s="267">
        <v>4663</v>
      </c>
      <c r="J58" s="262" t="s">
        <v>360</v>
      </c>
      <c r="K58" s="262" t="s">
        <v>361</v>
      </c>
      <c r="L58" s="262" t="s">
        <v>241</v>
      </c>
      <c r="M58" s="271">
        <v>18901</v>
      </c>
      <c r="N58" s="262" t="s">
        <v>1383</v>
      </c>
      <c r="O58" s="262" t="s">
        <v>1384</v>
      </c>
      <c r="P58" s="271">
        <v>38236</v>
      </c>
      <c r="Q58" s="263"/>
    </row>
    <row r="59" spans="1:17">
      <c r="A59" s="224">
        <v>53</v>
      </c>
      <c r="B59" s="362">
        <v>5.6504629629629627E-2</v>
      </c>
      <c r="C59" s="231">
        <f t="shared" si="2"/>
        <v>81.36666666666666</v>
      </c>
      <c r="D59" s="231">
        <f t="shared" si="3"/>
        <v>70.35450321717552</v>
      </c>
      <c r="E59" s="246">
        <f>'10K'!$E59*(1-$K$2)+H.Marathon!$E59*$K$2</f>
        <v>0.84571700856633114</v>
      </c>
      <c r="F59" s="334">
        <f t="shared" si="4"/>
        <v>86.466001495914199</v>
      </c>
      <c r="G59" s="224">
        <v>53</v>
      </c>
      <c r="H59" s="347" t="s">
        <v>1421</v>
      </c>
      <c r="I59" s="267">
        <v>4882</v>
      </c>
      <c r="J59" s="262" t="s">
        <v>360</v>
      </c>
      <c r="K59" s="262" t="s">
        <v>361</v>
      </c>
      <c r="L59" s="262" t="s">
        <v>241</v>
      </c>
      <c r="M59" s="271">
        <v>18901</v>
      </c>
      <c r="N59" s="262" t="s">
        <v>1383</v>
      </c>
      <c r="O59" s="262" t="s">
        <v>1384</v>
      </c>
      <c r="P59" s="271">
        <v>38600</v>
      </c>
      <c r="Q59" s="263"/>
    </row>
    <row r="60" spans="1:17">
      <c r="A60" s="224">
        <v>54</v>
      </c>
      <c r="B60" s="362">
        <v>5.949074074074074E-2</v>
      </c>
      <c r="C60" s="231">
        <f t="shared" si="2"/>
        <v>85.666666666666671</v>
      </c>
      <c r="D60" s="231">
        <f t="shared" si="3"/>
        <v>71.217035956331671</v>
      </c>
      <c r="E60" s="246">
        <f>'10K'!$E60*(1-$K$2)+H.Marathon!$E60*$K$2</f>
        <v>0.83547425417260779</v>
      </c>
      <c r="F60" s="334">
        <f t="shared" si="4"/>
        <v>83.132726797274316</v>
      </c>
      <c r="G60" s="224">
        <v>54</v>
      </c>
      <c r="H60" s="347" t="s">
        <v>1422</v>
      </c>
      <c r="I60" s="267">
        <v>5140</v>
      </c>
      <c r="J60" s="262" t="s">
        <v>1423</v>
      </c>
      <c r="K60" s="262" t="s">
        <v>1424</v>
      </c>
      <c r="L60" s="262" t="s">
        <v>241</v>
      </c>
      <c r="M60" s="271">
        <v>15784</v>
      </c>
      <c r="N60" s="262" t="s">
        <v>1383</v>
      </c>
      <c r="O60" s="262" t="s">
        <v>1384</v>
      </c>
      <c r="P60" s="271">
        <v>35674</v>
      </c>
      <c r="Q60" s="263"/>
    </row>
    <row r="61" spans="1:17">
      <c r="A61" s="224">
        <v>55</v>
      </c>
      <c r="B61" s="362">
        <v>5.4675925925925926E-2</v>
      </c>
      <c r="C61" s="231">
        <f t="shared" si="2"/>
        <v>78.733333333333334</v>
      </c>
      <c r="D61" s="231">
        <f t="shared" si="3"/>
        <v>72.110343643391758</v>
      </c>
      <c r="E61" s="246">
        <f>'10K'!$E61*(1-$K$2)+H.Marathon!$E61*$K$2</f>
        <v>0.82512434407809987</v>
      </c>
      <c r="F61" s="334">
        <f t="shared" si="4"/>
        <v>91.588074060192753</v>
      </c>
      <c r="G61" s="224">
        <v>55</v>
      </c>
      <c r="H61" s="347" t="s">
        <v>1425</v>
      </c>
      <c r="I61" s="267">
        <v>4724</v>
      </c>
      <c r="J61" s="262" t="s">
        <v>829</v>
      </c>
      <c r="K61" s="262" t="s">
        <v>830</v>
      </c>
      <c r="L61" s="262" t="s">
        <v>241</v>
      </c>
      <c r="M61" s="271">
        <v>15914</v>
      </c>
      <c r="N61" s="262" t="s">
        <v>1383</v>
      </c>
      <c r="O61" s="262" t="s">
        <v>1384</v>
      </c>
      <c r="P61" s="271">
        <v>36045</v>
      </c>
      <c r="Q61" s="263"/>
    </row>
    <row r="62" spans="1:17">
      <c r="A62" s="224">
        <v>56</v>
      </c>
      <c r="B62" s="362">
        <v>5.5972222222222222E-2</v>
      </c>
      <c r="C62" s="231">
        <f t="shared" si="2"/>
        <v>80.599999999999994</v>
      </c>
      <c r="D62" s="231">
        <f t="shared" si="3"/>
        <v>73.020590763424551</v>
      </c>
      <c r="E62" s="246">
        <f>'10K'!$E62*(1-$K$2)+H.Marathon!$E62*$K$2</f>
        <v>0.81483865547966905</v>
      </c>
      <c r="F62" s="334">
        <f t="shared" si="4"/>
        <v>90.596266455861723</v>
      </c>
      <c r="G62" s="224">
        <v>56</v>
      </c>
      <c r="H62" s="347" t="s">
        <v>1426</v>
      </c>
      <c r="I62" s="267">
        <v>4836</v>
      </c>
      <c r="J62" s="262" t="s">
        <v>1264</v>
      </c>
      <c r="K62" s="262" t="s">
        <v>1265</v>
      </c>
      <c r="L62" s="262" t="s">
        <v>241</v>
      </c>
      <c r="M62" s="271">
        <v>14922</v>
      </c>
      <c r="N62" s="262" t="s">
        <v>1427</v>
      </c>
      <c r="O62" s="262" t="s">
        <v>852</v>
      </c>
      <c r="P62" s="271">
        <v>35385</v>
      </c>
      <c r="Q62" s="263"/>
    </row>
    <row r="63" spans="1:17">
      <c r="A63" s="224">
        <v>57</v>
      </c>
      <c r="B63" s="362">
        <v>5.7951388888888886E-2</v>
      </c>
      <c r="C63" s="231">
        <f t="shared" si="2"/>
        <v>83.449999999999989</v>
      </c>
      <c r="D63" s="231">
        <f t="shared" si="3"/>
        <v>73.964620663985201</v>
      </c>
      <c r="E63" s="246">
        <f>'10K'!$E63*(1-$K$2)+H.Marathon!$E63*$K$2</f>
        <v>0.80443865547966897</v>
      </c>
      <c r="F63" s="334">
        <f t="shared" si="4"/>
        <v>88.633457955644346</v>
      </c>
      <c r="G63" s="224">
        <v>57</v>
      </c>
      <c r="H63" s="347" t="s">
        <v>1428</v>
      </c>
      <c r="I63" s="267">
        <v>5007</v>
      </c>
      <c r="J63" s="262" t="s">
        <v>1429</v>
      </c>
      <c r="K63" s="262" t="s">
        <v>1430</v>
      </c>
      <c r="L63" s="262" t="s">
        <v>578</v>
      </c>
      <c r="M63" s="271">
        <v>20095</v>
      </c>
      <c r="N63" s="263"/>
      <c r="O63" s="262" t="s">
        <v>1338</v>
      </c>
      <c r="P63" s="271">
        <v>41030</v>
      </c>
      <c r="Q63" s="263"/>
    </row>
    <row r="64" spans="1:17">
      <c r="A64" s="224">
        <v>58</v>
      </c>
      <c r="B64" s="362">
        <v>6.2060185185185184E-2</v>
      </c>
      <c r="C64" s="231">
        <f t="shared" si="2"/>
        <v>89.36666666666666</v>
      </c>
      <c r="D64" s="231">
        <f t="shared" si="3"/>
        <v>74.925294059677313</v>
      </c>
      <c r="E64" s="246">
        <f>'10K'!$E64*(1-$K$2)+H.Marathon!$E64*$K$2</f>
        <v>0.79412434407809984</v>
      </c>
      <c r="F64" s="334">
        <f t="shared" si="4"/>
        <v>83.840314128695255</v>
      </c>
      <c r="G64" s="224">
        <v>58</v>
      </c>
      <c r="H64" s="347" t="s">
        <v>1431</v>
      </c>
      <c r="I64" s="267">
        <v>5362</v>
      </c>
      <c r="J64" s="262" t="s">
        <v>847</v>
      </c>
      <c r="K64" s="262" t="s">
        <v>1281</v>
      </c>
      <c r="L64" s="262" t="s">
        <v>241</v>
      </c>
      <c r="M64" s="271">
        <v>9478</v>
      </c>
      <c r="N64" s="263" t="s">
        <v>1432</v>
      </c>
      <c r="O64" s="262" t="s">
        <v>1058</v>
      </c>
      <c r="P64" s="271">
        <v>30766</v>
      </c>
      <c r="Q64" s="263"/>
    </row>
    <row r="65" spans="1:17">
      <c r="A65" s="224">
        <v>59</v>
      </c>
      <c r="B65" s="362">
        <v>5.3703703703703705E-2</v>
      </c>
      <c r="C65" s="231">
        <f t="shared" si="2"/>
        <v>77.333333333333329</v>
      </c>
      <c r="D65" s="231">
        <f t="shared" si="3"/>
        <v>75.920243784871701</v>
      </c>
      <c r="E65" s="246">
        <f>'10K'!$E65*(1-$K$2)+H.Marathon!$E65*$K$2</f>
        <v>0.7837171883773153</v>
      </c>
      <c r="F65" s="334">
        <f t="shared" si="4"/>
        <v>98.172729032161683</v>
      </c>
      <c r="G65" s="224">
        <v>59</v>
      </c>
      <c r="H65" s="347" t="s">
        <v>1433</v>
      </c>
      <c r="I65" s="267">
        <v>4680</v>
      </c>
      <c r="J65" s="270" t="s">
        <v>1055</v>
      </c>
      <c r="K65" s="270" t="s">
        <v>1056</v>
      </c>
      <c r="L65" s="270" t="s">
        <v>241</v>
      </c>
      <c r="M65" s="265">
        <v>23193</v>
      </c>
      <c r="N65" s="267" t="s">
        <v>1434</v>
      </c>
      <c r="O65" s="270" t="s">
        <v>285</v>
      </c>
      <c r="P65" s="265">
        <v>45039</v>
      </c>
      <c r="Q65" s="263"/>
    </row>
    <row r="66" spans="1:17">
      <c r="A66" s="224">
        <v>60</v>
      </c>
      <c r="B66" s="362">
        <v>5.5E-2</v>
      </c>
      <c r="C66" s="231">
        <f t="shared" si="2"/>
        <v>79.2</v>
      </c>
      <c r="D66" s="231">
        <f t="shared" si="3"/>
        <v>76.932736832663622</v>
      </c>
      <c r="E66" s="246">
        <f>'10K'!$E66*(1-$K$2)+H.Marathon!$E66*$K$2</f>
        <v>0.77340287697574617</v>
      </c>
      <c r="F66" s="334">
        <f t="shared" si="4"/>
        <v>97.137293980635889</v>
      </c>
      <c r="G66" s="224">
        <v>60</v>
      </c>
      <c r="H66" s="347" t="s">
        <v>1435</v>
      </c>
      <c r="I66" s="267">
        <v>4752</v>
      </c>
      <c r="J66" s="270" t="s">
        <v>1055</v>
      </c>
      <c r="K66" s="270" t="s">
        <v>1056</v>
      </c>
      <c r="L66" s="262" t="s">
        <v>241</v>
      </c>
      <c r="M66" s="265">
        <v>23193</v>
      </c>
      <c r="N66" s="263" t="s">
        <v>1436</v>
      </c>
      <c r="O66" s="262" t="s">
        <v>988</v>
      </c>
      <c r="P66" s="271">
        <v>45207</v>
      </c>
      <c r="Q66" s="263"/>
    </row>
    <row r="67" spans="1:17">
      <c r="A67" s="224">
        <v>61</v>
      </c>
      <c r="B67" s="362">
        <v>6.0150462962962961E-2</v>
      </c>
      <c r="C67" s="231">
        <f t="shared" si="2"/>
        <v>86.61666666666666</v>
      </c>
      <c r="D67" s="231">
        <f t="shared" si="3"/>
        <v>77.982088681409422</v>
      </c>
      <c r="E67" s="246">
        <f>'10K'!$E67*(1-$K$2)+H.Marathon!$E67*$K$2</f>
        <v>0.76299572127496151</v>
      </c>
      <c r="F67" s="334">
        <f t="shared" si="4"/>
        <v>90.031274213672617</v>
      </c>
      <c r="G67" s="224">
        <v>61</v>
      </c>
      <c r="H67" s="347" t="s">
        <v>1437</v>
      </c>
      <c r="I67" s="267">
        <v>5197</v>
      </c>
      <c r="J67" s="262" t="s">
        <v>1429</v>
      </c>
      <c r="K67" s="262" t="s">
        <v>1430</v>
      </c>
      <c r="L67" s="262" t="s">
        <v>578</v>
      </c>
      <c r="M67" s="271">
        <v>20095</v>
      </c>
      <c r="N67" s="263"/>
      <c r="O67" s="262" t="s">
        <v>1338</v>
      </c>
      <c r="P67" s="271">
        <v>42491</v>
      </c>
      <c r="Q67" s="263"/>
    </row>
    <row r="68" spans="1:17">
      <c r="A68" s="224">
        <v>62</v>
      </c>
      <c r="B68" s="362">
        <v>6.6215277777777776E-2</v>
      </c>
      <c r="C68" s="231">
        <f t="shared" si="2"/>
        <v>95.35</v>
      </c>
      <c r="D68" s="231">
        <f t="shared" si="3"/>
        <v>79.050710193584322</v>
      </c>
      <c r="E68" s="246">
        <f>'10K'!$E68*(1-$K$2)+H.Marathon!$E68*$K$2</f>
        <v>0.75268140987339238</v>
      </c>
      <c r="F68" s="334">
        <f t="shared" si="4"/>
        <v>82.905831351425618</v>
      </c>
      <c r="G68" s="224">
        <v>62</v>
      </c>
      <c r="H68" s="347" t="s">
        <v>1438</v>
      </c>
      <c r="I68" s="267">
        <v>5721</v>
      </c>
      <c r="J68" s="262" t="s">
        <v>1439</v>
      </c>
      <c r="K68" s="262" t="s">
        <v>1440</v>
      </c>
      <c r="L68" s="262" t="s">
        <v>241</v>
      </c>
      <c r="M68" s="271"/>
      <c r="N68" s="262" t="s">
        <v>1383</v>
      </c>
      <c r="O68" s="262" t="s">
        <v>1384</v>
      </c>
      <c r="P68" s="271">
        <v>43710</v>
      </c>
      <c r="Q68" s="263"/>
    </row>
    <row r="69" spans="1:17">
      <c r="A69" s="224">
        <v>63</v>
      </c>
      <c r="B69" s="362">
        <v>6.7025462962962967E-2</v>
      </c>
      <c r="C69" s="231">
        <f t="shared" si="2"/>
        <v>96.51666666666668</v>
      </c>
      <c r="D69" s="231">
        <f t="shared" si="3"/>
        <v>80.159051274549427</v>
      </c>
      <c r="E69" s="246">
        <f>'10K'!$E69*(1-$K$2)+H.Marathon!$E69*$K$2</f>
        <v>0.74227425417260773</v>
      </c>
      <c r="F69" s="334">
        <f t="shared" si="4"/>
        <v>83.052030331082108</v>
      </c>
      <c r="G69" s="224">
        <v>63</v>
      </c>
      <c r="H69" s="347" t="s">
        <v>1441</v>
      </c>
      <c r="I69" s="267">
        <v>5791</v>
      </c>
      <c r="J69" s="262" t="s">
        <v>1442</v>
      </c>
      <c r="K69" s="262" t="s">
        <v>1443</v>
      </c>
      <c r="L69" s="262" t="s">
        <v>241</v>
      </c>
      <c r="M69" s="271">
        <v>6986</v>
      </c>
      <c r="N69" s="262" t="s">
        <v>1444</v>
      </c>
      <c r="O69" s="262" t="s">
        <v>1445</v>
      </c>
      <c r="P69" s="271">
        <v>30051</v>
      </c>
      <c r="Q69" s="263"/>
    </row>
    <row r="70" spans="1:17">
      <c r="A70" s="224">
        <v>64</v>
      </c>
      <c r="B70" s="362">
        <v>6.9305555555555551E-2</v>
      </c>
      <c r="C70" s="231">
        <f t="shared" si="2"/>
        <v>99.8</v>
      </c>
      <c r="D70" s="231">
        <f t="shared" si="3"/>
        <v>81.288601360815093</v>
      </c>
      <c r="E70" s="246">
        <f>'10K'!$E70*(1-$K$2)+H.Marathon!$E70*$K$2</f>
        <v>0.73195994277103871</v>
      </c>
      <c r="F70" s="334">
        <f t="shared" si="4"/>
        <v>81.4515043695542</v>
      </c>
      <c r="G70" s="224">
        <v>64</v>
      </c>
      <c r="H70" s="347" t="s">
        <v>1446</v>
      </c>
      <c r="I70" s="267">
        <v>5988</v>
      </c>
      <c r="J70" s="262" t="s">
        <v>1447</v>
      </c>
      <c r="K70" s="262" t="s">
        <v>1448</v>
      </c>
      <c r="L70" s="262" t="s">
        <v>241</v>
      </c>
      <c r="M70" s="271">
        <v>15383</v>
      </c>
      <c r="N70" s="263" t="s">
        <v>1449</v>
      </c>
      <c r="O70" s="262" t="s">
        <v>1450</v>
      </c>
      <c r="P70" s="271">
        <v>38902</v>
      </c>
      <c r="Q70" s="263"/>
    </row>
    <row r="71" spans="1:17">
      <c r="A71" s="224">
        <v>65</v>
      </c>
      <c r="B71" s="362">
        <v>6.0937499999999999E-2</v>
      </c>
      <c r="C71" s="231">
        <f t="shared" si="2"/>
        <v>87.75</v>
      </c>
      <c r="D71" s="231">
        <f t="shared" si="3"/>
        <v>82.461049373241181</v>
      </c>
      <c r="E71" s="246">
        <f>'10K'!$E71*(1-$K$2)+H.Marathon!$E71*$K$2</f>
        <v>0.72155278707025405</v>
      </c>
      <c r="F71" s="334">
        <f t="shared" si="4"/>
        <v>93.972705838451489</v>
      </c>
      <c r="G71" s="224">
        <v>65</v>
      </c>
      <c r="H71" s="347" t="s">
        <v>1451</v>
      </c>
      <c r="I71" s="267">
        <v>5265</v>
      </c>
      <c r="J71" s="262" t="s">
        <v>360</v>
      </c>
      <c r="K71" s="262" t="s">
        <v>361</v>
      </c>
      <c r="L71" s="262" t="s">
        <v>241</v>
      </c>
      <c r="M71" s="271">
        <v>18901</v>
      </c>
      <c r="N71" s="263" t="s">
        <v>1452</v>
      </c>
      <c r="O71" s="262" t="s">
        <v>1453</v>
      </c>
      <c r="P71" s="271">
        <v>42799</v>
      </c>
      <c r="Q71" s="263"/>
    </row>
    <row r="72" spans="1:17">
      <c r="A72" s="224">
        <v>66</v>
      </c>
      <c r="B72" s="362">
        <v>6.969907407407408E-2</v>
      </c>
      <c r="C72" s="231">
        <f t="shared" si="2"/>
        <v>100.36666666666667</v>
      </c>
      <c r="D72" s="231">
        <f t="shared" si="3"/>
        <v>83.656891514565345</v>
      </c>
      <c r="E72" s="246">
        <f>'10K'!$E72*(1-$K$2)+H.Marathon!$E72*$K$2</f>
        <v>0.71123847566868492</v>
      </c>
      <c r="F72" s="334">
        <f t="shared" si="4"/>
        <v>83.351270190533384</v>
      </c>
      <c r="G72" s="224">
        <v>66</v>
      </c>
      <c r="H72" s="347" t="s">
        <v>1454</v>
      </c>
      <c r="I72" s="267">
        <v>6022</v>
      </c>
      <c r="J72" s="262" t="s">
        <v>1455</v>
      </c>
      <c r="K72" s="262" t="s">
        <v>1456</v>
      </c>
      <c r="L72" s="262" t="s">
        <v>241</v>
      </c>
      <c r="M72" s="271">
        <v>13405</v>
      </c>
      <c r="N72" s="263" t="s">
        <v>1330</v>
      </c>
      <c r="O72" s="262" t="s">
        <v>1331</v>
      </c>
      <c r="P72" s="271">
        <v>37793</v>
      </c>
      <c r="Q72" s="263"/>
    </row>
    <row r="73" spans="1:17">
      <c r="A73" s="224">
        <v>67</v>
      </c>
      <c r="B73" s="362">
        <v>7.1412037037037038E-2</v>
      </c>
      <c r="C73" s="231">
        <f t="shared" si="2"/>
        <v>102.83333333333333</v>
      </c>
      <c r="D73" s="231">
        <f t="shared" si="3"/>
        <v>84.899173745153448</v>
      </c>
      <c r="E73" s="246">
        <f>'10K'!$E73*(1-$K$2)+H.Marathon!$E73*$K$2</f>
        <v>0.70083131996790038</v>
      </c>
      <c r="F73" s="334">
        <f t="shared" si="4"/>
        <v>82.559974468544681</v>
      </c>
      <c r="G73" s="224">
        <v>67</v>
      </c>
      <c r="H73" s="347" t="s">
        <v>1457</v>
      </c>
      <c r="I73" s="267">
        <v>6170</v>
      </c>
      <c r="J73" s="270" t="s">
        <v>1458</v>
      </c>
      <c r="K73" s="270" t="s">
        <v>1459</v>
      </c>
      <c r="L73" s="270" t="s">
        <v>241</v>
      </c>
      <c r="M73" s="271">
        <v>7758</v>
      </c>
      <c r="N73" s="366" t="s">
        <v>1460</v>
      </c>
      <c r="O73" s="366" t="s">
        <v>1461</v>
      </c>
      <c r="P73" s="367">
        <v>32320</v>
      </c>
      <c r="Q73" s="263"/>
    </row>
    <row r="74" spans="1:17">
      <c r="A74" s="224">
        <v>68</v>
      </c>
      <c r="B74" s="362">
        <v>7.6296296296296293E-2</v>
      </c>
      <c r="C74" s="231">
        <f t="shared" si="2"/>
        <v>109.86666666666666</v>
      </c>
      <c r="D74" s="231">
        <f t="shared" si="3"/>
        <v>86.167319938339261</v>
      </c>
      <c r="E74" s="246">
        <f>'10K'!$E74*(1-$K$2)+H.Marathon!$E74*$K$2</f>
        <v>0.69051700856633103</v>
      </c>
      <c r="F74" s="334">
        <f t="shared" si="4"/>
        <v>78.428992662323367</v>
      </c>
      <c r="G74" s="224">
        <v>68</v>
      </c>
      <c r="H74" s="368" t="s">
        <v>1462</v>
      </c>
      <c r="I74" s="267">
        <v>6592</v>
      </c>
      <c r="J74" s="270" t="s">
        <v>1458</v>
      </c>
      <c r="K74" s="270" t="s">
        <v>1459</v>
      </c>
      <c r="L74" s="270" t="s">
        <v>241</v>
      </c>
      <c r="M74" s="271">
        <v>7758</v>
      </c>
      <c r="N74" s="366" t="s">
        <v>1460</v>
      </c>
      <c r="O74" s="366" t="s">
        <v>1461</v>
      </c>
      <c r="P74" s="367">
        <v>32698</v>
      </c>
      <c r="Q74" s="263"/>
    </row>
    <row r="75" spans="1:17">
      <c r="A75" s="224">
        <v>69</v>
      </c>
      <c r="B75" s="362">
        <v>7.3287037037037039E-2</v>
      </c>
      <c r="C75" s="231">
        <f t="shared" si="2"/>
        <v>105.53333333333333</v>
      </c>
      <c r="D75" s="231">
        <f t="shared" ref="D75:D106" si="5">E$4/E75</f>
        <v>87.485866804171678</v>
      </c>
      <c r="E75" s="246">
        <f>'10K'!$E75*(1-$K$2)+H.Marathon!$E75*$K$2</f>
        <v>0.68010985286554648</v>
      </c>
      <c r="F75" s="334">
        <f t="shared" si="4"/>
        <v>82.898799877610557</v>
      </c>
      <c r="G75" s="224">
        <v>69</v>
      </c>
      <c r="H75" s="347" t="s">
        <v>1463</v>
      </c>
      <c r="I75" s="267">
        <v>6332</v>
      </c>
      <c r="J75" s="262" t="s">
        <v>1464</v>
      </c>
      <c r="K75" s="262" t="s">
        <v>1465</v>
      </c>
      <c r="L75" s="270" t="s">
        <v>241</v>
      </c>
      <c r="M75" s="271">
        <v>14825</v>
      </c>
      <c r="N75" s="263" t="s">
        <v>1383</v>
      </c>
      <c r="O75" s="262" t="s">
        <v>1466</v>
      </c>
      <c r="P75" s="271">
        <v>40063</v>
      </c>
      <c r="Q75" s="263"/>
    </row>
    <row r="76" spans="1:17">
      <c r="A76" s="224">
        <v>70</v>
      </c>
      <c r="B76" s="362">
        <v>6.5694444444444444E-2</v>
      </c>
      <c r="C76" s="231">
        <f t="shared" si="2"/>
        <v>94.6</v>
      </c>
      <c r="D76" s="231">
        <f t="shared" si="5"/>
        <v>88.833078628666854</v>
      </c>
      <c r="E76" s="246">
        <f>'10K'!$E76*(1-$K$2)+H.Marathon!$E76*$K$2</f>
        <v>0.66979554146397746</v>
      </c>
      <c r="F76" s="334">
        <f t="shared" si="4"/>
        <v>93.903888613812754</v>
      </c>
      <c r="G76" s="224">
        <v>70</v>
      </c>
      <c r="H76" s="347" t="s">
        <v>1467</v>
      </c>
      <c r="I76" s="267">
        <v>5676</v>
      </c>
      <c r="J76" s="262" t="s">
        <v>382</v>
      </c>
      <c r="K76" s="262" t="s">
        <v>383</v>
      </c>
      <c r="L76" s="270" t="s">
        <v>241</v>
      </c>
      <c r="M76" s="271">
        <v>17637</v>
      </c>
      <c r="N76" s="263" t="s">
        <v>1436</v>
      </c>
      <c r="O76" s="262" t="s">
        <v>988</v>
      </c>
      <c r="P76" s="271">
        <v>43380</v>
      </c>
      <c r="Q76" s="263"/>
    </row>
    <row r="77" spans="1:17">
      <c r="A77" s="224">
        <v>71</v>
      </c>
      <c r="B77" s="362">
        <v>8.1145833333333334E-2</v>
      </c>
      <c r="C77" s="231">
        <f t="shared" si="2"/>
        <v>116.85</v>
      </c>
      <c r="D77" s="231">
        <f t="shared" si="5"/>
        <v>90.235134989727158</v>
      </c>
      <c r="E77" s="246">
        <f>'10K'!$E77*(1-$K$2)+H.Marathon!$E77*$K$2</f>
        <v>0.65938838576319292</v>
      </c>
      <c r="F77" s="334">
        <f t="shared" ref="F77:F83" si="6">100*(D77/C77)</f>
        <v>77.223050911191407</v>
      </c>
      <c r="G77" s="224">
        <v>71</v>
      </c>
      <c r="H77" s="347" t="s">
        <v>1468</v>
      </c>
      <c r="I77" s="267">
        <v>7011</v>
      </c>
      <c r="J77" s="369" t="s">
        <v>1469</v>
      </c>
      <c r="K77" s="369" t="s">
        <v>1470</v>
      </c>
      <c r="L77" s="270" t="s">
        <v>241</v>
      </c>
      <c r="M77" s="271">
        <v>8453</v>
      </c>
      <c r="N77" s="263" t="s">
        <v>1471</v>
      </c>
      <c r="O77" s="262" t="s">
        <v>1472</v>
      </c>
      <c r="P77" s="271">
        <v>34552</v>
      </c>
      <c r="Q77" s="263"/>
    </row>
    <row r="78" spans="1:17">
      <c r="A78" s="224">
        <v>72</v>
      </c>
      <c r="B78" s="362">
        <v>8.4120370370370373E-2</v>
      </c>
      <c r="C78" s="231">
        <f t="shared" ref="C78:C86" si="7">B78*1440</f>
        <v>121.13333333333334</v>
      </c>
      <c r="D78" s="231">
        <f t="shared" si="5"/>
        <v>91.66904418192847</v>
      </c>
      <c r="E78" s="246">
        <f>'10K'!$E78*(1-$K$2)+H.Marathon!$E78*$K$2</f>
        <v>0.64907407436162357</v>
      </c>
      <c r="F78" s="334">
        <f t="shared" si="6"/>
        <v>75.676150948207322</v>
      </c>
      <c r="G78" s="224">
        <v>72</v>
      </c>
      <c r="H78" s="347" t="s">
        <v>1473</v>
      </c>
      <c r="I78" s="267">
        <v>7268</v>
      </c>
      <c r="J78" s="369" t="s">
        <v>402</v>
      </c>
      <c r="K78" s="369" t="s">
        <v>403</v>
      </c>
      <c r="L78" s="270" t="s">
        <v>241</v>
      </c>
      <c r="M78" s="271">
        <v>3552</v>
      </c>
      <c r="N78" s="263" t="s">
        <v>1474</v>
      </c>
      <c r="O78" s="262" t="s">
        <v>891</v>
      </c>
      <c r="P78" s="271">
        <v>29870</v>
      </c>
      <c r="Q78" s="263"/>
    </row>
    <row r="79" spans="1:17">
      <c r="A79" s="224">
        <v>73</v>
      </c>
      <c r="B79" s="362">
        <v>8.3020833333333335E-2</v>
      </c>
      <c r="C79" s="231">
        <f t="shared" si="7"/>
        <v>119.55</v>
      </c>
      <c r="D79" s="231">
        <f t="shared" si="5"/>
        <v>93.162802489848687</v>
      </c>
      <c r="E79" s="246">
        <f>'10K'!$E79*(1-$K$2)+H.Marathon!$E79*$K$2</f>
        <v>0.63866691866083902</v>
      </c>
      <c r="F79" s="334">
        <f t="shared" si="6"/>
        <v>77.927898360392049</v>
      </c>
      <c r="G79" s="224">
        <v>73</v>
      </c>
      <c r="H79" s="347" t="s">
        <v>1475</v>
      </c>
      <c r="I79" s="267">
        <v>7173</v>
      </c>
      <c r="J79" s="369" t="s">
        <v>402</v>
      </c>
      <c r="K79" s="369" t="s">
        <v>403</v>
      </c>
      <c r="L79" s="270" t="s">
        <v>241</v>
      </c>
      <c r="M79" s="271">
        <v>3552</v>
      </c>
      <c r="N79" s="263" t="s">
        <v>1474</v>
      </c>
      <c r="O79" s="262" t="s">
        <v>891</v>
      </c>
      <c r="P79" s="271">
        <v>30234</v>
      </c>
      <c r="Q79" s="263"/>
    </row>
    <row r="80" spans="1:17">
      <c r="A80" s="224">
        <v>74</v>
      </c>
      <c r="B80" s="362">
        <v>7.9826388888888891E-2</v>
      </c>
      <c r="C80" s="231">
        <f t="shared" si="7"/>
        <v>114.95</v>
      </c>
      <c r="D80" s="231">
        <f t="shared" si="5"/>
        <v>94.69205556339675</v>
      </c>
      <c r="E80" s="246">
        <f>'10K'!$E80*(1-$K$2)+H.Marathon!$E80*$K$2</f>
        <v>0.62835260725926989</v>
      </c>
      <c r="F80" s="334">
        <f t="shared" si="6"/>
        <v>82.376733852454763</v>
      </c>
      <c r="G80" s="224">
        <v>74</v>
      </c>
      <c r="H80" s="347" t="s">
        <v>1476</v>
      </c>
      <c r="I80" s="267">
        <v>6897</v>
      </c>
      <c r="J80" s="369" t="s">
        <v>407</v>
      </c>
      <c r="K80" s="369" t="s">
        <v>408</v>
      </c>
      <c r="L80" s="270" t="s">
        <v>241</v>
      </c>
      <c r="M80" s="271">
        <v>2522</v>
      </c>
      <c r="N80" s="263" t="s">
        <v>1477</v>
      </c>
      <c r="O80" s="262" t="s">
        <v>1478</v>
      </c>
      <c r="P80" s="271">
        <v>29729</v>
      </c>
      <c r="Q80" s="263"/>
    </row>
    <row r="81" spans="1:17">
      <c r="A81" s="224">
        <v>75</v>
      </c>
      <c r="B81" s="362">
        <v>6.789351851851852E-2</v>
      </c>
      <c r="C81" s="231">
        <f t="shared" si="7"/>
        <v>97.766666666666666</v>
      </c>
      <c r="D81" s="231">
        <f t="shared" si="5"/>
        <v>96.286816012543497</v>
      </c>
      <c r="E81" s="246">
        <f>'10K'!$E81*(1-$K$2)+H.Marathon!$E81*$K$2</f>
        <v>0.61794545155848546</v>
      </c>
      <c r="F81" s="334">
        <f t="shared" si="6"/>
        <v>98.486344370143371</v>
      </c>
      <c r="G81" s="224">
        <v>75</v>
      </c>
      <c r="H81" s="347" t="s">
        <v>1479</v>
      </c>
      <c r="I81" s="267">
        <v>5866</v>
      </c>
      <c r="J81" s="262" t="s">
        <v>382</v>
      </c>
      <c r="K81" s="262" t="s">
        <v>383</v>
      </c>
      <c r="L81" s="270" t="s">
        <v>241</v>
      </c>
      <c r="M81" s="271">
        <v>17637</v>
      </c>
      <c r="N81" s="263" t="s">
        <v>1436</v>
      </c>
      <c r="O81" s="262" t="s">
        <v>988</v>
      </c>
      <c r="P81" s="271">
        <v>45207</v>
      </c>
      <c r="Q81" s="263"/>
    </row>
    <row r="82" spans="1:17">
      <c r="A82" s="224">
        <v>76</v>
      </c>
      <c r="B82" s="362">
        <v>8.098379629629629E-2</v>
      </c>
      <c r="C82" s="231">
        <f t="shared" si="7"/>
        <v>116.61666666666666</v>
      </c>
      <c r="D82" s="231">
        <f t="shared" si="5"/>
        <v>97.966155555829062</v>
      </c>
      <c r="E82" s="246">
        <f>'10K'!$E82*(1-$K$2)+H.Marathon!$E82*$K$2</f>
        <v>0.60735260725926998</v>
      </c>
      <c r="F82" s="334">
        <f t="shared" si="6"/>
        <v>84.006993473627901</v>
      </c>
      <c r="G82" s="224">
        <v>76</v>
      </c>
      <c r="H82" s="347" t="s">
        <v>1480</v>
      </c>
      <c r="I82" s="267">
        <v>6997</v>
      </c>
      <c r="J82" s="369" t="s">
        <v>407</v>
      </c>
      <c r="K82" s="369" t="s">
        <v>408</v>
      </c>
      <c r="L82" s="270" t="s">
        <v>241</v>
      </c>
      <c r="M82" s="271">
        <v>2522</v>
      </c>
      <c r="N82" s="263" t="s">
        <v>1477</v>
      </c>
      <c r="O82" s="262" t="s">
        <v>1478</v>
      </c>
      <c r="P82" s="271">
        <v>30457</v>
      </c>
      <c r="Q82" s="263"/>
    </row>
    <row r="83" spans="1:17">
      <c r="A83" s="224">
        <v>77</v>
      </c>
      <c r="B83" s="362">
        <v>7.8437499999999993E-2</v>
      </c>
      <c r="C83" s="231">
        <f t="shared" si="7"/>
        <v>112.94999999999999</v>
      </c>
      <c r="D83" s="231">
        <f t="shared" si="5"/>
        <v>99.829365848337531</v>
      </c>
      <c r="E83" s="246">
        <f>'10K'!$E83*(1-$K$2)+H.Marathon!$E83*$K$2</f>
        <v>0.59601700856633122</v>
      </c>
      <c r="F83" s="334">
        <f t="shared" si="6"/>
        <v>88.383679369931428</v>
      </c>
      <c r="G83" s="224">
        <v>77</v>
      </c>
      <c r="H83" s="347" t="s">
        <v>1481</v>
      </c>
      <c r="I83" s="267">
        <v>6777</v>
      </c>
      <c r="J83" s="369" t="s">
        <v>407</v>
      </c>
      <c r="K83" s="369" t="s">
        <v>408</v>
      </c>
      <c r="L83" s="270" t="s">
        <v>241</v>
      </c>
      <c r="M83" s="271">
        <v>2522</v>
      </c>
      <c r="N83" s="263" t="s">
        <v>1477</v>
      </c>
      <c r="O83" s="262" t="s">
        <v>1478</v>
      </c>
      <c r="P83" s="271">
        <v>30828</v>
      </c>
      <c r="Q83" s="263"/>
    </row>
    <row r="84" spans="1:17">
      <c r="A84" s="224">
        <v>78</v>
      </c>
      <c r="B84" s="370" t="s">
        <v>1484</v>
      </c>
      <c r="C84" s="231"/>
      <c r="D84" s="231">
        <f t="shared" si="5"/>
        <v>101.92171075283822</v>
      </c>
      <c r="E84" s="246">
        <f>'10K'!$E84*(1-$K$2)+H.Marathon!$E84*$K$2</f>
        <v>0.58378140987339244</v>
      </c>
      <c r="F84" s="334"/>
      <c r="G84" s="224">
        <v>78</v>
      </c>
      <c r="H84" s="280"/>
      <c r="I84" s="224"/>
      <c r="J84" s="224"/>
      <c r="K84" s="224"/>
      <c r="L84" s="224"/>
      <c r="M84" s="224"/>
      <c r="N84" s="224"/>
      <c r="O84" s="224"/>
      <c r="P84" s="224"/>
      <c r="Q84" s="263"/>
    </row>
    <row r="85" spans="1:17">
      <c r="A85" s="224">
        <v>79</v>
      </c>
      <c r="B85" s="370" t="s">
        <v>1484</v>
      </c>
      <c r="C85" s="231"/>
      <c r="D85" s="231">
        <f t="shared" si="5"/>
        <v>104.23391144855835</v>
      </c>
      <c r="E85" s="246">
        <f>'10K'!$E85*(1-$K$2)+H.Marathon!$E85*$K$2</f>
        <v>0.57083149977888448</v>
      </c>
      <c r="F85" s="334"/>
      <c r="G85" s="224">
        <v>79</v>
      </c>
      <c r="H85" s="363"/>
      <c r="I85" s="224"/>
      <c r="J85" s="224"/>
      <c r="K85" s="224"/>
      <c r="L85" s="224"/>
      <c r="M85" s="224"/>
      <c r="N85" s="224"/>
      <c r="O85" s="224"/>
      <c r="P85" s="224"/>
      <c r="Q85" s="224"/>
    </row>
    <row r="86" spans="1:17">
      <c r="A86" s="224">
        <v>80</v>
      </c>
      <c r="B86" s="362">
        <v>0.1017824074074074</v>
      </c>
      <c r="C86" s="231">
        <f t="shared" si="7"/>
        <v>146.56666666666666</v>
      </c>
      <c r="D86" s="231">
        <f t="shared" si="5"/>
        <v>106.81073296758751</v>
      </c>
      <c r="E86" s="246">
        <f>'10K'!$E86*(1-$K$2)+H.Marathon!$E86*$K$2</f>
        <v>0.55706012258202275</v>
      </c>
      <c r="F86" s="334">
        <f>100*(D86/C86)</f>
        <v>72.875187378385846</v>
      </c>
      <c r="G86" s="224">
        <v>80</v>
      </c>
      <c r="H86" s="347" t="s">
        <v>1482</v>
      </c>
      <c r="I86" s="267">
        <v>8794</v>
      </c>
      <c r="J86" s="369" t="s">
        <v>665</v>
      </c>
      <c r="K86" s="369" t="s">
        <v>666</v>
      </c>
      <c r="L86" s="270" t="s">
        <v>241</v>
      </c>
      <c r="M86" s="271">
        <v>535</v>
      </c>
      <c r="N86" s="263" t="s">
        <v>1483</v>
      </c>
      <c r="O86" s="263" t="s">
        <v>426</v>
      </c>
      <c r="P86" s="271">
        <v>30016</v>
      </c>
      <c r="Q86" s="224"/>
    </row>
    <row r="87" spans="1:17">
      <c r="A87" s="224">
        <v>81</v>
      </c>
      <c r="B87" s="361"/>
      <c r="C87" s="231"/>
      <c r="D87" s="231">
        <f t="shared" si="5"/>
        <v>109.6999163538098</v>
      </c>
      <c r="E87" s="246">
        <f>'10K'!$E87*(1-$K$2)+H.Marathon!$E87*$K$2</f>
        <v>0.54238874538516102</v>
      </c>
      <c r="F87" s="334"/>
      <c r="G87" s="224">
        <v>81</v>
      </c>
      <c r="H87" s="280"/>
      <c r="I87" s="224"/>
      <c r="J87" s="224"/>
      <c r="K87" s="224"/>
      <c r="L87" s="224"/>
      <c r="M87" s="224"/>
      <c r="N87" s="224"/>
      <c r="O87" s="224"/>
      <c r="P87" s="224"/>
      <c r="Q87" s="224"/>
    </row>
    <row r="88" spans="1:17">
      <c r="A88" s="224">
        <v>82</v>
      </c>
      <c r="B88" s="361"/>
      <c r="C88" s="231"/>
      <c r="D88" s="231">
        <f t="shared" si="5"/>
        <v>112.90563701984404</v>
      </c>
      <c r="E88" s="246">
        <f>'10K'!$E88*(1-$K$2)+H.Marathon!$E88*$K$2</f>
        <v>0.52698874538516105</v>
      </c>
      <c r="F88" s="334"/>
      <c r="G88" s="224">
        <v>82</v>
      </c>
      <c r="H88" s="280"/>
      <c r="I88" s="224"/>
      <c r="J88" s="224"/>
      <c r="K88" s="224"/>
      <c r="L88" s="224"/>
      <c r="M88" s="224"/>
      <c r="N88" s="224"/>
      <c r="O88" s="224"/>
      <c r="P88" s="224"/>
      <c r="Q88" s="224"/>
    </row>
    <row r="89" spans="1:17">
      <c r="A89" s="224">
        <v>83</v>
      </c>
      <c r="B89" s="361"/>
      <c r="C89" s="231"/>
      <c r="D89" s="231">
        <f t="shared" si="5"/>
        <v>116.48977717218982</v>
      </c>
      <c r="E89" s="246">
        <f>'10K'!$E89*(1-$K$2)+H.Marathon!$E89*$K$2</f>
        <v>0.5107744339835919</v>
      </c>
      <c r="F89" s="334"/>
      <c r="G89" s="224">
        <v>83</v>
      </c>
      <c r="H89" s="280"/>
      <c r="I89" s="224"/>
      <c r="J89" s="224"/>
      <c r="K89" s="224"/>
      <c r="L89" s="224"/>
      <c r="M89" s="224"/>
      <c r="N89" s="224"/>
      <c r="O89" s="224"/>
      <c r="P89" s="224"/>
      <c r="Q89" s="224"/>
    </row>
    <row r="90" spans="1:17">
      <c r="A90" s="224">
        <v>84</v>
      </c>
      <c r="B90" s="361"/>
      <c r="C90" s="231"/>
      <c r="D90" s="231">
        <f t="shared" si="5"/>
        <v>120.50909796032786</v>
      </c>
      <c r="E90" s="246">
        <f>'10K'!$E90*(1-$K$2)+H.Marathon!$E90*$K$2</f>
        <v>0.493738655479669</v>
      </c>
      <c r="F90" s="334"/>
      <c r="G90" s="224">
        <v>84</v>
      </c>
      <c r="H90" s="280"/>
      <c r="I90" s="224"/>
      <c r="J90" s="224"/>
      <c r="K90" s="224"/>
      <c r="L90" s="224"/>
      <c r="M90" s="224"/>
      <c r="N90" s="224"/>
      <c r="O90" s="224"/>
      <c r="P90" s="224"/>
      <c r="Q90" s="224"/>
    </row>
    <row r="91" spans="1:17">
      <c r="A91" s="224">
        <v>85</v>
      </c>
      <c r="B91" s="361"/>
      <c r="C91" s="231"/>
      <c r="D91" s="231">
        <f t="shared" si="5"/>
        <v>125.05178694628404</v>
      </c>
      <c r="E91" s="246">
        <f>'10K'!$E91*(1-$K$2)+H.Marathon!$E91*$K$2</f>
        <v>0.47580287697574614</v>
      </c>
      <c r="F91" s="334"/>
      <c r="G91" s="224">
        <v>85</v>
      </c>
      <c r="H91" s="280"/>
      <c r="I91" s="224"/>
      <c r="J91" s="224"/>
      <c r="K91" s="224"/>
      <c r="L91" s="224"/>
      <c r="M91" s="224"/>
      <c r="N91" s="224"/>
      <c r="O91" s="224"/>
      <c r="P91" s="224"/>
      <c r="Q91" s="224"/>
    </row>
    <row r="92" spans="1:17">
      <c r="A92" s="224">
        <v>86</v>
      </c>
      <c r="B92" s="361"/>
      <c r="C92" s="231"/>
      <c r="D92" s="231">
        <f t="shared" si="5"/>
        <v>130.15749749124845</v>
      </c>
      <c r="E92" s="246">
        <f>'10K'!$E92*(1-$K$2)+H.Marathon!$E92*$K$2</f>
        <v>0.45713847566868493</v>
      </c>
      <c r="F92" s="334"/>
      <c r="G92" s="224">
        <v>86</v>
      </c>
      <c r="H92" s="280"/>
      <c r="I92" s="224"/>
      <c r="J92" s="224"/>
      <c r="K92" s="224"/>
      <c r="L92" s="224"/>
      <c r="M92" s="224"/>
      <c r="N92" s="224"/>
      <c r="O92" s="224"/>
      <c r="P92" s="224"/>
      <c r="Q92" s="224"/>
    </row>
    <row r="93" spans="1:17">
      <c r="A93" s="224">
        <v>87</v>
      </c>
      <c r="B93" s="361"/>
      <c r="C93" s="231"/>
      <c r="D93" s="231">
        <f t="shared" si="5"/>
        <v>135.95035467181069</v>
      </c>
      <c r="E93" s="246">
        <f>'10K'!$E93*(1-$K$2)+H.Marathon!$E93*$K$2</f>
        <v>0.43765976296005449</v>
      </c>
      <c r="F93" s="334"/>
      <c r="G93" s="224">
        <v>87</v>
      </c>
      <c r="H93" s="280"/>
      <c r="I93" s="224"/>
      <c r="J93" s="224"/>
      <c r="K93" s="224"/>
      <c r="L93" s="224"/>
      <c r="M93" s="224"/>
      <c r="N93" s="224"/>
      <c r="O93" s="224"/>
      <c r="P93" s="224"/>
      <c r="Q93" s="224"/>
    </row>
    <row r="94" spans="1:17">
      <c r="A94" s="224">
        <v>88</v>
      </c>
      <c r="B94" s="361"/>
      <c r="C94" s="231"/>
      <c r="D94" s="231">
        <f t="shared" si="5"/>
        <v>142.59219370546845</v>
      </c>
      <c r="E94" s="246">
        <f>'10K'!$E94*(1-$K$2)+H.Marathon!$E94*$K$2</f>
        <v>0.41727389455063951</v>
      </c>
      <c r="F94" s="334"/>
      <c r="G94" s="224">
        <v>88</v>
      </c>
      <c r="H94" s="280"/>
      <c r="I94" s="224"/>
      <c r="J94" s="224"/>
      <c r="K94" s="224"/>
      <c r="L94" s="224"/>
      <c r="M94" s="224"/>
      <c r="N94" s="224"/>
      <c r="O94" s="224"/>
      <c r="P94" s="224"/>
      <c r="Q94" s="224"/>
    </row>
    <row r="95" spans="1:17">
      <c r="A95" s="224">
        <v>89</v>
      </c>
      <c r="B95" s="371"/>
      <c r="C95" s="231"/>
      <c r="D95" s="231">
        <f t="shared" si="5"/>
        <v>150.19206788642634</v>
      </c>
      <c r="E95" s="246">
        <f>'10K'!$E95*(1-$K$2)+H.Marathon!$E95*$K$2</f>
        <v>0.39615940333808619</v>
      </c>
      <c r="F95" s="334"/>
      <c r="G95" s="224">
        <v>89</v>
      </c>
      <c r="H95" s="280"/>
      <c r="I95" s="224"/>
      <c r="J95" s="224"/>
      <c r="K95" s="224"/>
      <c r="L95" s="224"/>
      <c r="M95" s="224"/>
      <c r="N95" s="224"/>
      <c r="O95" s="224"/>
      <c r="P95" s="224"/>
      <c r="Q95" s="224"/>
    </row>
    <row r="96" spans="1:17">
      <c r="A96" s="224">
        <v>90</v>
      </c>
      <c r="B96" s="371"/>
      <c r="C96" s="231"/>
      <c r="D96" s="231">
        <f t="shared" si="5"/>
        <v>158.98983728533616</v>
      </c>
      <c r="E96" s="246">
        <f>'10K'!$E96*(1-$K$2)+H.Marathon!$E96*$K$2</f>
        <v>0.37423775642474832</v>
      </c>
      <c r="F96" s="334"/>
      <c r="G96" s="224">
        <v>90</v>
      </c>
      <c r="H96" s="280"/>
      <c r="I96" s="224"/>
      <c r="J96" s="224"/>
      <c r="K96" s="224"/>
      <c r="L96" s="224"/>
      <c r="M96" s="224"/>
      <c r="N96" s="224"/>
      <c r="O96" s="224"/>
      <c r="P96" s="224"/>
      <c r="Q96" s="224"/>
    </row>
    <row r="97" spans="1:17">
      <c r="A97" s="224">
        <v>91</v>
      </c>
      <c r="B97" s="360"/>
      <c r="C97" s="231"/>
      <c r="D97" s="231">
        <f t="shared" si="5"/>
        <v>169.3218427453848</v>
      </c>
      <c r="E97" s="246">
        <f>'10K'!$E97*(1-$K$2)+H.Marathon!$E97*$K$2</f>
        <v>0.35140179810984129</v>
      </c>
      <c r="F97" s="334"/>
      <c r="G97" s="224">
        <v>91</v>
      </c>
      <c r="H97" s="280"/>
      <c r="I97" s="224"/>
      <c r="J97" s="224"/>
      <c r="K97" s="224"/>
      <c r="L97" s="224"/>
      <c r="M97" s="224"/>
      <c r="N97" s="224"/>
      <c r="O97" s="224"/>
      <c r="P97" s="224"/>
      <c r="Q97" s="224"/>
    </row>
    <row r="98" spans="1:17">
      <c r="A98" s="224">
        <v>92</v>
      </c>
      <c r="B98" s="360"/>
      <c r="C98" s="231"/>
      <c r="D98" s="231">
        <f t="shared" si="5"/>
        <v>181.48855053184977</v>
      </c>
      <c r="E98" s="246">
        <f>'10K'!$E98*(1-$K$2)+H.Marathon!$E98*$K$2</f>
        <v>0.3278443726925806</v>
      </c>
      <c r="F98" s="334"/>
      <c r="G98" s="224">
        <v>92</v>
      </c>
      <c r="H98" s="280"/>
      <c r="I98" s="224"/>
      <c r="J98" s="224"/>
      <c r="K98" s="224"/>
      <c r="L98" s="224"/>
      <c r="M98" s="224"/>
      <c r="N98" s="224"/>
      <c r="O98" s="224"/>
      <c r="P98" s="224"/>
      <c r="Q98" s="224"/>
    </row>
    <row r="99" spans="1:17">
      <c r="A99" s="224">
        <v>93</v>
      </c>
      <c r="B99" s="360"/>
      <c r="C99" s="231"/>
      <c r="D99" s="231">
        <f t="shared" si="5"/>
        <v>196.06380597937317</v>
      </c>
      <c r="E99" s="246">
        <f>'10K'!$E99*(1-$K$2)+H.Marathon!$E99*$K$2</f>
        <v>0.30347263587375062</v>
      </c>
      <c r="F99" s="334"/>
      <c r="G99" s="224">
        <v>93</v>
      </c>
      <c r="H99" s="280"/>
      <c r="I99" s="224"/>
      <c r="J99" s="224"/>
      <c r="K99" s="224"/>
      <c r="L99" s="224"/>
      <c r="M99" s="224"/>
      <c r="N99" s="224"/>
      <c r="O99" s="224"/>
      <c r="P99" s="224"/>
      <c r="Q99" s="224"/>
    </row>
    <row r="100" spans="1:17">
      <c r="A100" s="224">
        <v>94</v>
      </c>
      <c r="B100" s="360"/>
      <c r="C100" s="231"/>
      <c r="D100" s="231">
        <f t="shared" si="5"/>
        <v>213.80836389469243</v>
      </c>
      <c r="E100" s="246">
        <f>'10K'!$E100*(1-$K$2)+H.Marathon!$E100*$K$2</f>
        <v>0.27828658765335151</v>
      </c>
      <c r="F100" s="334"/>
      <c r="G100" s="224">
        <v>94</v>
      </c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</row>
    <row r="101" spans="1:17">
      <c r="A101" s="224">
        <v>95</v>
      </c>
      <c r="B101" s="360"/>
      <c r="C101" s="231"/>
      <c r="D101" s="231">
        <f t="shared" si="5"/>
        <v>235.93675382065487</v>
      </c>
      <c r="E101" s="246">
        <f>'10K'!$E101*(1-$K$2)+H.Marathon!$E101*$K$2</f>
        <v>0.25218622803138324</v>
      </c>
      <c r="F101" s="334"/>
      <c r="G101" s="224">
        <v>95</v>
      </c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</row>
    <row r="102" spans="1:17">
      <c r="A102" s="224">
        <v>96</v>
      </c>
      <c r="B102" s="360"/>
      <c r="C102" s="231"/>
      <c r="D102" s="231">
        <f t="shared" si="5"/>
        <v>264.01685294977295</v>
      </c>
      <c r="E102" s="246">
        <f>'10K'!$E102*(1-$K$2)+H.Marathon!$E102*$K$2</f>
        <v>0.2253644013070612</v>
      </c>
      <c r="F102" s="334"/>
      <c r="G102" s="224">
        <v>96</v>
      </c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</row>
    <row r="103" spans="1:17">
      <c r="A103" s="224">
        <v>97</v>
      </c>
      <c r="B103" s="360"/>
      <c r="C103" s="231"/>
      <c r="D103" s="231">
        <f t="shared" si="5"/>
        <v>300.91803287364468</v>
      </c>
      <c r="E103" s="246">
        <f>'10K'!$E103*(1-$K$2)+H.Marathon!$E103*$K$2</f>
        <v>0.19772826318117007</v>
      </c>
      <c r="F103" s="334"/>
      <c r="G103" s="224">
        <v>97</v>
      </c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</row>
    <row r="104" spans="1:17">
      <c r="A104" s="224">
        <v>98</v>
      </c>
      <c r="B104" s="360"/>
      <c r="C104" s="231"/>
      <c r="D104" s="231">
        <f t="shared" si="5"/>
        <v>351.68608787775514</v>
      </c>
      <c r="E104" s="246">
        <f>'10K'!$E104*(1-$K$2)+H.Marathon!$E104*$K$2</f>
        <v>0.16918496935449431</v>
      </c>
      <c r="F104" s="334"/>
      <c r="G104" s="224">
        <v>98</v>
      </c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</row>
    <row r="105" spans="1:17">
      <c r="A105" s="224">
        <v>99</v>
      </c>
      <c r="B105" s="224" t="s">
        <v>81</v>
      </c>
      <c r="C105" s="231"/>
      <c r="D105" s="231">
        <f t="shared" si="5"/>
        <v>425.24236255476649</v>
      </c>
      <c r="E105" s="246">
        <f>'10K'!$E105*(1-$K$2)+H.Marathon!$E105*$K$2</f>
        <v>0.13992020842546482</v>
      </c>
      <c r="F105" s="334"/>
      <c r="G105" s="224">
        <v>99</v>
      </c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</row>
    <row r="106" spans="1:17">
      <c r="A106" s="224">
        <v>100</v>
      </c>
      <c r="B106" s="224"/>
      <c r="C106" s="224"/>
      <c r="D106" s="231">
        <f t="shared" si="5"/>
        <v>541.72670230574806</v>
      </c>
      <c r="E106" s="246">
        <f>'10K'!$E106*(1-$K$2)+H.Marathon!$E106*$K$2</f>
        <v>0.10983398039408157</v>
      </c>
      <c r="F106" s="33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6"/>
  <sheetViews>
    <sheetView topLeftCell="A44" zoomScale="87" zoomScaleNormal="87" workbookViewId="0">
      <selection activeCell="P62" sqref="P62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30" t="s">
        <v>88</v>
      </c>
      <c r="B1" s="31"/>
      <c r="C1" s="32"/>
      <c r="D1" s="33" t="s">
        <v>32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  <c r="M1" s="226"/>
      <c r="N1" s="227"/>
    </row>
    <row r="2" spans="1:23" ht="18" customHeight="1">
      <c r="A2" s="30"/>
      <c r="B2" s="31"/>
      <c r="C2" s="32"/>
      <c r="D2" s="33"/>
      <c r="E2" s="33"/>
      <c r="F2" s="83">
        <f>(+H$3-H$4)*F$4/2</f>
        <v>3.0284999999999999E-2</v>
      </c>
      <c r="G2" s="84">
        <f>(+I$4-I$3)*G$4/2</f>
        <v>0.11333249999999999</v>
      </c>
      <c r="H2" s="85"/>
      <c r="I2" s="85"/>
      <c r="M2" s="226"/>
      <c r="N2" s="227"/>
    </row>
    <row r="3" spans="1:23" ht="18" customHeight="1">
      <c r="A3" s="30"/>
      <c r="B3" s="31"/>
      <c r="C3" s="32"/>
      <c r="D3" s="33"/>
      <c r="E3" s="33"/>
      <c r="F3" s="83">
        <f>F4/(2*(+H3-H4))</f>
        <v>3.3649999999999999E-3</v>
      </c>
      <c r="G3" s="84">
        <f>G4/(2*(+I4-I3))</f>
        <v>2.3630136986301371E-4</v>
      </c>
      <c r="H3" s="226">
        <v>22</v>
      </c>
      <c r="I3" s="409">
        <v>27</v>
      </c>
      <c r="M3" s="226"/>
      <c r="N3" s="227"/>
    </row>
    <row r="4" spans="1:23" ht="15.75">
      <c r="A4" s="31"/>
      <c r="B4" s="31"/>
      <c r="C4" s="31">
        <f>Parameters!$AG$23</f>
        <v>62.866666666666667</v>
      </c>
      <c r="D4" s="35">
        <f>Parameters!G23</f>
        <v>4.3657407407407409E-2</v>
      </c>
      <c r="E4" s="36">
        <f>D4*1440</f>
        <v>62.866666666666667</v>
      </c>
      <c r="F4" s="34">
        <v>2.019E-2</v>
      </c>
      <c r="G4" s="83">
        <v>1.035E-2</v>
      </c>
      <c r="H4" s="226">
        <v>19</v>
      </c>
      <c r="I4" s="409">
        <v>48.9</v>
      </c>
    </row>
    <row r="5" spans="1:23" ht="15.75">
      <c r="A5" s="31"/>
      <c r="B5" s="31"/>
      <c r="C5" s="31"/>
      <c r="D5" s="35"/>
      <c r="E5" s="31">
        <f>E4*60</f>
        <v>3772</v>
      </c>
      <c r="F5" s="34">
        <v>1.0200000000000001E-3</v>
      </c>
      <c r="G5" s="83">
        <v>4.0000000000000002E-4</v>
      </c>
      <c r="H5" s="226">
        <v>16</v>
      </c>
      <c r="I5" s="409">
        <v>75.150000000000006</v>
      </c>
      <c r="K5" s="1">
        <f>E4</f>
        <v>62.866666666666667</v>
      </c>
    </row>
    <row r="6" spans="1:23" ht="63">
      <c r="A6" s="37" t="s">
        <v>70</v>
      </c>
      <c r="B6" s="37" t="s">
        <v>989</v>
      </c>
      <c r="C6" s="37" t="s">
        <v>1807</v>
      </c>
      <c r="D6" s="37" t="s">
        <v>1066</v>
      </c>
      <c r="E6" s="37" t="s">
        <v>159</v>
      </c>
      <c r="F6" s="37" t="s">
        <v>959</v>
      </c>
      <c r="G6" s="37" t="s">
        <v>158</v>
      </c>
      <c r="H6" s="37" t="s">
        <v>958</v>
      </c>
      <c r="I6" s="410" t="s">
        <v>70</v>
      </c>
      <c r="J6" s="111" t="s">
        <v>1067</v>
      </c>
      <c r="K6" s="113" t="s">
        <v>992</v>
      </c>
      <c r="L6" s="37" t="s">
        <v>735</v>
      </c>
      <c r="M6" s="127" t="s">
        <v>428</v>
      </c>
      <c r="N6" s="127" t="s">
        <v>429</v>
      </c>
      <c r="O6" s="128" t="s">
        <v>430</v>
      </c>
      <c r="P6" s="129" t="s">
        <v>431</v>
      </c>
      <c r="Q6" s="127" t="s">
        <v>432</v>
      </c>
      <c r="R6" s="128" t="s">
        <v>433</v>
      </c>
      <c r="S6" s="129" t="s">
        <v>434</v>
      </c>
      <c r="T6" s="166" t="s">
        <v>961</v>
      </c>
      <c r="U6" s="37" t="s">
        <v>70</v>
      </c>
      <c r="V6" s="166" t="s">
        <v>962</v>
      </c>
      <c r="W6" s="166" t="s">
        <v>963</v>
      </c>
    </row>
    <row r="7" spans="1:23">
      <c r="A7" s="1">
        <v>1</v>
      </c>
      <c r="B7" s="3"/>
      <c r="F7" s="25"/>
      <c r="G7" s="25"/>
      <c r="I7" s="1">
        <v>1</v>
      </c>
      <c r="J7" s="112"/>
      <c r="K7" s="114"/>
      <c r="U7" s="1">
        <v>1</v>
      </c>
    </row>
    <row r="8" spans="1:23">
      <c r="A8" s="1">
        <v>2</v>
      </c>
      <c r="B8" s="119"/>
      <c r="F8" s="25"/>
      <c r="G8" s="25"/>
      <c r="I8" s="1">
        <v>2</v>
      </c>
      <c r="J8" s="112"/>
      <c r="K8" s="114"/>
      <c r="T8" s="25"/>
      <c r="U8" s="1">
        <v>2</v>
      </c>
    </row>
    <row r="9" spans="1:23">
      <c r="A9" s="1">
        <v>3</v>
      </c>
      <c r="B9" s="119"/>
      <c r="C9" s="25"/>
      <c r="D9" s="25"/>
      <c r="E9" s="4">
        <f t="shared" ref="E9:E31" si="0">ROUND(1-IF(A9&gt;=H$3,0,IF(A9&gt;=H$4,F$3*(A9-H$3)^2,F$2+F$4*(H$4-A9)+(A9&lt;H$5)*F$5*(H$5-A9)^2)),4)</f>
        <v>0.4743</v>
      </c>
      <c r="F9" s="25"/>
      <c r="G9" s="25"/>
      <c r="H9" s="153"/>
      <c r="I9" s="1">
        <v>3</v>
      </c>
      <c r="J9" s="112"/>
      <c r="K9" s="114"/>
      <c r="P9" s="39"/>
      <c r="T9" s="25">
        <v>119.47419000549147</v>
      </c>
      <c r="U9" s="1">
        <v>3</v>
      </c>
    </row>
    <row r="10" spans="1:23">
      <c r="A10" s="1">
        <v>4</v>
      </c>
      <c r="B10" s="120"/>
      <c r="C10" s="25"/>
      <c r="D10" s="25"/>
      <c r="E10" s="4">
        <f t="shared" si="0"/>
        <v>0.52</v>
      </c>
      <c r="F10" s="25"/>
      <c r="G10" s="25"/>
      <c r="H10" s="153"/>
      <c r="I10" s="1">
        <v>4</v>
      </c>
      <c r="J10" s="112"/>
      <c r="K10" s="115"/>
      <c r="P10" s="39"/>
      <c r="T10" s="25">
        <v>105.94716337959581</v>
      </c>
      <c r="U10" s="1">
        <v>4</v>
      </c>
    </row>
    <row r="11" spans="1:23">
      <c r="A11" s="1">
        <v>5</v>
      </c>
      <c r="B11" s="120">
        <v>7.7442129629629625E-2</v>
      </c>
      <c r="C11" s="25">
        <f t="shared" ref="C11:C75" si="1">B11*1440</f>
        <v>111.51666666666667</v>
      </c>
      <c r="D11" s="25">
        <f t="shared" ref="D11:D42" si="2">E$4/E11</f>
        <v>111.5448308493021</v>
      </c>
      <c r="E11" s="4">
        <f t="shared" si="0"/>
        <v>0.56359999999999999</v>
      </c>
      <c r="F11" s="25">
        <v>102.55196001052356</v>
      </c>
      <c r="G11" s="25">
        <v>111.51666666666668</v>
      </c>
      <c r="H11" s="153">
        <f t="shared" ref="H11:H73" si="3">((F11-D11)/F11)</f>
        <v>-8.769087239147573E-2</v>
      </c>
      <c r="I11" s="1">
        <v>5</v>
      </c>
      <c r="J11" s="112">
        <f t="shared" ref="J11:J42" si="4">100*F11/+C11</f>
        <v>91.961105972670964</v>
      </c>
      <c r="K11" s="115">
        <f t="shared" ref="K11:K42" si="5">100*(D11/C11)</f>
        <v>100.02525558149942</v>
      </c>
      <c r="L11" s="177" t="s">
        <v>674</v>
      </c>
      <c r="M11" s="121" t="s">
        <v>736</v>
      </c>
      <c r="N11" s="121" t="s">
        <v>737</v>
      </c>
      <c r="O11" s="121" t="s">
        <v>241</v>
      </c>
      <c r="P11" s="123">
        <v>28821</v>
      </c>
      <c r="Q11" s="124"/>
      <c r="R11" s="121" t="s">
        <v>738</v>
      </c>
      <c r="S11" s="138">
        <v>30975</v>
      </c>
      <c r="T11" s="133"/>
      <c r="U11" s="1">
        <v>5</v>
      </c>
    </row>
    <row r="12" spans="1:23">
      <c r="A12" s="1">
        <v>6</v>
      </c>
      <c r="B12" s="120">
        <v>0.11136574074074074</v>
      </c>
      <c r="C12" s="25">
        <f t="shared" si="1"/>
        <v>160.36666666666667</v>
      </c>
      <c r="D12" s="25">
        <f t="shared" si="2"/>
        <v>103.87750605860323</v>
      </c>
      <c r="E12" s="4">
        <f t="shared" si="0"/>
        <v>0.60519999999999996</v>
      </c>
      <c r="F12" s="25">
        <v>96.994127600278702</v>
      </c>
      <c r="G12" s="25">
        <v>160.36666666666667</v>
      </c>
      <c r="H12" s="153">
        <f t="shared" si="3"/>
        <v>-7.0966960873049295E-2</v>
      </c>
      <c r="I12" s="1">
        <v>6</v>
      </c>
      <c r="J12" s="112">
        <f t="shared" si="4"/>
        <v>60.48272350879985</v>
      </c>
      <c r="K12" s="115">
        <f t="shared" si="5"/>
        <v>64.77499858154431</v>
      </c>
      <c r="L12" s="177" t="s">
        <v>675</v>
      </c>
      <c r="M12" s="121" t="s">
        <v>739</v>
      </c>
      <c r="N12" s="121" t="s">
        <v>740</v>
      </c>
      <c r="O12" s="121" t="s">
        <v>241</v>
      </c>
      <c r="P12" s="123">
        <v>39044</v>
      </c>
      <c r="Q12" s="124"/>
      <c r="R12" s="121" t="s">
        <v>741</v>
      </c>
      <c r="S12" s="138">
        <v>41587</v>
      </c>
      <c r="T12" s="133"/>
      <c r="U12" s="1">
        <v>6</v>
      </c>
    </row>
    <row r="13" spans="1:23">
      <c r="A13" s="1">
        <v>7</v>
      </c>
      <c r="B13" s="120">
        <v>7.013888888888889E-2</v>
      </c>
      <c r="C13" s="25">
        <f t="shared" si="1"/>
        <v>101</v>
      </c>
      <c r="D13" s="25">
        <f t="shared" si="2"/>
        <v>97.497932175351522</v>
      </c>
      <c r="E13" s="4">
        <f t="shared" si="0"/>
        <v>0.64480000000000004</v>
      </c>
      <c r="F13" s="25">
        <v>92.242888920441104</v>
      </c>
      <c r="G13" s="25">
        <v>101</v>
      </c>
      <c r="H13" s="153">
        <f t="shared" si="3"/>
        <v>-5.6969630032325413E-2</v>
      </c>
      <c r="I13" s="1">
        <v>7</v>
      </c>
      <c r="J13" s="112">
        <f t="shared" si="4"/>
        <v>91.329592990535758</v>
      </c>
      <c r="K13" s="115">
        <f t="shared" si="5"/>
        <v>96.532606114209429</v>
      </c>
      <c r="L13" s="177" t="s">
        <v>676</v>
      </c>
      <c r="M13" s="121" t="s">
        <v>510</v>
      </c>
      <c r="N13" s="121" t="s">
        <v>511</v>
      </c>
      <c r="O13" s="121" t="s">
        <v>241</v>
      </c>
      <c r="P13" s="123">
        <v>39042</v>
      </c>
      <c r="Q13" s="124"/>
      <c r="R13" s="121" t="s">
        <v>742</v>
      </c>
      <c r="S13" s="138">
        <v>41959</v>
      </c>
      <c r="T13" s="133"/>
      <c r="U13" s="1">
        <v>7</v>
      </c>
    </row>
    <row r="14" spans="1:23">
      <c r="A14" s="1">
        <v>8</v>
      </c>
      <c r="B14" s="120">
        <v>6.626157407407407E-2</v>
      </c>
      <c r="C14" s="25">
        <f t="shared" si="1"/>
        <v>95.416666666666657</v>
      </c>
      <c r="D14" s="25">
        <f t="shared" si="2"/>
        <v>92.139332649372221</v>
      </c>
      <c r="E14" s="4">
        <f t="shared" si="0"/>
        <v>0.68230000000000002</v>
      </c>
      <c r="F14" s="25">
        <v>88.162120595286567</v>
      </c>
      <c r="G14" s="25">
        <v>95.416666666666657</v>
      </c>
      <c r="H14" s="153">
        <f t="shared" si="3"/>
        <v>-4.5112481723792494E-2</v>
      </c>
      <c r="I14" s="1">
        <v>8</v>
      </c>
      <c r="J14" s="112">
        <f t="shared" si="4"/>
        <v>92.396982283269764</v>
      </c>
      <c r="K14" s="115">
        <f t="shared" si="5"/>
        <v>96.565239457857359</v>
      </c>
      <c r="L14" s="177" t="s">
        <v>677</v>
      </c>
      <c r="M14" s="121" t="s">
        <v>743</v>
      </c>
      <c r="N14" s="121" t="s">
        <v>744</v>
      </c>
      <c r="O14" s="121" t="s">
        <v>241</v>
      </c>
      <c r="P14" s="123">
        <v>27357</v>
      </c>
      <c r="Q14" s="124"/>
      <c r="R14" s="121" t="s">
        <v>555</v>
      </c>
      <c r="S14" s="138">
        <v>30583</v>
      </c>
      <c r="T14" s="133"/>
      <c r="U14" s="1">
        <v>8</v>
      </c>
    </row>
    <row r="15" spans="1:23">
      <c r="A15" s="1">
        <v>9</v>
      </c>
      <c r="B15" s="120">
        <v>6.1469907407407411E-2</v>
      </c>
      <c r="C15" s="25">
        <f t="shared" si="1"/>
        <v>88.516666666666666</v>
      </c>
      <c r="D15" s="25">
        <f t="shared" si="2"/>
        <v>87.582427788613359</v>
      </c>
      <c r="E15" s="4">
        <f t="shared" si="0"/>
        <v>0.71779999999999999</v>
      </c>
      <c r="F15" s="25">
        <v>84.625070557075247</v>
      </c>
      <c r="G15" s="25">
        <v>88.516666666666666</v>
      </c>
      <c r="H15" s="153">
        <f t="shared" si="3"/>
        <v>-3.4946585120345944E-2</v>
      </c>
      <c r="I15" s="1">
        <v>9</v>
      </c>
      <c r="J15" s="112">
        <f t="shared" si="4"/>
        <v>95.603544218123048</v>
      </c>
      <c r="K15" s="115">
        <f t="shared" si="5"/>
        <v>98.944561613948437</v>
      </c>
      <c r="L15" s="177" t="s">
        <v>678</v>
      </c>
      <c r="M15" s="121" t="s">
        <v>743</v>
      </c>
      <c r="N15" s="121" t="s">
        <v>744</v>
      </c>
      <c r="O15" s="121" t="s">
        <v>241</v>
      </c>
      <c r="P15" s="123">
        <v>27357</v>
      </c>
      <c r="Q15" s="124"/>
      <c r="R15" s="121" t="s">
        <v>745</v>
      </c>
      <c r="S15" s="138">
        <v>30941</v>
      </c>
      <c r="T15" s="133"/>
      <c r="U15" s="1">
        <v>9</v>
      </c>
    </row>
    <row r="16" spans="1:23">
      <c r="A16" s="1">
        <v>10</v>
      </c>
      <c r="B16" s="120">
        <v>5.962962962962963E-2</v>
      </c>
      <c r="C16" s="25">
        <f t="shared" si="1"/>
        <v>85.86666666666666</v>
      </c>
      <c r="D16" s="25">
        <f t="shared" si="2"/>
        <v>83.677181773814283</v>
      </c>
      <c r="E16" s="4">
        <f t="shared" si="0"/>
        <v>0.75129999999999997</v>
      </c>
      <c r="F16" s="25">
        <v>81.534471218206164</v>
      </c>
      <c r="G16" s="25">
        <v>85.86666666666666</v>
      </c>
      <c r="H16" s="153">
        <f t="shared" si="3"/>
        <v>-2.6279811760521531E-2</v>
      </c>
      <c r="I16" s="1">
        <v>10</v>
      </c>
      <c r="J16" s="112">
        <f t="shared" si="4"/>
        <v>94.954741325550657</v>
      </c>
      <c r="K16" s="115">
        <f t="shared" si="5"/>
        <v>97.450134053355157</v>
      </c>
      <c r="L16" s="177" t="s">
        <v>679</v>
      </c>
      <c r="M16" s="121" t="s">
        <v>586</v>
      </c>
      <c r="N16" s="121" t="s">
        <v>746</v>
      </c>
      <c r="O16" s="121" t="s">
        <v>241</v>
      </c>
      <c r="P16" s="123">
        <v>26623</v>
      </c>
      <c r="Q16" s="124"/>
      <c r="R16" s="121" t="s">
        <v>747</v>
      </c>
      <c r="S16" s="138">
        <v>30345</v>
      </c>
      <c r="T16" s="133"/>
      <c r="U16" s="1">
        <v>10</v>
      </c>
    </row>
    <row r="17" spans="1:21">
      <c r="A17" s="1">
        <v>11</v>
      </c>
      <c r="B17" s="120">
        <v>6.3460648148148155E-2</v>
      </c>
      <c r="C17" s="25">
        <f t="shared" si="1"/>
        <v>91.38333333333334</v>
      </c>
      <c r="D17" s="25">
        <f t="shared" si="2"/>
        <v>80.320258932754143</v>
      </c>
      <c r="E17" s="4">
        <f t="shared" si="0"/>
        <v>0.78269999999999995</v>
      </c>
      <c r="F17" s="25">
        <v>78.852611562891937</v>
      </c>
      <c r="G17" s="25">
        <v>91.38333333333334</v>
      </c>
      <c r="H17" s="153">
        <f t="shared" si="3"/>
        <v>-1.8612539784958516E-2</v>
      </c>
      <c r="I17" s="1">
        <v>11</v>
      </c>
      <c r="J17" s="112">
        <f t="shared" si="4"/>
        <v>86.287738350784522</v>
      </c>
      <c r="K17" s="115">
        <f t="shared" si="5"/>
        <v>87.893772313792596</v>
      </c>
      <c r="L17" s="177" t="s">
        <v>680</v>
      </c>
      <c r="M17" s="121" t="s">
        <v>748</v>
      </c>
      <c r="N17" s="121" t="s">
        <v>749</v>
      </c>
      <c r="O17" s="121" t="s">
        <v>241</v>
      </c>
      <c r="P17" s="123">
        <v>37435</v>
      </c>
      <c r="Q17" s="124"/>
      <c r="R17" s="121" t="s">
        <v>368</v>
      </c>
      <c r="S17" s="138">
        <v>41658</v>
      </c>
      <c r="T17" s="133"/>
      <c r="U17" s="1">
        <v>11</v>
      </c>
    </row>
    <row r="18" spans="1:21">
      <c r="A18" s="1">
        <v>12</v>
      </c>
      <c r="B18" s="120">
        <v>5.6770833333333333E-2</v>
      </c>
      <c r="C18" s="25">
        <f t="shared" si="1"/>
        <v>81.75</v>
      </c>
      <c r="D18" s="25">
        <f t="shared" si="2"/>
        <v>77.412469728686943</v>
      </c>
      <c r="E18" s="4">
        <f t="shared" si="0"/>
        <v>0.81210000000000004</v>
      </c>
      <c r="F18" s="25">
        <v>76.494367910828529</v>
      </c>
      <c r="G18" s="25">
        <v>81.75</v>
      </c>
      <c r="H18" s="153">
        <f t="shared" si="3"/>
        <v>-1.2002214580407658E-2</v>
      </c>
      <c r="I18" s="1">
        <v>12</v>
      </c>
      <c r="J18" s="112">
        <f t="shared" si="4"/>
        <v>93.571092245661816</v>
      </c>
      <c r="K18" s="115">
        <f t="shared" si="5"/>
        <v>94.694152573317353</v>
      </c>
      <c r="L18" s="177" t="s">
        <v>681</v>
      </c>
      <c r="M18" s="121" t="s">
        <v>750</v>
      </c>
      <c r="N18" s="121" t="s">
        <v>751</v>
      </c>
      <c r="O18" s="121" t="s">
        <v>752</v>
      </c>
      <c r="P18" s="123">
        <v>31948</v>
      </c>
      <c r="Q18" s="124"/>
      <c r="R18" s="121" t="s">
        <v>753</v>
      </c>
      <c r="S18" s="138">
        <v>36638</v>
      </c>
      <c r="T18" s="133"/>
      <c r="U18" s="1">
        <v>12</v>
      </c>
    </row>
    <row r="19" spans="1:21">
      <c r="A19" s="1">
        <v>13</v>
      </c>
      <c r="B19" s="120">
        <v>5.3043981481481484E-2</v>
      </c>
      <c r="C19" s="25">
        <f t="shared" si="1"/>
        <v>76.38333333333334</v>
      </c>
      <c r="D19" s="25">
        <f t="shared" si="2"/>
        <v>74.894766102771825</v>
      </c>
      <c r="E19" s="4">
        <f t="shared" si="0"/>
        <v>0.83940000000000003</v>
      </c>
      <c r="F19" s="25">
        <v>74.426242028487422</v>
      </c>
      <c r="G19" s="25">
        <v>76.38333333333334</v>
      </c>
      <c r="H19" s="153">
        <f t="shared" si="3"/>
        <v>-6.2951461946052648E-3</v>
      </c>
      <c r="I19" s="1">
        <v>13</v>
      </c>
      <c r="J19" s="112">
        <f t="shared" si="4"/>
        <v>97.437803222981557</v>
      </c>
      <c r="K19" s="115">
        <f t="shared" si="5"/>
        <v>98.051188439151417</v>
      </c>
      <c r="L19" s="177" t="s">
        <v>682</v>
      </c>
      <c r="M19" s="121" t="s">
        <v>750</v>
      </c>
      <c r="N19" s="121" t="s">
        <v>751</v>
      </c>
      <c r="O19" s="121" t="s">
        <v>752</v>
      </c>
      <c r="P19" s="123">
        <v>31948</v>
      </c>
      <c r="Q19" s="124"/>
      <c r="R19" s="121" t="s">
        <v>753</v>
      </c>
      <c r="S19" s="138">
        <v>37002</v>
      </c>
      <c r="T19" s="133"/>
      <c r="U19" s="1">
        <v>13</v>
      </c>
    </row>
    <row r="20" spans="1:21">
      <c r="A20" s="1">
        <v>14</v>
      </c>
      <c r="B20" s="120">
        <v>5.2245370370370373E-2</v>
      </c>
      <c r="C20" s="25">
        <f t="shared" si="1"/>
        <v>75.233333333333334</v>
      </c>
      <c r="D20" s="25">
        <f t="shared" si="2"/>
        <v>72.703442427045985</v>
      </c>
      <c r="E20" s="4">
        <f t="shared" si="0"/>
        <v>0.86470000000000002</v>
      </c>
      <c r="F20" s="25">
        <v>72.620910649079676</v>
      </c>
      <c r="G20" s="25">
        <v>75.23333333333332</v>
      </c>
      <c r="H20" s="153">
        <f t="shared" si="3"/>
        <v>-1.1364740159362822E-3</v>
      </c>
      <c r="I20" s="1">
        <v>14</v>
      </c>
      <c r="J20" s="112">
        <f t="shared" si="4"/>
        <v>96.527572860983184</v>
      </c>
      <c r="K20" s="115">
        <f t="shared" si="5"/>
        <v>96.63727393936108</v>
      </c>
      <c r="L20" s="177" t="s">
        <v>683</v>
      </c>
      <c r="M20" s="121" t="s">
        <v>754</v>
      </c>
      <c r="N20" s="121" t="s">
        <v>755</v>
      </c>
      <c r="O20" s="121" t="s">
        <v>264</v>
      </c>
      <c r="P20" s="123">
        <v>34401</v>
      </c>
      <c r="Q20" s="124"/>
      <c r="R20" s="121" t="s">
        <v>756</v>
      </c>
      <c r="S20" s="138">
        <v>39776</v>
      </c>
      <c r="T20" s="133"/>
      <c r="U20" s="1">
        <v>14</v>
      </c>
    </row>
    <row r="21" spans="1:21">
      <c r="A21" s="1">
        <v>15</v>
      </c>
      <c r="B21" s="120">
        <v>5.0416666666666665E-2</v>
      </c>
      <c r="C21" s="25">
        <f t="shared" si="1"/>
        <v>72.599999999999994</v>
      </c>
      <c r="D21" s="25">
        <f t="shared" si="2"/>
        <v>70.803769193227467</v>
      </c>
      <c r="E21" s="4">
        <f t="shared" si="0"/>
        <v>0.88790000000000002</v>
      </c>
      <c r="F21" s="25">
        <v>71.040641516311283</v>
      </c>
      <c r="G21" s="25">
        <v>72.599999999999994</v>
      </c>
      <c r="H21" s="153">
        <f t="shared" si="3"/>
        <v>3.3343212846610993E-3</v>
      </c>
      <c r="I21" s="1">
        <v>15</v>
      </c>
      <c r="J21" s="112">
        <f t="shared" si="4"/>
        <v>97.85212330070425</v>
      </c>
      <c r="K21" s="115">
        <f t="shared" si="5"/>
        <v>97.525852883233426</v>
      </c>
      <c r="L21" s="177" t="s">
        <v>684</v>
      </c>
      <c r="M21" s="121" t="s">
        <v>757</v>
      </c>
      <c r="N21" s="121" t="s">
        <v>758</v>
      </c>
      <c r="O21" s="121" t="s">
        <v>272</v>
      </c>
      <c r="P21" s="123">
        <v>29894</v>
      </c>
      <c r="Q21" s="124"/>
      <c r="R21" s="121" t="s">
        <v>759</v>
      </c>
      <c r="S21" s="138">
        <v>35707</v>
      </c>
      <c r="T21" s="133"/>
      <c r="U21" s="1">
        <v>15</v>
      </c>
    </row>
    <row r="22" spans="1:21">
      <c r="A22" s="1">
        <v>16</v>
      </c>
      <c r="B22" s="120">
        <v>5.0358796296296297E-2</v>
      </c>
      <c r="C22" s="25">
        <f t="shared" si="1"/>
        <v>72.516666666666666</v>
      </c>
      <c r="D22" s="25">
        <f t="shared" si="2"/>
        <v>69.15264180691527</v>
      </c>
      <c r="E22" s="4">
        <f t="shared" si="0"/>
        <v>0.90910000000000002</v>
      </c>
      <c r="F22" s="25">
        <v>69.594715229423315</v>
      </c>
      <c r="G22" s="25">
        <v>72.516666666666666</v>
      </c>
      <c r="H22" s="153">
        <f t="shared" si="3"/>
        <v>6.3521119534827118E-3</v>
      </c>
      <c r="I22" s="1">
        <v>16</v>
      </c>
      <c r="J22" s="112">
        <f t="shared" si="4"/>
        <v>95.97064844324062</v>
      </c>
      <c r="K22" s="115">
        <f t="shared" si="5"/>
        <v>95.361032140080809</v>
      </c>
      <c r="L22" s="177" t="s">
        <v>685</v>
      </c>
      <c r="M22" s="121" t="s">
        <v>760</v>
      </c>
      <c r="N22" s="121" t="s">
        <v>761</v>
      </c>
      <c r="O22" s="121" t="s">
        <v>528</v>
      </c>
      <c r="P22" s="123">
        <v>34717</v>
      </c>
      <c r="Q22" s="124"/>
      <c r="R22" s="121" t="s">
        <v>762</v>
      </c>
      <c r="S22" s="138">
        <v>40657</v>
      </c>
      <c r="T22" s="133"/>
      <c r="U22" s="1">
        <v>16</v>
      </c>
    </row>
    <row r="23" spans="1:21">
      <c r="A23" s="1">
        <v>17</v>
      </c>
      <c r="B23" s="120">
        <v>4.87037037037037E-2</v>
      </c>
      <c r="C23" s="25">
        <f t="shared" si="1"/>
        <v>70.133333333333326</v>
      </c>
      <c r="D23" s="25">
        <f t="shared" si="2"/>
        <v>67.649485275655508</v>
      </c>
      <c r="E23" s="4">
        <f t="shared" si="0"/>
        <v>0.92930000000000001</v>
      </c>
      <c r="F23" s="25">
        <v>68.206474190726155</v>
      </c>
      <c r="G23" s="25">
        <v>70.133333333333326</v>
      </c>
      <c r="H23" s="153">
        <f t="shared" si="3"/>
        <v>8.1662176747787311E-3</v>
      </c>
      <c r="I23" s="1">
        <v>17</v>
      </c>
      <c r="J23" s="112">
        <f t="shared" si="4"/>
        <v>97.252577268145671</v>
      </c>
      <c r="K23" s="115">
        <f t="shared" si="5"/>
        <v>96.45839155274075</v>
      </c>
      <c r="L23" s="177" t="s">
        <v>686</v>
      </c>
      <c r="M23" s="121" t="s">
        <v>763</v>
      </c>
      <c r="N23" s="121" t="s">
        <v>764</v>
      </c>
      <c r="O23" s="121" t="s">
        <v>272</v>
      </c>
      <c r="P23" s="123">
        <v>35226</v>
      </c>
      <c r="Q23" s="124"/>
      <c r="R23" s="121" t="s">
        <v>765</v>
      </c>
      <c r="S23" s="138">
        <v>41727</v>
      </c>
      <c r="T23" s="133"/>
      <c r="U23" s="1">
        <v>17</v>
      </c>
    </row>
    <row r="24" spans="1:21">
      <c r="A24" s="1">
        <v>18</v>
      </c>
      <c r="B24" s="120">
        <v>4.746527777777778E-2</v>
      </c>
      <c r="C24" s="25">
        <f t="shared" si="1"/>
        <v>68.350000000000009</v>
      </c>
      <c r="D24" s="25">
        <f t="shared" si="2"/>
        <v>66.210286115499386</v>
      </c>
      <c r="E24" s="4">
        <f t="shared" si="0"/>
        <v>0.94950000000000001</v>
      </c>
      <c r="F24" s="25">
        <v>67.003575357535752</v>
      </c>
      <c r="G24" s="25">
        <v>68.350000000000009</v>
      </c>
      <c r="H24" s="153">
        <f t="shared" si="3"/>
        <v>1.1839506142818782E-2</v>
      </c>
      <c r="I24" s="1">
        <v>18</v>
      </c>
      <c r="J24" s="112">
        <f t="shared" si="4"/>
        <v>98.030102937140811</v>
      </c>
      <c r="K24" s="115">
        <f t="shared" si="5"/>
        <v>96.869474931235374</v>
      </c>
      <c r="L24" s="177" t="s">
        <v>687</v>
      </c>
      <c r="M24" s="121" t="s">
        <v>766</v>
      </c>
      <c r="N24" s="121" t="s">
        <v>767</v>
      </c>
      <c r="O24" s="121" t="s">
        <v>268</v>
      </c>
      <c r="P24" s="123">
        <v>33974</v>
      </c>
      <c r="Q24" s="124"/>
      <c r="R24" s="121" t="s">
        <v>768</v>
      </c>
      <c r="S24" s="138">
        <v>40789</v>
      </c>
      <c r="T24" s="133"/>
      <c r="U24" s="1">
        <v>18</v>
      </c>
    </row>
    <row r="25" spans="1:21">
      <c r="A25" s="1">
        <v>19</v>
      </c>
      <c r="B25" s="120">
        <v>4.71875E-2</v>
      </c>
      <c r="C25" s="25">
        <f t="shared" si="1"/>
        <v>67.95</v>
      </c>
      <c r="D25" s="25">
        <f t="shared" si="2"/>
        <v>64.831047402976864</v>
      </c>
      <c r="E25" s="4">
        <f t="shared" si="0"/>
        <v>0.96970000000000001</v>
      </c>
      <c r="F25" s="25">
        <v>66.096924068233463</v>
      </c>
      <c r="G25" s="25">
        <v>67.95</v>
      </c>
      <c r="H25" s="153">
        <f t="shared" si="3"/>
        <v>1.9151824129513249E-2</v>
      </c>
      <c r="I25" s="1">
        <v>19</v>
      </c>
      <c r="J25" s="112">
        <f t="shared" si="4"/>
        <v>97.272883102624675</v>
      </c>
      <c r="K25" s="115">
        <f t="shared" si="5"/>
        <v>95.409929952872503</v>
      </c>
      <c r="L25" s="177" t="s">
        <v>688</v>
      </c>
      <c r="M25" s="121" t="s">
        <v>769</v>
      </c>
      <c r="N25" s="121" t="s">
        <v>770</v>
      </c>
      <c r="O25" s="121" t="s">
        <v>272</v>
      </c>
      <c r="P25" s="123">
        <v>32891</v>
      </c>
      <c r="Q25" s="181" t="s">
        <v>1038</v>
      </c>
      <c r="R25" s="121" t="s">
        <v>771</v>
      </c>
      <c r="S25" s="138">
        <v>39864</v>
      </c>
      <c r="T25" s="133"/>
      <c r="U25" s="1">
        <v>19</v>
      </c>
    </row>
    <row r="26" spans="1:21">
      <c r="A26" s="1">
        <v>20</v>
      </c>
      <c r="B26" s="120">
        <v>4.4606481481481483E-2</v>
      </c>
      <c r="C26" s="25">
        <f t="shared" si="1"/>
        <v>64.233333333333334</v>
      </c>
      <c r="D26" s="25">
        <f t="shared" si="2"/>
        <v>63.726980908937321</v>
      </c>
      <c r="E26" s="4">
        <f t="shared" si="0"/>
        <v>0.98650000000000004</v>
      </c>
      <c r="F26" s="25">
        <v>65.464194545210276</v>
      </c>
      <c r="G26" s="25">
        <v>67.216666666666654</v>
      </c>
      <c r="H26" s="153">
        <f t="shared" si="3"/>
        <v>2.6536851913349618E-2</v>
      </c>
      <c r="I26" s="1">
        <v>20</v>
      </c>
      <c r="J26" s="112">
        <f t="shared" si="4"/>
        <v>101.91623437240831</v>
      </c>
      <c r="K26" s="115">
        <f t="shared" si="5"/>
        <v>99.211698353301486</v>
      </c>
      <c r="L26" s="190">
        <v>4.4606481481481483E-2</v>
      </c>
      <c r="M26" s="121" t="s">
        <v>1039</v>
      </c>
      <c r="N26" s="121" t="s">
        <v>1040</v>
      </c>
      <c r="O26" s="121" t="s">
        <v>272</v>
      </c>
      <c r="P26" s="123">
        <v>37216</v>
      </c>
      <c r="Q26" s="181" t="s">
        <v>1038</v>
      </c>
      <c r="R26" s="121" t="s">
        <v>771</v>
      </c>
      <c r="S26" s="138">
        <v>44611</v>
      </c>
      <c r="T26" s="133"/>
      <c r="U26" s="1">
        <v>20</v>
      </c>
    </row>
    <row r="27" spans="1:21">
      <c r="A27" s="1">
        <v>21</v>
      </c>
      <c r="B27" s="120">
        <v>4.6400462962962963E-2</v>
      </c>
      <c r="C27" s="25">
        <f t="shared" si="1"/>
        <v>66.816666666666663</v>
      </c>
      <c r="D27" s="25">
        <f t="shared" si="2"/>
        <v>63.081142551341223</v>
      </c>
      <c r="E27" s="4">
        <f t="shared" si="0"/>
        <v>0.99660000000000004</v>
      </c>
      <c r="F27" s="25">
        <v>65.090338309454637</v>
      </c>
      <c r="G27" s="25">
        <v>66.816666666666663</v>
      </c>
      <c r="H27" s="153">
        <f t="shared" si="3"/>
        <v>3.0867803276136453E-2</v>
      </c>
      <c r="I27" s="1">
        <v>21</v>
      </c>
      <c r="J27" s="112">
        <f t="shared" si="4"/>
        <v>97.416320742511317</v>
      </c>
      <c r="K27" s="115">
        <f t="shared" si="5"/>
        <v>94.409292917946459</v>
      </c>
      <c r="L27" s="177" t="s">
        <v>689</v>
      </c>
      <c r="M27" s="121" t="s">
        <v>774</v>
      </c>
      <c r="N27" s="121" t="s">
        <v>775</v>
      </c>
      <c r="O27" s="121" t="s">
        <v>268</v>
      </c>
      <c r="P27" s="123">
        <v>28211</v>
      </c>
      <c r="Q27" s="124"/>
      <c r="R27" s="121" t="s">
        <v>776</v>
      </c>
      <c r="S27" s="138">
        <v>36175</v>
      </c>
      <c r="T27" s="133"/>
      <c r="U27" s="1">
        <v>21</v>
      </c>
    </row>
    <row r="28" spans="1:21">
      <c r="A28" s="1">
        <v>22</v>
      </c>
      <c r="B28" s="120">
        <v>4.4340277777777777E-2</v>
      </c>
      <c r="C28" s="25">
        <f t="shared" si="1"/>
        <v>63.85</v>
      </c>
      <c r="D28" s="25">
        <f t="shared" si="2"/>
        <v>62.866666666666667</v>
      </c>
      <c r="E28" s="4">
        <f t="shared" si="0"/>
        <v>1</v>
      </c>
      <c r="F28" s="25">
        <v>64.966666666666669</v>
      </c>
      <c r="G28" s="25">
        <v>65.599999999999994</v>
      </c>
      <c r="H28" s="153">
        <f t="shared" si="3"/>
        <v>3.2324268855823519E-2</v>
      </c>
      <c r="I28" s="1">
        <v>22</v>
      </c>
      <c r="J28" s="112">
        <f t="shared" si="4"/>
        <v>101.74889062907857</v>
      </c>
      <c r="K28" s="115">
        <f t="shared" si="5"/>
        <v>98.459932132602461</v>
      </c>
      <c r="L28" s="177" t="s">
        <v>1026</v>
      </c>
      <c r="M28" s="121" t="s">
        <v>1041</v>
      </c>
      <c r="N28" s="121" t="s">
        <v>1042</v>
      </c>
      <c r="O28" s="121" t="s">
        <v>272</v>
      </c>
      <c r="P28" s="123">
        <v>36375</v>
      </c>
      <c r="Q28" s="124" t="s">
        <v>1043</v>
      </c>
      <c r="R28" s="121" t="s">
        <v>777</v>
      </c>
      <c r="S28" s="138">
        <v>44493</v>
      </c>
      <c r="T28" s="133"/>
      <c r="U28" s="1">
        <v>22</v>
      </c>
    </row>
    <row r="29" spans="1:21">
      <c r="A29" s="1">
        <v>23</v>
      </c>
      <c r="B29" s="120">
        <v>4.3657407407407409E-2</v>
      </c>
      <c r="C29" s="25">
        <f t="shared" si="1"/>
        <v>62.866666666666667</v>
      </c>
      <c r="D29" s="25">
        <f t="shared" si="2"/>
        <v>62.866666666666667</v>
      </c>
      <c r="E29" s="4">
        <f t="shared" si="0"/>
        <v>1</v>
      </c>
      <c r="F29" s="25">
        <v>64.966666666666669</v>
      </c>
      <c r="G29" s="25">
        <v>64.849999999999994</v>
      </c>
      <c r="H29" s="153">
        <f t="shared" si="3"/>
        <v>3.2324268855823519E-2</v>
      </c>
      <c r="I29" s="1">
        <v>23</v>
      </c>
      <c r="J29" s="112">
        <f t="shared" si="4"/>
        <v>103.34040296924709</v>
      </c>
      <c r="K29" s="115">
        <f t="shared" si="5"/>
        <v>100</v>
      </c>
      <c r="L29" s="177" t="s">
        <v>1027</v>
      </c>
      <c r="M29" s="122" t="s">
        <v>1044</v>
      </c>
      <c r="N29" s="122" t="s">
        <v>1045</v>
      </c>
      <c r="O29" s="122" t="s">
        <v>272</v>
      </c>
      <c r="P29" s="182">
        <v>35874</v>
      </c>
      <c r="Q29" s="140" t="s">
        <v>1043</v>
      </c>
      <c r="R29" s="122" t="s">
        <v>777</v>
      </c>
      <c r="S29" s="400">
        <v>44493</v>
      </c>
      <c r="T29" s="183" t="s">
        <v>976</v>
      </c>
      <c r="U29" s="1">
        <v>23</v>
      </c>
    </row>
    <row r="30" spans="1:21">
      <c r="A30" s="1">
        <v>24</v>
      </c>
      <c r="B30" s="120">
        <v>4.5960648148148146E-2</v>
      </c>
      <c r="C30" s="25">
        <f t="shared" si="1"/>
        <v>66.183333333333337</v>
      </c>
      <c r="D30" s="25">
        <f t="shared" si="2"/>
        <v>62.866666666666667</v>
      </c>
      <c r="E30" s="4">
        <f t="shared" si="0"/>
        <v>1</v>
      </c>
      <c r="F30" s="25">
        <v>64.966666666666669</v>
      </c>
      <c r="G30" s="25">
        <v>66.183333333333337</v>
      </c>
      <c r="H30" s="153">
        <f t="shared" si="3"/>
        <v>3.2324268855823519E-2</v>
      </c>
      <c r="I30" s="1">
        <v>24</v>
      </c>
      <c r="J30" s="112">
        <f t="shared" si="4"/>
        <v>98.161672122890963</v>
      </c>
      <c r="K30" s="115">
        <f t="shared" si="5"/>
        <v>94.988667841853442</v>
      </c>
      <c r="L30" s="177" t="s">
        <v>690</v>
      </c>
      <c r="M30" s="121" t="s">
        <v>778</v>
      </c>
      <c r="N30" s="121" t="s">
        <v>779</v>
      </c>
      <c r="O30" s="121" t="s">
        <v>780</v>
      </c>
      <c r="P30" s="123">
        <v>33985</v>
      </c>
      <c r="Q30" s="124"/>
      <c r="R30" s="121" t="s">
        <v>765</v>
      </c>
      <c r="S30" s="138">
        <v>42995</v>
      </c>
      <c r="T30" s="133"/>
      <c r="U30" s="1">
        <v>24</v>
      </c>
    </row>
    <row r="31" spans="1:21">
      <c r="A31" s="1">
        <v>25</v>
      </c>
      <c r="B31" s="120">
        <v>4.5729166666666668E-2</v>
      </c>
      <c r="C31" s="25">
        <f t="shared" si="1"/>
        <v>65.850000000000009</v>
      </c>
      <c r="D31" s="25">
        <f t="shared" si="2"/>
        <v>62.866666666666667</v>
      </c>
      <c r="E31" s="4">
        <f t="shared" si="0"/>
        <v>1</v>
      </c>
      <c r="F31" s="25">
        <v>64.966666666666669</v>
      </c>
      <c r="G31" s="25">
        <v>65.849999999999994</v>
      </c>
      <c r="H31" s="153">
        <f t="shared" si="3"/>
        <v>3.2324268855823519E-2</v>
      </c>
      <c r="I31" s="1">
        <v>25</v>
      </c>
      <c r="J31" s="112">
        <f t="shared" si="4"/>
        <v>98.658567451278145</v>
      </c>
      <c r="K31" s="115">
        <f t="shared" si="5"/>
        <v>95.469501392052635</v>
      </c>
      <c r="L31" s="177" t="s">
        <v>691</v>
      </c>
      <c r="M31" s="132" t="s">
        <v>888</v>
      </c>
      <c r="N31" s="132" t="s">
        <v>889</v>
      </c>
      <c r="O31" s="132" t="s">
        <v>268</v>
      </c>
      <c r="P31" s="123">
        <v>34385</v>
      </c>
      <c r="Q31" s="124"/>
      <c r="R31" s="121" t="s">
        <v>548</v>
      </c>
      <c r="S31" s="138">
        <v>42462</v>
      </c>
      <c r="T31" s="133"/>
      <c r="U31" s="1">
        <v>25</v>
      </c>
    </row>
    <row r="32" spans="1:21">
      <c r="A32" s="1">
        <v>26</v>
      </c>
      <c r="B32" s="120">
        <v>4.4467592592592593E-2</v>
      </c>
      <c r="C32" s="25">
        <f t="shared" si="1"/>
        <v>64.033333333333331</v>
      </c>
      <c r="D32" s="25">
        <f t="shared" si="2"/>
        <v>62.866666666666667</v>
      </c>
      <c r="E32" s="4">
        <f>1-IF(A32&gt;=H$3,0,IF(A32&gt;=H$4,F$3*(A32-H$3)^2,F$2+F$4*(H$4-A32)+(A32&lt;H$5)*F$5*(H$5-A32)^2))</f>
        <v>1</v>
      </c>
      <c r="F32" s="25">
        <v>64.966666666666669</v>
      </c>
      <c r="G32" s="25">
        <v>64.816666666666663</v>
      </c>
      <c r="H32" s="153">
        <f t="shared" si="3"/>
        <v>3.2324268855823519E-2</v>
      </c>
      <c r="I32" s="1">
        <v>26</v>
      </c>
      <c r="J32" s="112">
        <f t="shared" si="4"/>
        <v>101.45757418011453</v>
      </c>
      <c r="K32" s="115">
        <f t="shared" si="5"/>
        <v>98.178032274856847</v>
      </c>
      <c r="L32" s="178" t="s">
        <v>1028</v>
      </c>
      <c r="M32" s="132" t="s">
        <v>665</v>
      </c>
      <c r="N32" s="132" t="s">
        <v>1046</v>
      </c>
      <c r="O32" s="121" t="s">
        <v>268</v>
      </c>
      <c r="P32" s="123">
        <v>34554</v>
      </c>
      <c r="Q32" s="181" t="s">
        <v>1047</v>
      </c>
      <c r="R32" s="121" t="s">
        <v>1048</v>
      </c>
      <c r="S32" s="138">
        <v>44290</v>
      </c>
      <c r="T32" s="133"/>
      <c r="U32" s="1">
        <v>26</v>
      </c>
    </row>
    <row r="33" spans="1:23">
      <c r="A33" s="1">
        <v>27</v>
      </c>
      <c r="B33" s="120">
        <v>4.5243055555555557E-2</v>
      </c>
      <c r="C33" s="25">
        <f t="shared" si="1"/>
        <v>65.150000000000006</v>
      </c>
      <c r="D33" s="25">
        <f t="shared" si="2"/>
        <v>62.866666666666667</v>
      </c>
      <c r="E33" s="4">
        <f>1-IF(A33&gt;=H$3,0,IF(A33&gt;=H$4,F$3*(A33-H$3)^2,F$2+F$4*(H$4-A33)+(A33&lt;H$5)*F$5*(H$5-A33)^2))</f>
        <v>1</v>
      </c>
      <c r="F33" s="25">
        <v>64.966666666666669</v>
      </c>
      <c r="G33" s="25">
        <v>65.150000000000006</v>
      </c>
      <c r="H33" s="153">
        <f t="shared" si="3"/>
        <v>3.2324268855823519E-2</v>
      </c>
      <c r="I33" s="1">
        <v>27</v>
      </c>
      <c r="J33" s="112">
        <f t="shared" si="4"/>
        <v>99.718598106932717</v>
      </c>
      <c r="K33" s="115">
        <f t="shared" si="5"/>
        <v>96.495267331798402</v>
      </c>
      <c r="L33" s="177" t="s">
        <v>692</v>
      </c>
      <c r="M33" s="121" t="s">
        <v>781</v>
      </c>
      <c r="N33" s="121" t="s">
        <v>782</v>
      </c>
      <c r="O33" s="121" t="s">
        <v>268</v>
      </c>
      <c r="P33" s="123">
        <v>31835</v>
      </c>
      <c r="Q33" s="124"/>
      <c r="R33" s="121" t="s">
        <v>783</v>
      </c>
      <c r="S33" s="138">
        <v>42050</v>
      </c>
      <c r="T33" s="133"/>
      <c r="U33" s="1">
        <v>27</v>
      </c>
    </row>
    <row r="34" spans="1:23">
      <c r="A34" s="1">
        <v>28</v>
      </c>
      <c r="B34" s="120">
        <v>4.4803240740740741E-2</v>
      </c>
      <c r="C34" s="25">
        <f t="shared" si="1"/>
        <v>64.516666666666666</v>
      </c>
      <c r="D34" s="25">
        <f t="shared" si="2"/>
        <v>62.8792425151697</v>
      </c>
      <c r="E34" s="4">
        <f t="shared" ref="E34:E65" si="6">ROUND(1-IF(A34&lt;I$3,0,IF(A34&lt;I$4,G$3*(A34-I$3)^2,G$2+G$4*(A34-I$4)+(A34&gt;I$5)*G$5*(A34-I$5)^2)),4)</f>
        <v>0.99980000000000002</v>
      </c>
      <c r="F34" s="25">
        <v>64.966666666666669</v>
      </c>
      <c r="G34" s="25">
        <v>64.516666666666666</v>
      </c>
      <c r="H34" s="153">
        <f t="shared" si="3"/>
        <v>3.2130694994822497E-2</v>
      </c>
      <c r="I34" s="1">
        <v>28</v>
      </c>
      <c r="J34" s="112">
        <f t="shared" si="4"/>
        <v>100.69749418754844</v>
      </c>
      <c r="K34" s="115">
        <f t="shared" si="5"/>
        <v>97.46201371506541</v>
      </c>
      <c r="L34" s="179" t="s">
        <v>955</v>
      </c>
      <c r="M34" s="121" t="s">
        <v>953</v>
      </c>
      <c r="N34" s="121" t="s">
        <v>954</v>
      </c>
      <c r="O34" s="121" t="s">
        <v>272</v>
      </c>
      <c r="P34" s="123">
        <v>33441</v>
      </c>
      <c r="Q34" s="181" t="s">
        <v>1038</v>
      </c>
      <c r="R34" s="121" t="s">
        <v>771</v>
      </c>
      <c r="S34" s="138">
        <v>43882</v>
      </c>
      <c r="T34" s="133"/>
      <c r="U34" s="1">
        <v>28</v>
      </c>
    </row>
    <row r="35" spans="1:23">
      <c r="A35" s="1">
        <v>29</v>
      </c>
      <c r="B35" s="120">
        <v>4.5347222222222219E-2</v>
      </c>
      <c r="C35" s="25">
        <f t="shared" si="1"/>
        <v>65.3</v>
      </c>
      <c r="D35" s="25">
        <f t="shared" si="2"/>
        <v>62.923297634537754</v>
      </c>
      <c r="E35" s="4">
        <f t="shared" si="6"/>
        <v>0.99909999999999999</v>
      </c>
      <c r="F35" s="25">
        <v>64.966666666666669</v>
      </c>
      <c r="G35" s="25">
        <v>65.833333333333343</v>
      </c>
      <c r="H35" s="153">
        <f t="shared" si="3"/>
        <v>3.1452576174380423E-2</v>
      </c>
      <c r="I35" s="1">
        <v>29</v>
      </c>
      <c r="J35" s="112">
        <f t="shared" si="4"/>
        <v>99.489535477284335</v>
      </c>
      <c r="K35" s="115">
        <f t="shared" si="5"/>
        <v>96.360333284131329</v>
      </c>
      <c r="L35" s="177" t="s">
        <v>1029</v>
      </c>
      <c r="M35" s="181" t="s">
        <v>280</v>
      </c>
      <c r="N35" s="121" t="s">
        <v>271</v>
      </c>
      <c r="O35" s="121" t="s">
        <v>272</v>
      </c>
      <c r="P35" s="123">
        <v>33277</v>
      </c>
      <c r="Q35" s="124" t="s">
        <v>1049</v>
      </c>
      <c r="R35" s="121" t="s">
        <v>777</v>
      </c>
      <c r="S35" s="138">
        <v>44171</v>
      </c>
      <c r="T35" s="133"/>
      <c r="U35" s="1">
        <v>29</v>
      </c>
    </row>
    <row r="36" spans="1:23">
      <c r="A36" s="1">
        <v>30</v>
      </c>
      <c r="B36" s="120">
        <v>4.6400462962962963E-2</v>
      </c>
      <c r="C36" s="25">
        <f t="shared" si="1"/>
        <v>66.816666666666663</v>
      </c>
      <c r="D36" s="25">
        <f t="shared" si="2"/>
        <v>62.998964492100079</v>
      </c>
      <c r="E36" s="4">
        <f t="shared" si="6"/>
        <v>0.99790000000000001</v>
      </c>
      <c r="F36" s="25">
        <v>64.986162515421299</v>
      </c>
      <c r="G36" s="25">
        <v>66.816666666666663</v>
      </c>
      <c r="H36" s="153">
        <f t="shared" si="3"/>
        <v>3.057878702792545E-2</v>
      </c>
      <c r="I36" s="1">
        <v>30</v>
      </c>
      <c r="J36" s="112">
        <f t="shared" si="4"/>
        <v>97.260407855457174</v>
      </c>
      <c r="K36" s="115">
        <f t="shared" si="5"/>
        <v>94.286302557395985</v>
      </c>
      <c r="L36" s="177" t="s">
        <v>689</v>
      </c>
      <c r="M36" s="121" t="s">
        <v>306</v>
      </c>
      <c r="N36" s="121" t="s">
        <v>784</v>
      </c>
      <c r="O36" s="121" t="s">
        <v>268</v>
      </c>
      <c r="P36" s="123">
        <v>29969</v>
      </c>
      <c r="Q36" s="181" t="s">
        <v>1038</v>
      </c>
      <c r="R36" s="121" t="s">
        <v>771</v>
      </c>
      <c r="S36" s="138">
        <v>40956</v>
      </c>
      <c r="T36" s="133"/>
      <c r="U36" s="1">
        <v>30</v>
      </c>
      <c r="V36" s="4"/>
      <c r="W36" s="4"/>
    </row>
    <row r="37" spans="1:23">
      <c r="A37" s="1">
        <v>31</v>
      </c>
      <c r="B37" s="120">
        <v>4.5740740740740742E-2</v>
      </c>
      <c r="C37" s="25">
        <f t="shared" si="1"/>
        <v>65.866666666666674</v>
      </c>
      <c r="D37" s="25">
        <f t="shared" si="2"/>
        <v>63.106471257444959</v>
      </c>
      <c r="E37" s="4">
        <f t="shared" si="6"/>
        <v>0.99619999999999997</v>
      </c>
      <c r="F37" s="25">
        <v>65.03820869623253</v>
      </c>
      <c r="G37" s="25">
        <v>65.866666666666674</v>
      </c>
      <c r="H37" s="153">
        <f t="shared" si="3"/>
        <v>2.9701578157079092E-2</v>
      </c>
      <c r="I37" s="1">
        <v>31</v>
      </c>
      <c r="J37" s="112">
        <f t="shared" si="4"/>
        <v>98.742219680514964</v>
      </c>
      <c r="K37" s="115">
        <f t="shared" si="5"/>
        <v>95.809419925270674</v>
      </c>
      <c r="L37" s="177" t="s">
        <v>693</v>
      </c>
      <c r="M37" s="121" t="s">
        <v>309</v>
      </c>
      <c r="N37" s="121" t="s">
        <v>785</v>
      </c>
      <c r="O37" s="121" t="s">
        <v>268</v>
      </c>
      <c r="P37" s="123">
        <v>31609</v>
      </c>
      <c r="Q37" s="124"/>
      <c r="R37" s="121" t="s">
        <v>786</v>
      </c>
      <c r="S37" s="138">
        <v>43009</v>
      </c>
      <c r="T37" s="133"/>
      <c r="U37" s="1">
        <v>31</v>
      </c>
      <c r="V37" s="4"/>
      <c r="W37" s="4"/>
    </row>
    <row r="38" spans="1:23">
      <c r="A38" s="1">
        <v>32</v>
      </c>
      <c r="B38" s="120">
        <v>4.4999999999999998E-2</v>
      </c>
      <c r="C38" s="25">
        <f t="shared" si="1"/>
        <v>64.8</v>
      </c>
      <c r="D38" s="25">
        <f t="shared" si="2"/>
        <v>63.239781376789729</v>
      </c>
      <c r="E38" s="4">
        <f t="shared" si="6"/>
        <v>0.99409999999999998</v>
      </c>
      <c r="F38" s="25">
        <v>65.122961774926495</v>
      </c>
      <c r="G38" s="25">
        <v>66.11666666666666</v>
      </c>
      <c r="H38" s="153">
        <f t="shared" si="3"/>
        <v>2.8917302696478766E-2</v>
      </c>
      <c r="I38" s="1">
        <v>32</v>
      </c>
      <c r="J38" s="112">
        <f t="shared" si="4"/>
        <v>100.4983978008125</v>
      </c>
      <c r="K38" s="115">
        <f t="shared" si="5"/>
        <v>97.592255211095264</v>
      </c>
      <c r="L38" s="177" t="s">
        <v>1030</v>
      </c>
      <c r="M38" s="121" t="s">
        <v>571</v>
      </c>
      <c r="N38" s="121" t="s">
        <v>1050</v>
      </c>
      <c r="O38" s="121" t="s">
        <v>268</v>
      </c>
      <c r="P38" s="123">
        <v>32855</v>
      </c>
      <c r="Q38" s="181" t="s">
        <v>1047</v>
      </c>
      <c r="R38" s="133" t="s">
        <v>1048</v>
      </c>
      <c r="S38" s="138" t="s">
        <v>1051</v>
      </c>
      <c r="T38" s="133"/>
      <c r="U38" s="1">
        <v>32</v>
      </c>
      <c r="V38" s="4"/>
      <c r="W38" s="4"/>
    </row>
    <row r="39" spans="1:23">
      <c r="A39" s="1">
        <v>33</v>
      </c>
      <c r="B39" s="120">
        <v>4.5856481481481484E-2</v>
      </c>
      <c r="C39" s="25">
        <f t="shared" si="1"/>
        <v>66.033333333333331</v>
      </c>
      <c r="D39" s="25">
        <f t="shared" si="2"/>
        <v>63.405614388972936</v>
      </c>
      <c r="E39" s="4">
        <f t="shared" si="6"/>
        <v>0.99150000000000005</v>
      </c>
      <c r="F39" s="25">
        <v>65.240677512217985</v>
      </c>
      <c r="G39" s="25">
        <v>66.033333333333331</v>
      </c>
      <c r="H39" s="153">
        <f t="shared" si="3"/>
        <v>2.8127591453988E-2</v>
      </c>
      <c r="I39" s="1">
        <v>33</v>
      </c>
      <c r="J39" s="112">
        <f t="shared" si="4"/>
        <v>98.799612587912151</v>
      </c>
      <c r="K39" s="115">
        <f t="shared" si="5"/>
        <v>96.020617449227061</v>
      </c>
      <c r="L39" s="177" t="s">
        <v>694</v>
      </c>
      <c r="M39" s="121" t="s">
        <v>306</v>
      </c>
      <c r="N39" s="121" t="s">
        <v>784</v>
      </c>
      <c r="O39" s="121" t="s">
        <v>268</v>
      </c>
      <c r="P39" s="123">
        <v>29969</v>
      </c>
      <c r="Q39" s="181" t="s">
        <v>1038</v>
      </c>
      <c r="R39" s="121" t="s">
        <v>771</v>
      </c>
      <c r="S39" s="138">
        <v>42048</v>
      </c>
      <c r="T39" s="133"/>
      <c r="U39" s="1">
        <v>33</v>
      </c>
      <c r="V39" s="4"/>
      <c r="W39" s="4"/>
    </row>
    <row r="40" spans="1:23">
      <c r="A40" s="1">
        <v>34</v>
      </c>
      <c r="B40" s="120">
        <v>4.6828703703703706E-2</v>
      </c>
      <c r="C40" s="25">
        <f t="shared" si="1"/>
        <v>67.433333333333337</v>
      </c>
      <c r="D40" s="25">
        <f t="shared" si="2"/>
        <v>63.604478618642929</v>
      </c>
      <c r="E40" s="4">
        <f t="shared" si="6"/>
        <v>0.98839999999999995</v>
      </c>
      <c r="F40" s="25">
        <v>65.39829541641501</v>
      </c>
      <c r="G40" s="25">
        <v>67.433333333333337</v>
      </c>
      <c r="H40" s="153">
        <f t="shared" si="3"/>
        <v>2.7429106314624706E-2</v>
      </c>
      <c r="I40" s="1">
        <v>34</v>
      </c>
      <c r="J40" s="112">
        <f t="shared" si="4"/>
        <v>96.982148417817612</v>
      </c>
      <c r="K40" s="115">
        <f t="shared" si="5"/>
        <v>94.322014758244578</v>
      </c>
      <c r="L40" s="177" t="s">
        <v>695</v>
      </c>
      <c r="M40" s="121" t="s">
        <v>276</v>
      </c>
      <c r="N40" s="121" t="s">
        <v>277</v>
      </c>
      <c r="O40" s="121" t="s">
        <v>268</v>
      </c>
      <c r="P40" s="123">
        <v>28256</v>
      </c>
      <c r="Q40" s="124"/>
      <c r="R40" s="121" t="s">
        <v>548</v>
      </c>
      <c r="S40" s="138">
        <v>40999</v>
      </c>
      <c r="T40" s="133"/>
      <c r="U40" s="1">
        <v>34</v>
      </c>
      <c r="V40" s="4"/>
      <c r="W40" s="4"/>
    </row>
    <row r="41" spans="1:23">
      <c r="A41" s="1">
        <v>35</v>
      </c>
      <c r="B41" s="120">
        <v>4.5289351851851851E-2</v>
      </c>
      <c r="C41" s="25">
        <f t="shared" si="1"/>
        <v>65.216666666666669</v>
      </c>
      <c r="D41" s="25">
        <f t="shared" si="2"/>
        <v>63.830507327309036</v>
      </c>
      <c r="E41" s="4">
        <f t="shared" si="6"/>
        <v>0.9849</v>
      </c>
      <c r="F41" s="25">
        <v>65.596392030156167</v>
      </c>
      <c r="G41" s="25">
        <v>65.216666666666669</v>
      </c>
      <c r="H41" s="153">
        <f t="shared" si="3"/>
        <v>2.6920454741402755E-2</v>
      </c>
      <c r="I41" s="1">
        <v>35</v>
      </c>
      <c r="J41" s="112">
        <f t="shared" si="4"/>
        <v>100.58225202681753</v>
      </c>
      <c r="K41" s="115">
        <f t="shared" si="5"/>
        <v>97.874532063341221</v>
      </c>
      <c r="L41" s="177" t="s">
        <v>696</v>
      </c>
      <c r="M41" s="121" t="s">
        <v>306</v>
      </c>
      <c r="N41" s="121" t="s">
        <v>784</v>
      </c>
      <c r="O41" s="121" t="s">
        <v>268</v>
      </c>
      <c r="P41" s="123">
        <v>29969</v>
      </c>
      <c r="Q41" s="181" t="s">
        <v>1038</v>
      </c>
      <c r="R41" s="121" t="s">
        <v>771</v>
      </c>
      <c r="S41" s="138">
        <v>42776</v>
      </c>
      <c r="T41" s="133"/>
      <c r="U41" s="1">
        <v>35</v>
      </c>
      <c r="V41" s="4"/>
      <c r="W41" s="4"/>
    </row>
    <row r="42" spans="1:23">
      <c r="A42" s="1">
        <v>36</v>
      </c>
      <c r="B42" s="120">
        <v>4.746527777777778E-2</v>
      </c>
      <c r="C42" s="25">
        <f t="shared" si="1"/>
        <v>68.350000000000009</v>
      </c>
      <c r="D42" s="25">
        <f t="shared" si="2"/>
        <v>64.090800965100073</v>
      </c>
      <c r="E42" s="4">
        <f t="shared" si="6"/>
        <v>0.98089999999999999</v>
      </c>
      <c r="F42" s="25">
        <v>65.822357311719017</v>
      </c>
      <c r="G42" s="25">
        <v>68.350000000000009</v>
      </c>
      <c r="H42" s="153">
        <f t="shared" si="3"/>
        <v>2.6306507656945585E-2</v>
      </c>
      <c r="I42" s="1">
        <v>36</v>
      </c>
      <c r="J42" s="112">
        <f t="shared" si="4"/>
        <v>96.301912672595478</v>
      </c>
      <c r="K42" s="115">
        <f t="shared" si="5"/>
        <v>93.768545669495339</v>
      </c>
      <c r="L42" s="177" t="s">
        <v>687</v>
      </c>
      <c r="M42" s="121" t="s">
        <v>787</v>
      </c>
      <c r="N42" s="121" t="s">
        <v>788</v>
      </c>
      <c r="O42" s="121" t="s">
        <v>268</v>
      </c>
      <c r="P42" s="123">
        <v>29113</v>
      </c>
      <c r="Q42" s="124"/>
      <c r="R42" s="121" t="s">
        <v>608</v>
      </c>
      <c r="S42" s="138">
        <v>42281</v>
      </c>
      <c r="T42" s="133"/>
      <c r="U42" s="1">
        <v>36</v>
      </c>
      <c r="V42" s="4"/>
      <c r="W42" s="4"/>
    </row>
    <row r="43" spans="1:23">
      <c r="A43" s="1">
        <v>37</v>
      </c>
      <c r="B43" s="120">
        <v>4.7858796296296295E-2</v>
      </c>
      <c r="C43" s="25">
        <f t="shared" si="1"/>
        <v>68.916666666666671</v>
      </c>
      <c r="D43" s="25">
        <f t="shared" ref="D43:D74" si="7">E$4/E43</f>
        <v>64.386180527106376</v>
      </c>
      <c r="E43" s="4">
        <f t="shared" si="6"/>
        <v>0.97640000000000005</v>
      </c>
      <c r="F43" s="25">
        <v>66.090200067819609</v>
      </c>
      <c r="G43" s="25">
        <v>68.916666666666671</v>
      </c>
      <c r="H43" s="153">
        <f t="shared" si="3"/>
        <v>2.5783240767384932E-2</v>
      </c>
      <c r="I43" s="1">
        <v>37</v>
      </c>
      <c r="J43" s="112">
        <f t="shared" ref="J43:J74" si="8">100*F43/+C43</f>
        <v>95.898718357174758</v>
      </c>
      <c r="K43" s="115">
        <f t="shared" ref="K43:K74" si="9">100*(D43/C43)</f>
        <v>93.426138612488089</v>
      </c>
      <c r="L43" s="177" t="s">
        <v>697</v>
      </c>
      <c r="M43" s="121" t="s">
        <v>789</v>
      </c>
      <c r="N43" s="121" t="s">
        <v>790</v>
      </c>
      <c r="O43" s="121" t="s">
        <v>791</v>
      </c>
      <c r="P43" s="123">
        <v>27855</v>
      </c>
      <c r="Q43" s="124"/>
      <c r="R43" s="121" t="s">
        <v>765</v>
      </c>
      <c r="S43" s="138">
        <v>41727</v>
      </c>
      <c r="T43" s="133"/>
      <c r="U43" s="1">
        <v>37</v>
      </c>
      <c r="V43" s="4"/>
      <c r="W43" s="4"/>
    </row>
    <row r="44" spans="1:23">
      <c r="A44" s="1">
        <v>38</v>
      </c>
      <c r="B44" s="120">
        <v>4.670138888888889E-2</v>
      </c>
      <c r="C44" s="25">
        <f t="shared" si="1"/>
        <v>67.25</v>
      </c>
      <c r="D44" s="25">
        <f t="shared" si="7"/>
        <v>64.71758973303136</v>
      </c>
      <c r="E44" s="4">
        <f t="shared" si="6"/>
        <v>0.97140000000000004</v>
      </c>
      <c r="F44" s="25">
        <v>66.394140691534659</v>
      </c>
      <c r="G44" s="25">
        <v>67.266666666666666</v>
      </c>
      <c r="H44" s="153">
        <f t="shared" si="3"/>
        <v>2.525148968027929E-2</v>
      </c>
      <c r="I44" s="1">
        <v>38</v>
      </c>
      <c r="J44" s="112">
        <f t="shared" si="8"/>
        <v>98.727346753211393</v>
      </c>
      <c r="K44" s="115">
        <f t="shared" si="9"/>
        <v>96.234334175511322</v>
      </c>
      <c r="L44" s="177" t="s">
        <v>1031</v>
      </c>
      <c r="M44" s="121" t="s">
        <v>1052</v>
      </c>
      <c r="N44" s="121" t="s">
        <v>1053</v>
      </c>
      <c r="O44" s="121" t="s">
        <v>241</v>
      </c>
      <c r="P44" s="123">
        <v>30421</v>
      </c>
      <c r="Q44" s="184" t="s">
        <v>1054</v>
      </c>
      <c r="R44" s="132" t="s">
        <v>378</v>
      </c>
      <c r="S44" s="138">
        <v>44577</v>
      </c>
      <c r="T44" s="133"/>
      <c r="U44" s="1">
        <v>38</v>
      </c>
      <c r="V44" s="4"/>
      <c r="W44" s="4"/>
    </row>
    <row r="45" spans="1:23">
      <c r="A45" s="1">
        <v>39</v>
      </c>
      <c r="B45" s="120">
        <v>4.777777777777778E-2</v>
      </c>
      <c r="C45" s="25">
        <f t="shared" si="1"/>
        <v>68.8</v>
      </c>
      <c r="D45" s="25">
        <f t="shared" si="7"/>
        <v>65.079365079365076</v>
      </c>
      <c r="E45" s="4">
        <f t="shared" si="6"/>
        <v>0.96599999999999997</v>
      </c>
      <c r="F45" s="25">
        <v>66.735148091080291</v>
      </c>
      <c r="G45" s="25">
        <v>68.8</v>
      </c>
      <c r="H45" s="153">
        <f t="shared" si="3"/>
        <v>2.4811258520853186E-2</v>
      </c>
      <c r="I45" s="1">
        <v>39</v>
      </c>
      <c r="J45" s="112">
        <f t="shared" si="8"/>
        <v>96.998761760291131</v>
      </c>
      <c r="K45" s="115">
        <f t="shared" si="9"/>
        <v>94.592100406053888</v>
      </c>
      <c r="L45" s="177" t="s">
        <v>698</v>
      </c>
      <c r="M45" s="121" t="s">
        <v>576</v>
      </c>
      <c r="N45" s="121" t="s">
        <v>792</v>
      </c>
      <c r="O45" s="121" t="s">
        <v>578</v>
      </c>
      <c r="P45" s="123">
        <v>27368</v>
      </c>
      <c r="Q45" s="124"/>
      <c r="R45" s="121" t="s">
        <v>765</v>
      </c>
      <c r="S45" s="138">
        <v>41727</v>
      </c>
      <c r="T45" s="133"/>
      <c r="U45" s="1">
        <v>39</v>
      </c>
      <c r="V45" s="4"/>
      <c r="W45" s="4"/>
    </row>
    <row r="46" spans="1:23">
      <c r="A46" s="1">
        <v>40</v>
      </c>
      <c r="B46" s="120">
        <v>4.8564814814814818E-2</v>
      </c>
      <c r="C46" s="25">
        <f t="shared" si="1"/>
        <v>69.933333333333337</v>
      </c>
      <c r="D46" s="25">
        <f t="shared" si="7"/>
        <v>65.479290351699476</v>
      </c>
      <c r="E46" s="4">
        <f t="shared" si="6"/>
        <v>0.96009999999999995</v>
      </c>
      <c r="F46" s="25">
        <v>67.121259083238627</v>
      </c>
      <c r="G46" s="25">
        <v>69.933333333333337</v>
      </c>
      <c r="H46" s="153">
        <f t="shared" si="3"/>
        <v>2.4462722451360872E-2</v>
      </c>
      <c r="I46" s="1">
        <v>40</v>
      </c>
      <c r="J46" s="112">
        <f t="shared" si="8"/>
        <v>95.978921472695845</v>
      </c>
      <c r="K46" s="115">
        <f t="shared" si="9"/>
        <v>93.631015755528324</v>
      </c>
      <c r="L46" s="177" t="s">
        <v>699</v>
      </c>
      <c r="M46" s="121" t="s">
        <v>568</v>
      </c>
      <c r="N46" s="121" t="s">
        <v>793</v>
      </c>
      <c r="O46" s="121" t="s">
        <v>320</v>
      </c>
      <c r="P46" s="123">
        <v>24899</v>
      </c>
      <c r="Q46" s="124"/>
      <c r="R46" s="121" t="s">
        <v>794</v>
      </c>
      <c r="S46" s="138">
        <v>39704</v>
      </c>
      <c r="T46" s="133"/>
      <c r="U46" s="1">
        <v>40</v>
      </c>
      <c r="V46" s="4"/>
      <c r="W46" s="4"/>
    </row>
    <row r="47" spans="1:23">
      <c r="A47" s="1">
        <v>41</v>
      </c>
      <c r="B47" s="120">
        <v>4.8344907407407406E-2</v>
      </c>
      <c r="C47" s="25">
        <f t="shared" si="1"/>
        <v>69.61666666666666</v>
      </c>
      <c r="D47" s="25">
        <f t="shared" si="7"/>
        <v>65.918702596903287</v>
      </c>
      <c r="E47" s="4">
        <f t="shared" si="6"/>
        <v>0.95369999999999999</v>
      </c>
      <c r="F47" s="25">
        <v>67.546960560060995</v>
      </c>
      <c r="G47" s="25">
        <v>69.61666666666666</v>
      </c>
      <c r="H47" s="153">
        <f t="shared" si="3"/>
        <v>2.4105569660827348E-2</v>
      </c>
      <c r="I47" s="1">
        <v>41</v>
      </c>
      <c r="J47" s="112">
        <f t="shared" si="8"/>
        <v>97.026996255773525</v>
      </c>
      <c r="K47" s="115">
        <f t="shared" si="9"/>
        <v>94.688105238549142</v>
      </c>
      <c r="L47" s="177" t="s">
        <v>700</v>
      </c>
      <c r="M47" s="121" t="s">
        <v>316</v>
      </c>
      <c r="N47" s="121" t="s">
        <v>317</v>
      </c>
      <c r="O47" s="121" t="s">
        <v>241</v>
      </c>
      <c r="P47" s="123">
        <v>26709</v>
      </c>
      <c r="Q47" s="124" t="s">
        <v>795</v>
      </c>
      <c r="R47" s="121" t="s">
        <v>745</v>
      </c>
      <c r="S47" s="138">
        <v>41903</v>
      </c>
      <c r="T47" s="133"/>
      <c r="U47" s="1">
        <v>41</v>
      </c>
      <c r="V47" s="4"/>
      <c r="W47" s="4"/>
    </row>
    <row r="48" spans="1:23">
      <c r="A48" s="1">
        <v>42</v>
      </c>
      <c r="B48" s="120">
        <v>4.8587962962962965E-2</v>
      </c>
      <c r="C48" s="25">
        <f t="shared" si="1"/>
        <v>69.966666666666669</v>
      </c>
      <c r="D48" s="25">
        <f t="shared" si="7"/>
        <v>66.39909871849035</v>
      </c>
      <c r="E48" s="4">
        <f t="shared" si="6"/>
        <v>0.94679999999999997</v>
      </c>
      <c r="F48" s="25">
        <v>68.013679508654377</v>
      </c>
      <c r="G48" s="25">
        <v>69.966666666666669</v>
      </c>
      <c r="H48" s="153">
        <f t="shared" si="3"/>
        <v>2.373905958078007E-2</v>
      </c>
      <c r="I48" s="1">
        <v>42</v>
      </c>
      <c r="J48" s="112">
        <f t="shared" si="8"/>
        <v>97.2086891500539</v>
      </c>
      <c r="K48" s="115">
        <f t="shared" si="9"/>
        <v>94.901046286551235</v>
      </c>
      <c r="L48" s="177" t="s">
        <v>701</v>
      </c>
      <c r="M48" s="121" t="s">
        <v>796</v>
      </c>
      <c r="N48" s="121" t="s">
        <v>797</v>
      </c>
      <c r="O48" s="121" t="s">
        <v>284</v>
      </c>
      <c r="P48" s="123">
        <v>26927</v>
      </c>
      <c r="Q48" s="124"/>
      <c r="R48" s="121" t="s">
        <v>608</v>
      </c>
      <c r="S48" s="138">
        <v>42281</v>
      </c>
      <c r="T48" s="133"/>
      <c r="U48" s="1">
        <v>42</v>
      </c>
      <c r="V48" s="4"/>
      <c r="W48" s="4"/>
    </row>
    <row r="49" spans="1:23">
      <c r="A49" s="1">
        <v>43</v>
      </c>
      <c r="B49" s="120">
        <v>4.9930555555555554E-2</v>
      </c>
      <c r="C49" s="25">
        <f t="shared" si="1"/>
        <v>71.899999999999991</v>
      </c>
      <c r="D49" s="25">
        <f t="shared" si="7"/>
        <v>66.915025722902257</v>
      </c>
      <c r="E49" s="4">
        <f t="shared" si="6"/>
        <v>0.9395</v>
      </c>
      <c r="F49" s="25">
        <v>68.530239099859358</v>
      </c>
      <c r="G49" s="25">
        <v>71.899999999999991</v>
      </c>
      <c r="H49" s="153">
        <f t="shared" si="3"/>
        <v>2.3569352714551024E-2</v>
      </c>
      <c r="I49" s="1">
        <v>43</v>
      </c>
      <c r="J49" s="112">
        <f t="shared" si="8"/>
        <v>95.313267176438615</v>
      </c>
      <c r="K49" s="115">
        <f t="shared" si="9"/>
        <v>93.066795163980899</v>
      </c>
      <c r="L49" s="177" t="s">
        <v>702</v>
      </c>
      <c r="M49" s="121" t="s">
        <v>601</v>
      </c>
      <c r="N49" s="121" t="s">
        <v>798</v>
      </c>
      <c r="O49" s="121" t="s">
        <v>578</v>
      </c>
      <c r="P49" s="123">
        <v>18655</v>
      </c>
      <c r="Q49" s="124"/>
      <c r="R49" s="121" t="s">
        <v>536</v>
      </c>
      <c r="S49" s="138">
        <v>34601</v>
      </c>
      <c r="T49" s="133"/>
      <c r="U49" s="1">
        <v>43</v>
      </c>
      <c r="V49" s="4"/>
      <c r="W49" s="4"/>
    </row>
    <row r="50" spans="1:23">
      <c r="A50" s="1">
        <v>44</v>
      </c>
      <c r="B50" s="120">
        <v>4.8449074074074075E-2</v>
      </c>
      <c r="C50" s="25">
        <f t="shared" si="1"/>
        <v>69.766666666666666</v>
      </c>
      <c r="D50" s="25">
        <f t="shared" si="7"/>
        <v>67.475224500017887</v>
      </c>
      <c r="E50" s="4">
        <f t="shared" si="6"/>
        <v>0.93169999999999997</v>
      </c>
      <c r="F50" s="25">
        <v>69.091424722606263</v>
      </c>
      <c r="G50" s="25">
        <v>72.05</v>
      </c>
      <c r="H50" s="153">
        <f t="shared" si="3"/>
        <v>2.3392197064646219E-2</v>
      </c>
      <c r="I50" s="1">
        <v>44</v>
      </c>
      <c r="J50" s="112">
        <f t="shared" si="8"/>
        <v>99.032142459540751</v>
      </c>
      <c r="K50" s="115">
        <f t="shared" si="9"/>
        <v>96.715563067393049</v>
      </c>
      <c r="L50" s="178" t="s">
        <v>1032</v>
      </c>
      <c r="M50" s="185" t="s">
        <v>787</v>
      </c>
      <c r="N50" s="167" t="s">
        <v>559</v>
      </c>
      <c r="O50" s="185" t="s">
        <v>268</v>
      </c>
      <c r="P50" s="123">
        <v>29174</v>
      </c>
      <c r="Q50" s="23" t="s">
        <v>799</v>
      </c>
      <c r="R50" s="125" t="s">
        <v>800</v>
      </c>
      <c r="S50" s="436">
        <v>45368</v>
      </c>
      <c r="T50" s="133"/>
      <c r="U50" s="1">
        <v>44</v>
      </c>
      <c r="V50" s="4"/>
      <c r="W50" s="4"/>
    </row>
    <row r="51" spans="1:23">
      <c r="A51" s="1">
        <v>45</v>
      </c>
      <c r="B51" s="120">
        <v>5.0046296296296297E-2</v>
      </c>
      <c r="C51" s="25">
        <f t="shared" si="1"/>
        <v>72.066666666666663</v>
      </c>
      <c r="D51" s="25">
        <f t="shared" si="7"/>
        <v>68.081726951122661</v>
      </c>
      <c r="E51" s="4">
        <f t="shared" si="6"/>
        <v>0.9234</v>
      </c>
      <c r="F51" s="25">
        <v>69.699245431462998</v>
      </c>
      <c r="G51" s="25">
        <v>72.066666666666663</v>
      </c>
      <c r="H51" s="153">
        <f t="shared" si="3"/>
        <v>2.3207116093256461E-2</v>
      </c>
      <c r="I51" s="1">
        <v>45</v>
      </c>
      <c r="J51" s="112">
        <f t="shared" si="8"/>
        <v>96.714956657904253</v>
      </c>
      <c r="K51" s="115">
        <f t="shared" si="9"/>
        <v>94.470481430790016</v>
      </c>
      <c r="L51" s="177" t="s">
        <v>703</v>
      </c>
      <c r="M51" s="121" t="s">
        <v>601</v>
      </c>
      <c r="N51" s="121" t="s">
        <v>798</v>
      </c>
      <c r="O51" s="121" t="s">
        <v>578</v>
      </c>
      <c r="P51" s="123">
        <v>18655</v>
      </c>
      <c r="Q51" s="124"/>
      <c r="R51" s="121" t="s">
        <v>801</v>
      </c>
      <c r="S51" s="138">
        <v>35141</v>
      </c>
      <c r="T51" s="133"/>
      <c r="U51" s="1">
        <v>45</v>
      </c>
      <c r="V51" s="4"/>
      <c r="W51" s="4"/>
    </row>
    <row r="52" spans="1:23">
      <c r="A52" s="1">
        <v>46</v>
      </c>
      <c r="B52" s="120">
        <v>4.9513888888888892E-2</v>
      </c>
      <c r="C52" s="25">
        <f t="shared" si="1"/>
        <v>71.300000000000011</v>
      </c>
      <c r="D52" s="25">
        <f t="shared" si="7"/>
        <v>68.729273714514775</v>
      </c>
      <c r="E52" s="4">
        <f t="shared" si="6"/>
        <v>0.91469999999999996</v>
      </c>
      <c r="F52" s="25">
        <v>70.36355103072313</v>
      </c>
      <c r="G52" s="25">
        <v>71.300000000000011</v>
      </c>
      <c r="H52" s="153">
        <f t="shared" si="3"/>
        <v>2.3226191576016016E-2</v>
      </c>
      <c r="I52" s="1">
        <v>46</v>
      </c>
      <c r="J52" s="112">
        <f t="shared" si="8"/>
        <v>98.686607336217563</v>
      </c>
      <c r="K52" s="115">
        <f t="shared" si="9"/>
        <v>96.394493288239502</v>
      </c>
      <c r="L52" s="177" t="s">
        <v>704</v>
      </c>
      <c r="M52" s="121" t="s">
        <v>594</v>
      </c>
      <c r="N52" s="121" t="s">
        <v>802</v>
      </c>
      <c r="O52" s="121" t="s">
        <v>596</v>
      </c>
      <c r="P52" s="123">
        <v>15372</v>
      </c>
      <c r="Q52" s="124"/>
      <c r="R52" s="121" t="s">
        <v>803</v>
      </c>
      <c r="S52" s="138">
        <v>32340</v>
      </c>
      <c r="T52" s="133"/>
      <c r="U52" s="1">
        <v>46</v>
      </c>
      <c r="V52" s="4"/>
      <c r="W52" s="4"/>
    </row>
    <row r="53" spans="1:23">
      <c r="A53" s="1">
        <v>47</v>
      </c>
      <c r="B53" s="120">
        <v>5.2569444444444446E-2</v>
      </c>
      <c r="C53" s="25">
        <f t="shared" si="1"/>
        <v>75.7</v>
      </c>
      <c r="D53" s="25">
        <f t="shared" si="7"/>
        <v>69.427572243695934</v>
      </c>
      <c r="E53" s="4">
        <f t="shared" si="6"/>
        <v>0.90549999999999997</v>
      </c>
      <c r="F53" s="25">
        <v>71.079504011670309</v>
      </c>
      <c r="G53" s="25">
        <v>75.7</v>
      </c>
      <c r="H53" s="153">
        <f t="shared" si="3"/>
        <v>2.3240620358059193E-2</v>
      </c>
      <c r="I53" s="1">
        <v>47</v>
      </c>
      <c r="J53" s="112">
        <f t="shared" si="8"/>
        <v>93.896306488335938</v>
      </c>
      <c r="K53" s="115">
        <f t="shared" si="9"/>
        <v>91.714098076216558</v>
      </c>
      <c r="L53" s="177" t="s">
        <v>705</v>
      </c>
      <c r="M53" s="121" t="s">
        <v>601</v>
      </c>
      <c r="N53" s="121" t="s">
        <v>798</v>
      </c>
      <c r="O53" s="121" t="s">
        <v>578</v>
      </c>
      <c r="P53" s="123">
        <v>18655</v>
      </c>
      <c r="Q53" s="124"/>
      <c r="R53" s="121" t="s">
        <v>804</v>
      </c>
      <c r="S53" s="138">
        <v>36051</v>
      </c>
      <c r="T53" s="133"/>
      <c r="U53" s="1">
        <v>47</v>
      </c>
      <c r="V53" s="4"/>
      <c r="W53" s="4"/>
    </row>
    <row r="54" spans="1:23">
      <c r="A54" s="1">
        <v>48</v>
      </c>
      <c r="B54" s="120">
        <v>5.2152777777777777E-2</v>
      </c>
      <c r="C54" s="25">
        <f t="shared" si="1"/>
        <v>75.099999999999994</v>
      </c>
      <c r="D54" s="25">
        <f t="shared" si="7"/>
        <v>70.179355510902724</v>
      </c>
      <c r="E54" s="4">
        <f t="shared" si="6"/>
        <v>0.89580000000000004</v>
      </c>
      <c r="F54" s="25">
        <v>71.849885718498854</v>
      </c>
      <c r="G54" s="25">
        <v>75.099999999999994</v>
      </c>
      <c r="H54" s="153">
        <f t="shared" si="3"/>
        <v>2.3250283433172203E-2</v>
      </c>
      <c r="I54" s="1">
        <v>48</v>
      </c>
      <c r="J54" s="112">
        <f t="shared" si="8"/>
        <v>95.672284578560394</v>
      </c>
      <c r="K54" s="115">
        <f t="shared" si="9"/>
        <v>93.447876845409766</v>
      </c>
      <c r="L54" s="177" t="s">
        <v>706</v>
      </c>
      <c r="M54" s="121" t="s">
        <v>594</v>
      </c>
      <c r="N54" s="121" t="s">
        <v>802</v>
      </c>
      <c r="O54" s="121" t="s">
        <v>596</v>
      </c>
      <c r="P54" s="123">
        <v>15372</v>
      </c>
      <c r="Q54" s="124"/>
      <c r="R54" s="121" t="s">
        <v>805</v>
      </c>
      <c r="S54" s="138">
        <v>33117</v>
      </c>
      <c r="T54" s="133"/>
      <c r="U54" s="1">
        <v>48</v>
      </c>
      <c r="V54" s="4"/>
      <c r="W54" s="4"/>
    </row>
    <row r="55" spans="1:23">
      <c r="A55" s="1">
        <v>49</v>
      </c>
      <c r="B55" s="120">
        <v>5.1064814814814813E-2</v>
      </c>
      <c r="C55" s="25">
        <f t="shared" si="1"/>
        <v>73.533333333333331</v>
      </c>
      <c r="D55" s="25">
        <f t="shared" si="7"/>
        <v>70.987654320987644</v>
      </c>
      <c r="E55" s="4">
        <f t="shared" si="6"/>
        <v>0.88560000000000005</v>
      </c>
      <c r="F55" s="25">
        <v>72.677779020770402</v>
      </c>
      <c r="G55" s="25">
        <v>73.533333333333331</v>
      </c>
      <c r="H55" s="153">
        <f t="shared" si="3"/>
        <v>2.3255040571613237E-2</v>
      </c>
      <c r="I55" s="1">
        <v>49</v>
      </c>
      <c r="J55" s="112">
        <f t="shared" si="8"/>
        <v>98.836508187811063</v>
      </c>
      <c r="K55" s="115">
        <f t="shared" si="9"/>
        <v>96.538061179946936</v>
      </c>
      <c r="L55" s="177" t="s">
        <v>707</v>
      </c>
      <c r="M55" s="121" t="s">
        <v>330</v>
      </c>
      <c r="N55" s="121" t="s">
        <v>331</v>
      </c>
      <c r="O55" s="121" t="s">
        <v>241</v>
      </c>
      <c r="P55" s="123">
        <v>22408</v>
      </c>
      <c r="Q55" s="124" t="s">
        <v>806</v>
      </c>
      <c r="R55" s="121" t="s">
        <v>261</v>
      </c>
      <c r="S55" s="138">
        <v>40454</v>
      </c>
      <c r="T55" s="133"/>
      <c r="U55" s="1">
        <v>49</v>
      </c>
      <c r="V55" s="4"/>
      <c r="W55" s="4"/>
    </row>
    <row r="56" spans="1:23">
      <c r="A56" s="1">
        <v>50</v>
      </c>
      <c r="B56" s="120">
        <v>5.2291666666666667E-2</v>
      </c>
      <c r="C56" s="25">
        <f t="shared" si="1"/>
        <v>75.3</v>
      </c>
      <c r="D56" s="25">
        <f t="shared" si="7"/>
        <v>71.822994021097529</v>
      </c>
      <c r="E56" s="4">
        <f t="shared" si="6"/>
        <v>0.87529999999999997</v>
      </c>
      <c r="F56" s="25">
        <v>73.533295604602912</v>
      </c>
      <c r="G56" s="25">
        <v>75.3</v>
      </c>
      <c r="H56" s="153">
        <f t="shared" si="3"/>
        <v>2.3258872996824113E-2</v>
      </c>
      <c r="I56" s="1">
        <v>50</v>
      </c>
      <c r="J56" s="112">
        <f t="shared" si="8"/>
        <v>97.653779023377041</v>
      </c>
      <c r="K56" s="115">
        <f t="shared" si="9"/>
        <v>95.3824621794124</v>
      </c>
      <c r="L56" s="177" t="s">
        <v>708</v>
      </c>
      <c r="M56" s="121" t="s">
        <v>330</v>
      </c>
      <c r="N56" s="121" t="s">
        <v>331</v>
      </c>
      <c r="O56" s="121" t="s">
        <v>241</v>
      </c>
      <c r="P56" s="123">
        <v>22408</v>
      </c>
      <c r="Q56" s="124" t="s">
        <v>807</v>
      </c>
      <c r="R56" s="121" t="s">
        <v>808</v>
      </c>
      <c r="S56" s="138">
        <v>40846</v>
      </c>
      <c r="T56" s="133"/>
      <c r="U56" s="1">
        <v>50</v>
      </c>
      <c r="V56" s="4"/>
      <c r="W56" s="4"/>
    </row>
    <row r="57" spans="1:23">
      <c r="A57" s="1">
        <v>51</v>
      </c>
      <c r="B57" s="120">
        <v>5.28587962962963E-2</v>
      </c>
      <c r="C57" s="25">
        <f t="shared" si="1"/>
        <v>76.116666666666674</v>
      </c>
      <c r="D57" s="25">
        <f t="shared" si="7"/>
        <v>72.686630438971747</v>
      </c>
      <c r="E57" s="4">
        <f t="shared" si="6"/>
        <v>0.8649</v>
      </c>
      <c r="F57" s="25">
        <v>74.409193295918755</v>
      </c>
      <c r="G57" s="25">
        <v>76.116666666666674</v>
      </c>
      <c r="H57" s="153">
        <f t="shared" si="3"/>
        <v>2.3149866040027178E-2</v>
      </c>
      <c r="I57" s="1">
        <v>51</v>
      </c>
      <c r="J57" s="112">
        <f t="shared" si="8"/>
        <v>97.75676806996114</v>
      </c>
      <c r="K57" s="115">
        <f t="shared" si="9"/>
        <v>95.493711984635524</v>
      </c>
      <c r="L57" s="177" t="s">
        <v>709</v>
      </c>
      <c r="M57" s="121" t="s">
        <v>326</v>
      </c>
      <c r="N57" s="121" t="s">
        <v>327</v>
      </c>
      <c r="O57" s="121" t="s">
        <v>328</v>
      </c>
      <c r="P57" s="123">
        <v>20152</v>
      </c>
      <c r="Q57" s="124" t="s">
        <v>809</v>
      </c>
      <c r="R57" s="121" t="s">
        <v>555</v>
      </c>
      <c r="S57" s="138">
        <v>38802</v>
      </c>
      <c r="T57" s="133"/>
      <c r="U57" s="1">
        <v>51</v>
      </c>
      <c r="V57" s="4"/>
      <c r="W57" s="4"/>
    </row>
    <row r="58" spans="1:23">
      <c r="A58" s="1">
        <v>52</v>
      </c>
      <c r="B58" s="120">
        <v>5.5625000000000001E-2</v>
      </c>
      <c r="C58" s="25">
        <f t="shared" si="1"/>
        <v>80.099999999999994</v>
      </c>
      <c r="D58" s="25">
        <f t="shared" si="7"/>
        <v>73.562680396286765</v>
      </c>
      <c r="E58" s="4">
        <f t="shared" si="6"/>
        <v>0.85460000000000003</v>
      </c>
      <c r="F58" s="25">
        <v>75.306209188207561</v>
      </c>
      <c r="G58" s="25">
        <v>80.099999999999994</v>
      </c>
      <c r="H58" s="153">
        <f t="shared" si="3"/>
        <v>2.3152523685839969E-2</v>
      </c>
      <c r="I58" s="1">
        <v>52</v>
      </c>
      <c r="J58" s="112">
        <f t="shared" si="8"/>
        <v>94.015242432219182</v>
      </c>
      <c r="K58" s="115">
        <f t="shared" si="9"/>
        <v>91.838552304977242</v>
      </c>
      <c r="L58" s="177" t="s">
        <v>710</v>
      </c>
      <c r="M58" s="121" t="s">
        <v>609</v>
      </c>
      <c r="N58" s="121" t="s">
        <v>810</v>
      </c>
      <c r="O58" s="121" t="s">
        <v>578</v>
      </c>
      <c r="P58" s="123">
        <v>21934</v>
      </c>
      <c r="Q58" s="124"/>
      <c r="R58" s="121" t="s">
        <v>649</v>
      </c>
      <c r="S58" s="138">
        <v>40979</v>
      </c>
      <c r="T58" s="133"/>
      <c r="U58" s="1">
        <v>52</v>
      </c>
      <c r="V58" s="4"/>
      <c r="W58" s="4"/>
    </row>
    <row r="59" spans="1:23">
      <c r="A59" s="1">
        <v>53</v>
      </c>
      <c r="B59" s="120">
        <v>5.5706018518518516E-2</v>
      </c>
      <c r="C59" s="25">
        <f t="shared" si="1"/>
        <v>80.216666666666669</v>
      </c>
      <c r="D59" s="25">
        <f t="shared" si="7"/>
        <v>74.468925215193877</v>
      </c>
      <c r="E59" s="4">
        <f t="shared" si="6"/>
        <v>0.84419999999999995</v>
      </c>
      <c r="F59" s="25">
        <v>76.225116351832298</v>
      </c>
      <c r="G59" s="25">
        <v>80.216666666666669</v>
      </c>
      <c r="H59" s="153">
        <f t="shared" si="3"/>
        <v>2.3039533695591474E-2</v>
      </c>
      <c r="I59" s="1">
        <v>53</v>
      </c>
      <c r="J59" s="112">
        <f t="shared" si="8"/>
        <v>95.024038668396784</v>
      </c>
      <c r="K59" s="115">
        <f t="shared" si="9"/>
        <v>92.834729127605073</v>
      </c>
      <c r="L59" s="177" t="s">
        <v>711</v>
      </c>
      <c r="M59" s="121" t="s">
        <v>811</v>
      </c>
      <c r="N59" s="121" t="s">
        <v>812</v>
      </c>
      <c r="O59" s="121" t="s">
        <v>813</v>
      </c>
      <c r="P59" s="123">
        <v>23167</v>
      </c>
      <c r="Q59" s="124"/>
      <c r="R59" s="121" t="s">
        <v>814</v>
      </c>
      <c r="S59" s="138">
        <v>42526</v>
      </c>
      <c r="T59" s="133"/>
      <c r="U59" s="1">
        <v>53</v>
      </c>
      <c r="V59" s="4"/>
      <c r="W59" s="4"/>
    </row>
    <row r="60" spans="1:23">
      <c r="A60" s="1">
        <v>54</v>
      </c>
      <c r="B60" s="120">
        <v>5.541666666666667E-2</v>
      </c>
      <c r="C60" s="25">
        <f t="shared" si="1"/>
        <v>79.800000000000011</v>
      </c>
      <c r="D60" s="25">
        <f t="shared" si="7"/>
        <v>75.388735659751376</v>
      </c>
      <c r="E60" s="4">
        <f t="shared" si="6"/>
        <v>0.83389999999999997</v>
      </c>
      <c r="F60" s="25">
        <v>77.166726056142849</v>
      </c>
      <c r="G60" s="25">
        <v>79.800000000000011</v>
      </c>
      <c r="H60" s="153">
        <f t="shared" si="3"/>
        <v>2.3040894531379912E-2</v>
      </c>
      <c r="I60" s="1">
        <v>54</v>
      </c>
      <c r="J60" s="112">
        <f t="shared" si="8"/>
        <v>96.700157965091279</v>
      </c>
      <c r="K60" s="115">
        <f t="shared" si="9"/>
        <v>94.472099824249838</v>
      </c>
      <c r="L60" s="177" t="s">
        <v>712</v>
      </c>
      <c r="M60" s="121" t="s">
        <v>343</v>
      </c>
      <c r="N60" s="121" t="s">
        <v>344</v>
      </c>
      <c r="O60" s="121" t="s">
        <v>345</v>
      </c>
      <c r="P60" s="123">
        <v>21769</v>
      </c>
      <c r="Q60" s="124"/>
      <c r="R60" s="121" t="s">
        <v>815</v>
      </c>
      <c r="S60" s="138">
        <v>41707</v>
      </c>
      <c r="T60" s="133"/>
      <c r="U60" s="1">
        <v>54</v>
      </c>
      <c r="V60" s="4"/>
      <c r="W60" s="4"/>
    </row>
    <row r="61" spans="1:23">
      <c r="A61" s="1">
        <v>55</v>
      </c>
      <c r="B61" s="120">
        <v>5.5300925925925927E-2</v>
      </c>
      <c r="C61" s="25">
        <f t="shared" si="1"/>
        <v>79.63333333333334</v>
      </c>
      <c r="D61" s="25">
        <f t="shared" si="7"/>
        <v>76.340821696012952</v>
      </c>
      <c r="E61" s="4">
        <f t="shared" si="6"/>
        <v>0.82350000000000001</v>
      </c>
      <c r="F61" s="25">
        <v>78.131890158348369</v>
      </c>
      <c r="G61" s="25">
        <v>79.649999999999991</v>
      </c>
      <c r="H61" s="153">
        <f t="shared" si="3"/>
        <v>2.2923654588484853E-2</v>
      </c>
      <c r="I61" s="1">
        <v>55</v>
      </c>
      <c r="J61" s="112">
        <f t="shared" si="8"/>
        <v>98.114554405627914</v>
      </c>
      <c r="K61" s="115">
        <f t="shared" si="9"/>
        <v>95.8654102503302</v>
      </c>
      <c r="L61" s="439">
        <v>5.5300925925925927E-2</v>
      </c>
      <c r="M61" s="121" t="s">
        <v>343</v>
      </c>
      <c r="N61" s="121" t="s">
        <v>344</v>
      </c>
      <c r="O61" s="121" t="s">
        <v>345</v>
      </c>
      <c r="P61" s="123">
        <v>21769</v>
      </c>
      <c r="Q61" s="124"/>
      <c r="R61" s="121" t="s">
        <v>815</v>
      </c>
      <c r="S61" s="138">
        <v>42071</v>
      </c>
      <c r="T61" s="133"/>
      <c r="U61" s="1">
        <v>55</v>
      </c>
      <c r="V61" s="4"/>
      <c r="W61" s="4"/>
    </row>
    <row r="62" spans="1:23">
      <c r="A62" s="1">
        <v>56</v>
      </c>
      <c r="B62" s="120">
        <v>5.5625000000000001E-2</v>
      </c>
      <c r="C62" s="25">
        <f t="shared" si="1"/>
        <v>80.099999999999994</v>
      </c>
      <c r="D62" s="25">
        <f t="shared" si="7"/>
        <v>77.307755369732746</v>
      </c>
      <c r="E62" s="4">
        <f t="shared" si="6"/>
        <v>0.81320000000000003</v>
      </c>
      <c r="F62" s="25">
        <v>79.121503673933333</v>
      </c>
      <c r="G62" s="25">
        <v>80.099999999999994</v>
      </c>
      <c r="H62" s="153">
        <f t="shared" si="3"/>
        <v>2.2923582338313524E-2</v>
      </c>
      <c r="I62" s="1">
        <v>56</v>
      </c>
      <c r="J62" s="112">
        <f t="shared" si="8"/>
        <v>98.778406584186442</v>
      </c>
      <c r="K62" s="115">
        <f t="shared" si="9"/>
        <v>96.514051647606436</v>
      </c>
      <c r="L62" s="177" t="s">
        <v>710</v>
      </c>
      <c r="M62" s="121" t="s">
        <v>343</v>
      </c>
      <c r="N62" s="121" t="s">
        <v>344</v>
      </c>
      <c r="O62" s="121" t="s">
        <v>345</v>
      </c>
      <c r="P62" s="123">
        <v>21769</v>
      </c>
      <c r="Q62" s="124"/>
      <c r="R62" s="121" t="s">
        <v>816</v>
      </c>
      <c r="S62" s="138">
        <v>42232</v>
      </c>
      <c r="T62" s="133"/>
      <c r="U62" s="1">
        <v>56</v>
      </c>
      <c r="V62" s="4"/>
      <c r="W62" s="4"/>
    </row>
    <row r="63" spans="1:23">
      <c r="A63" s="1">
        <v>57</v>
      </c>
      <c r="B63" s="120">
        <v>5.8958333333333335E-2</v>
      </c>
      <c r="C63" s="25">
        <f t="shared" si="1"/>
        <v>84.9</v>
      </c>
      <c r="D63" s="25">
        <f t="shared" si="7"/>
        <v>78.309250954990873</v>
      </c>
      <c r="E63" s="4">
        <f t="shared" si="6"/>
        <v>0.80279999999999996</v>
      </c>
      <c r="F63" s="25">
        <v>80.136507544920036</v>
      </c>
      <c r="G63" s="25">
        <v>84.9</v>
      </c>
      <c r="H63" s="153">
        <f t="shared" si="3"/>
        <v>2.2801799652984702E-2</v>
      </c>
      <c r="I63" s="1">
        <v>57</v>
      </c>
      <c r="J63" s="112">
        <f t="shared" si="8"/>
        <v>94.389290394487659</v>
      </c>
      <c r="K63" s="115">
        <f t="shared" si="9"/>
        <v>92.237044705525179</v>
      </c>
      <c r="L63" s="177" t="s">
        <v>713</v>
      </c>
      <c r="M63" s="121" t="s">
        <v>351</v>
      </c>
      <c r="N63" s="121" t="s">
        <v>352</v>
      </c>
      <c r="O63" s="121" t="s">
        <v>241</v>
      </c>
      <c r="P63" s="123">
        <v>20087</v>
      </c>
      <c r="Q63" s="124" t="s">
        <v>817</v>
      </c>
      <c r="R63" s="121" t="s">
        <v>818</v>
      </c>
      <c r="S63" s="138">
        <v>41231</v>
      </c>
      <c r="T63" s="133"/>
      <c r="U63" s="1">
        <v>57</v>
      </c>
      <c r="V63" s="4"/>
      <c r="W63" s="4"/>
    </row>
    <row r="64" spans="1:23">
      <c r="A64" s="1">
        <v>58</v>
      </c>
      <c r="B64" s="120">
        <v>5.8553240740740739E-2</v>
      </c>
      <c r="C64" s="25">
        <f t="shared" si="1"/>
        <v>84.316666666666663</v>
      </c>
      <c r="D64" s="25">
        <f t="shared" si="7"/>
        <v>79.327024185068353</v>
      </c>
      <c r="E64" s="4">
        <f t="shared" si="6"/>
        <v>0.79249999999999998</v>
      </c>
      <c r="F64" s="25">
        <v>81.177891623974347</v>
      </c>
      <c r="G64" s="25">
        <v>84.833333333333329</v>
      </c>
      <c r="H64" s="153">
        <f t="shared" si="3"/>
        <v>2.2800141785887119E-2</v>
      </c>
      <c r="I64" s="1">
        <v>58</v>
      </c>
      <c r="J64" s="112">
        <f t="shared" si="8"/>
        <v>96.277396668085814</v>
      </c>
      <c r="K64" s="115">
        <f t="shared" si="9"/>
        <v>94.082258373277355</v>
      </c>
      <c r="L64" s="177" t="s">
        <v>1033</v>
      </c>
      <c r="M64" s="132" t="s">
        <v>1055</v>
      </c>
      <c r="N64" s="132" t="s">
        <v>1056</v>
      </c>
      <c r="O64" s="121" t="s">
        <v>241</v>
      </c>
      <c r="P64" s="123">
        <v>23193</v>
      </c>
      <c r="Q64" s="184" t="s">
        <v>1057</v>
      </c>
      <c r="R64" s="132" t="s">
        <v>1058</v>
      </c>
      <c r="S64" s="138">
        <v>44472</v>
      </c>
      <c r="T64" s="133" t="s">
        <v>1059</v>
      </c>
      <c r="U64" s="1">
        <v>58</v>
      </c>
      <c r="V64" s="4"/>
      <c r="W64" s="4"/>
    </row>
    <row r="65" spans="1:23">
      <c r="A65" s="1">
        <v>59</v>
      </c>
      <c r="B65" s="120">
        <v>5.9710648148148152E-2</v>
      </c>
      <c r="C65" s="25">
        <f t="shared" si="1"/>
        <v>85.983333333333334</v>
      </c>
      <c r="D65" s="25">
        <f t="shared" si="7"/>
        <v>80.381877850232286</v>
      </c>
      <c r="E65" s="4">
        <f t="shared" si="6"/>
        <v>0.78210000000000002</v>
      </c>
      <c r="F65" s="25">
        <v>82.246697894248214</v>
      </c>
      <c r="G65" s="25">
        <v>86</v>
      </c>
      <c r="H65" s="153">
        <f t="shared" si="3"/>
        <v>2.267349439868931E-2</v>
      </c>
      <c r="I65" s="1">
        <v>59</v>
      </c>
      <c r="J65" s="112">
        <f t="shared" si="8"/>
        <v>95.654232867898671</v>
      </c>
      <c r="K65" s="115">
        <f t="shared" si="9"/>
        <v>93.485417154757457</v>
      </c>
      <c r="L65" s="439">
        <v>5.9722222222222225E-2</v>
      </c>
      <c r="M65" s="121" t="s">
        <v>819</v>
      </c>
      <c r="N65" s="121" t="s">
        <v>820</v>
      </c>
      <c r="O65" s="121" t="s">
        <v>345</v>
      </c>
      <c r="P65" s="123">
        <v>20518</v>
      </c>
      <c r="Q65" s="124"/>
      <c r="R65" s="121" t="s">
        <v>821</v>
      </c>
      <c r="S65" s="138">
        <v>42113</v>
      </c>
      <c r="T65" s="133"/>
      <c r="U65" s="1">
        <v>59</v>
      </c>
      <c r="V65" s="4"/>
      <c r="W65" s="4"/>
    </row>
    <row r="66" spans="1:23">
      <c r="A66" s="1">
        <v>60</v>
      </c>
      <c r="B66" s="120">
        <v>5.8090277777777775E-2</v>
      </c>
      <c r="C66" s="25">
        <f t="shared" si="1"/>
        <v>83.649999999999991</v>
      </c>
      <c r="D66" s="25">
        <f t="shared" si="7"/>
        <v>81.454608275028065</v>
      </c>
      <c r="E66" s="4">
        <f t="shared" ref="E66:E97" si="10">ROUND(1-IF(A66&lt;I$3,0,IF(A66&lt;I$4,G$3*(A66-I$3)^2,G$2+G$4*(A66-I$4)+(A66&gt;I$5)*G$5*(A66-I$5)^2)),4)</f>
        <v>0.77180000000000004</v>
      </c>
      <c r="F66" s="25">
        <v>83.344023946974559</v>
      </c>
      <c r="G66" s="25">
        <v>84.933333333333337</v>
      </c>
      <c r="H66" s="153">
        <f t="shared" si="3"/>
        <v>2.2670079778588391E-2</v>
      </c>
      <c r="I66" s="1">
        <v>60</v>
      </c>
      <c r="J66" s="112">
        <f t="shared" si="8"/>
        <v>99.634218705289385</v>
      </c>
      <c r="K66" s="115">
        <f t="shared" si="9"/>
        <v>97.375503018563151</v>
      </c>
      <c r="L66" s="177" t="s">
        <v>1034</v>
      </c>
      <c r="M66" s="121" t="s">
        <v>1055</v>
      </c>
      <c r="N66" s="121" t="s">
        <v>1056</v>
      </c>
      <c r="O66" s="121" t="s">
        <v>241</v>
      </c>
      <c r="P66" s="123">
        <v>23193</v>
      </c>
      <c r="Q66" s="187" t="s">
        <v>1060</v>
      </c>
      <c r="R66" s="187" t="s">
        <v>891</v>
      </c>
      <c r="S66" s="401">
        <v>45207</v>
      </c>
      <c r="T66" s="133"/>
      <c r="U66" s="1">
        <v>60</v>
      </c>
      <c r="V66" s="4"/>
      <c r="W66" s="4"/>
    </row>
    <row r="67" spans="1:23">
      <c r="A67" s="1">
        <v>61</v>
      </c>
      <c r="B67" s="120">
        <v>5.7326388888888892E-2</v>
      </c>
      <c r="C67" s="25">
        <f t="shared" si="1"/>
        <v>82.550000000000011</v>
      </c>
      <c r="D67" s="25">
        <f t="shared" si="7"/>
        <v>82.567200770510468</v>
      </c>
      <c r="E67" s="4">
        <f t="shared" si="10"/>
        <v>0.76139999999999997</v>
      </c>
      <c r="F67" s="25">
        <v>84.471026741212668</v>
      </c>
      <c r="G67" s="25">
        <v>86.516666666666666</v>
      </c>
      <c r="H67" s="153">
        <f t="shared" si="3"/>
        <v>2.2538212735768025E-2</v>
      </c>
      <c r="I67" s="1">
        <v>61</v>
      </c>
      <c r="J67" s="112">
        <f t="shared" si="8"/>
        <v>102.32710689426123</v>
      </c>
      <c r="K67" s="115">
        <f t="shared" si="9"/>
        <v>100.02083679044271</v>
      </c>
      <c r="L67" s="177" t="s">
        <v>1035</v>
      </c>
      <c r="M67" s="121" t="s">
        <v>1061</v>
      </c>
      <c r="N67" s="121" t="s">
        <v>1062</v>
      </c>
      <c r="O67" s="121" t="s">
        <v>1063</v>
      </c>
      <c r="P67" s="123"/>
      <c r="Q67" s="124" t="s">
        <v>799</v>
      </c>
      <c r="R67" s="121" t="s">
        <v>800</v>
      </c>
      <c r="S67" s="138">
        <v>45368</v>
      </c>
      <c r="T67" s="133"/>
      <c r="U67" s="1">
        <v>61</v>
      </c>
      <c r="V67" s="4"/>
      <c r="W67" s="4"/>
    </row>
    <row r="68" spans="1:23">
      <c r="A68" s="1">
        <v>62</v>
      </c>
      <c r="B68" s="120">
        <v>6.0335648148148145E-2</v>
      </c>
      <c r="C68" s="25">
        <f t="shared" si="1"/>
        <v>86.883333333333326</v>
      </c>
      <c r="D68" s="25">
        <f t="shared" si="7"/>
        <v>83.699463009807843</v>
      </c>
      <c r="E68" s="4">
        <f t="shared" si="10"/>
        <v>0.75109999999999999</v>
      </c>
      <c r="F68" s="25">
        <v>85.628926672817542</v>
      </c>
      <c r="G68" s="25">
        <v>86.883333333333326</v>
      </c>
      <c r="H68" s="153">
        <f t="shared" si="3"/>
        <v>2.2532848862885455E-2</v>
      </c>
      <c r="I68" s="1">
        <v>62</v>
      </c>
      <c r="J68" s="112">
        <f t="shared" si="8"/>
        <v>98.556217156513583</v>
      </c>
      <c r="K68" s="115">
        <f t="shared" si="9"/>
        <v>96.335464810828142</v>
      </c>
      <c r="L68" s="177" t="s">
        <v>714</v>
      </c>
      <c r="M68" s="121" t="s">
        <v>822</v>
      </c>
      <c r="N68" s="121" t="s">
        <v>823</v>
      </c>
      <c r="O68" s="121" t="s">
        <v>522</v>
      </c>
      <c r="P68" s="123">
        <v>17849</v>
      </c>
      <c r="Q68" s="124"/>
      <c r="R68" s="121" t="s">
        <v>824</v>
      </c>
      <c r="S68" s="138">
        <v>40678</v>
      </c>
      <c r="T68" s="133"/>
      <c r="U68" s="1">
        <v>62</v>
      </c>
      <c r="V68" s="4"/>
      <c r="W68" s="4"/>
    </row>
    <row r="69" spans="1:23">
      <c r="A69" s="1">
        <v>63</v>
      </c>
      <c r="B69" s="120">
        <v>6.1076388888888888E-2</v>
      </c>
      <c r="C69" s="25">
        <f t="shared" si="1"/>
        <v>87.95</v>
      </c>
      <c r="D69" s="25">
        <f t="shared" si="7"/>
        <v>84.874668106745872</v>
      </c>
      <c r="E69" s="4">
        <f t="shared" si="10"/>
        <v>0.74070000000000003</v>
      </c>
      <c r="F69" s="25">
        <v>86.81901198271639</v>
      </c>
      <c r="G69" s="25">
        <v>87.95</v>
      </c>
      <c r="H69" s="153">
        <f t="shared" si="3"/>
        <v>2.2395369764834347E-2</v>
      </c>
      <c r="I69" s="1">
        <v>63</v>
      </c>
      <c r="J69" s="112">
        <f t="shared" si="8"/>
        <v>98.714055693821919</v>
      </c>
      <c r="K69" s="115">
        <f t="shared" si="9"/>
        <v>96.503317915572339</v>
      </c>
      <c r="L69" s="177" t="s">
        <v>715</v>
      </c>
      <c r="M69" s="121" t="s">
        <v>372</v>
      </c>
      <c r="N69" s="121" t="s">
        <v>373</v>
      </c>
      <c r="O69" s="121" t="s">
        <v>284</v>
      </c>
      <c r="P69" s="123">
        <v>17277</v>
      </c>
      <c r="Q69" s="124"/>
      <c r="R69" s="121" t="s">
        <v>825</v>
      </c>
      <c r="S69" s="138">
        <v>40608</v>
      </c>
      <c r="T69" s="133"/>
      <c r="U69" s="1">
        <v>63</v>
      </c>
      <c r="V69" s="4"/>
      <c r="W69" s="4"/>
    </row>
    <row r="70" spans="1:23">
      <c r="A70" s="1">
        <v>64</v>
      </c>
      <c r="B70" s="120">
        <v>6.2812499999999993E-2</v>
      </c>
      <c r="C70" s="25">
        <f t="shared" si="1"/>
        <v>90.449999999999989</v>
      </c>
      <c r="D70" s="25">
        <f t="shared" si="7"/>
        <v>86.071558963125227</v>
      </c>
      <c r="E70" s="4">
        <f t="shared" si="10"/>
        <v>0.73040000000000005</v>
      </c>
      <c r="F70" s="25">
        <v>88.042643537968104</v>
      </c>
      <c r="G70" s="25">
        <v>90.449999999999989</v>
      </c>
      <c r="H70" s="153">
        <f t="shared" si="3"/>
        <v>2.2387839524523737E-2</v>
      </c>
      <c r="I70" s="1">
        <v>64</v>
      </c>
      <c r="J70" s="112">
        <f t="shared" si="8"/>
        <v>97.338467150876852</v>
      </c>
      <c r="K70" s="115">
        <f t="shared" si="9"/>
        <v>95.159269168739897</v>
      </c>
      <c r="L70" s="177" t="s">
        <v>716</v>
      </c>
      <c r="M70" s="121" t="s">
        <v>822</v>
      </c>
      <c r="N70" s="121" t="s">
        <v>823</v>
      </c>
      <c r="O70" s="121" t="s">
        <v>522</v>
      </c>
      <c r="P70" s="123">
        <v>17849</v>
      </c>
      <c r="Q70" s="124"/>
      <c r="R70" s="121" t="s">
        <v>636</v>
      </c>
      <c r="S70" s="138">
        <v>41420</v>
      </c>
      <c r="T70" s="133"/>
      <c r="U70" s="1">
        <v>64</v>
      </c>
      <c r="V70" s="4"/>
      <c r="W70" s="4"/>
    </row>
    <row r="71" spans="1:23">
      <c r="A71" s="1">
        <v>65</v>
      </c>
      <c r="B71" s="120">
        <v>6.4537037037037032E-2</v>
      </c>
      <c r="C71" s="25">
        <f t="shared" si="1"/>
        <v>92.933333333333323</v>
      </c>
      <c r="D71" s="25">
        <f t="shared" si="7"/>
        <v>87.314814814814824</v>
      </c>
      <c r="E71" s="4">
        <f t="shared" si="10"/>
        <v>0.72</v>
      </c>
      <c r="F71" s="25">
        <v>89.301260022909503</v>
      </c>
      <c r="G71" s="25">
        <v>92.933333333333351</v>
      </c>
      <c r="H71" s="153">
        <f t="shared" si="3"/>
        <v>2.2244313323071509E-2</v>
      </c>
      <c r="I71" s="1">
        <v>65</v>
      </c>
      <c r="J71" s="112">
        <f t="shared" si="8"/>
        <v>96.091743209730467</v>
      </c>
      <c r="K71" s="115">
        <f t="shared" si="9"/>
        <v>93.95424836601309</v>
      </c>
      <c r="L71" s="177" t="s">
        <v>717</v>
      </c>
      <c r="M71" s="121" t="s">
        <v>826</v>
      </c>
      <c r="N71" s="121" t="s">
        <v>827</v>
      </c>
      <c r="O71" s="121" t="s">
        <v>522</v>
      </c>
      <c r="P71" s="123">
        <v>16132</v>
      </c>
      <c r="Q71" s="124"/>
      <c r="R71" s="121" t="s">
        <v>828</v>
      </c>
      <c r="S71" s="138">
        <v>39964</v>
      </c>
      <c r="T71" s="133"/>
      <c r="U71" s="1">
        <v>65</v>
      </c>
      <c r="V71" s="4"/>
      <c r="W71" s="4"/>
    </row>
    <row r="72" spans="1:23">
      <c r="A72" s="1">
        <v>66</v>
      </c>
      <c r="B72" s="120">
        <v>6.5787037037037033E-2</v>
      </c>
      <c r="C72" s="25">
        <f t="shared" si="1"/>
        <v>94.73333333333332</v>
      </c>
      <c r="D72" s="25">
        <f t="shared" si="7"/>
        <v>88.582029965713218</v>
      </c>
      <c r="E72" s="4">
        <f t="shared" si="10"/>
        <v>0.7097</v>
      </c>
      <c r="F72" s="25">
        <v>90.596383582020181</v>
      </c>
      <c r="G72" s="25">
        <v>94.73333333333332</v>
      </c>
      <c r="H72" s="153">
        <f t="shared" si="3"/>
        <v>2.2234371137820258E-2</v>
      </c>
      <c r="I72" s="1">
        <v>66</v>
      </c>
      <c r="J72" s="112">
        <f t="shared" si="8"/>
        <v>95.633057968353484</v>
      </c>
      <c r="K72" s="115">
        <f t="shared" si="9"/>
        <v>93.506717064440423</v>
      </c>
      <c r="L72" s="177" t="s">
        <v>718</v>
      </c>
      <c r="M72" s="121" t="s">
        <v>372</v>
      </c>
      <c r="N72" s="121" t="s">
        <v>373</v>
      </c>
      <c r="O72" s="121" t="s">
        <v>284</v>
      </c>
      <c r="P72" s="123">
        <v>17277</v>
      </c>
      <c r="Q72" s="124"/>
      <c r="R72" s="121" t="s">
        <v>825</v>
      </c>
      <c r="S72" s="138">
        <v>41700</v>
      </c>
      <c r="T72" s="133"/>
      <c r="U72" s="1">
        <v>66</v>
      </c>
      <c r="V72" s="4"/>
      <c r="W72" s="4"/>
    </row>
    <row r="73" spans="1:23">
      <c r="A73" s="1">
        <v>67</v>
      </c>
      <c r="B73" s="120">
        <v>6.5081018518518524E-2</v>
      </c>
      <c r="C73" s="25">
        <f t="shared" si="1"/>
        <v>93.716666666666669</v>
      </c>
      <c r="D73" s="25">
        <f t="shared" si="7"/>
        <v>89.899423232756561</v>
      </c>
      <c r="E73" s="4">
        <f t="shared" si="10"/>
        <v>0.69930000000000003</v>
      </c>
      <c r="F73" s="25">
        <v>91.929625961039577</v>
      </c>
      <c r="G73" s="25">
        <v>93.716666666666654</v>
      </c>
      <c r="H73" s="153">
        <f t="shared" si="3"/>
        <v>2.208431402890108E-2</v>
      </c>
      <c r="I73" s="1">
        <v>67</v>
      </c>
      <c r="J73" s="112">
        <f t="shared" si="8"/>
        <v>98.093145254532715</v>
      </c>
      <c r="K73" s="115">
        <f t="shared" si="9"/>
        <v>95.926825430649004</v>
      </c>
      <c r="L73" s="177" t="s">
        <v>719</v>
      </c>
      <c r="M73" s="121" t="s">
        <v>829</v>
      </c>
      <c r="N73" s="121" t="s">
        <v>830</v>
      </c>
      <c r="O73" s="121" t="s">
        <v>241</v>
      </c>
      <c r="P73" s="123">
        <v>15914</v>
      </c>
      <c r="Q73" s="124" t="s">
        <v>831</v>
      </c>
      <c r="R73" s="121" t="s">
        <v>832</v>
      </c>
      <c r="S73" s="138">
        <v>40586</v>
      </c>
      <c r="T73" s="133"/>
      <c r="U73" s="1">
        <v>67</v>
      </c>
      <c r="V73" s="4"/>
      <c r="W73" s="4"/>
    </row>
    <row r="74" spans="1:23">
      <c r="A74" s="1">
        <v>68</v>
      </c>
      <c r="B74" s="120">
        <v>6.3634259259259265E-2</v>
      </c>
      <c r="C74" s="25">
        <f t="shared" si="1"/>
        <v>91.63333333333334</v>
      </c>
      <c r="D74" s="25">
        <f t="shared" si="7"/>
        <v>91.243347847121441</v>
      </c>
      <c r="E74" s="4">
        <f t="shared" si="10"/>
        <v>0.68899999999999995</v>
      </c>
      <c r="F74" s="25">
        <v>93.302695198429788</v>
      </c>
      <c r="G74" s="25">
        <v>97.833333333333329</v>
      </c>
      <c r="H74" s="153">
        <f t="shared" ref="H74:H106" si="11">((F74-D74)/F74)</f>
        <v>2.2071681283468474E-2</v>
      </c>
      <c r="I74" s="1">
        <v>68</v>
      </c>
      <c r="J74" s="112">
        <f t="shared" si="8"/>
        <v>101.82178450174221</v>
      </c>
      <c r="K74" s="115">
        <f t="shared" si="9"/>
        <v>99.574406526505754</v>
      </c>
      <c r="L74" s="177" t="s">
        <v>1036</v>
      </c>
      <c r="M74" s="121" t="s">
        <v>351</v>
      </c>
      <c r="N74" s="121" t="s">
        <v>352</v>
      </c>
      <c r="O74" s="121" t="s">
        <v>241</v>
      </c>
      <c r="P74" s="123">
        <v>20087</v>
      </c>
      <c r="Q74" s="124" t="s">
        <v>1064</v>
      </c>
      <c r="R74" s="121" t="s">
        <v>1065</v>
      </c>
      <c r="S74" s="138">
        <v>45017</v>
      </c>
      <c r="T74" s="133"/>
      <c r="U74" s="1">
        <v>68</v>
      </c>
      <c r="V74" s="4"/>
      <c r="W74" s="4"/>
    </row>
    <row r="75" spans="1:23">
      <c r="A75" s="1">
        <v>69</v>
      </c>
      <c r="B75" s="120">
        <v>6.6111111111111107E-2</v>
      </c>
      <c r="C75" s="25">
        <f t="shared" si="1"/>
        <v>95.199999999999989</v>
      </c>
      <c r="D75" s="25">
        <f t="shared" ref="D75:D106" si="12">E$4/E75</f>
        <v>92.641713331368507</v>
      </c>
      <c r="E75" s="4">
        <f t="shared" si="10"/>
        <v>0.67859999999999998</v>
      </c>
      <c r="F75" s="25">
        <v>94.717402925596545</v>
      </c>
      <c r="G75" s="25">
        <v>95.199999999999989</v>
      </c>
      <c r="H75" s="153">
        <f t="shared" si="11"/>
        <v>2.1914553504582008E-2</v>
      </c>
      <c r="I75" s="1">
        <v>69</v>
      </c>
      <c r="J75" s="112">
        <f t="shared" ref="J75:J91" si="13">100*F75/+C75</f>
        <v>99.493070299996376</v>
      </c>
      <c r="K75" s="115">
        <f t="shared" ref="K75:K92" si="14">100*(D75/C75)</f>
        <v>97.312724087571979</v>
      </c>
      <c r="L75" s="177" t="s">
        <v>720</v>
      </c>
      <c r="M75" s="121" t="s">
        <v>372</v>
      </c>
      <c r="N75" s="121" t="s">
        <v>373</v>
      </c>
      <c r="O75" s="121" t="s">
        <v>284</v>
      </c>
      <c r="P75" s="123">
        <v>17277</v>
      </c>
      <c r="Q75" s="124"/>
      <c r="R75" s="121" t="s">
        <v>825</v>
      </c>
      <c r="S75" s="138">
        <v>42806</v>
      </c>
      <c r="T75" s="133"/>
      <c r="U75" s="1">
        <v>69</v>
      </c>
      <c r="V75" s="4"/>
      <c r="W75" s="4"/>
    </row>
    <row r="76" spans="1:23">
      <c r="A76" s="1">
        <v>70</v>
      </c>
      <c r="B76" s="120">
        <v>6.7800925925925931E-2</v>
      </c>
      <c r="C76" s="25">
        <f t="shared" ref="C76:C89" si="15">B76*1440</f>
        <v>97.63333333333334</v>
      </c>
      <c r="D76" s="25">
        <f t="shared" si="12"/>
        <v>94.069529652351733</v>
      </c>
      <c r="E76" s="4">
        <f t="shared" si="10"/>
        <v>0.66830000000000001</v>
      </c>
      <c r="F76" s="25">
        <v>96.175672341475448</v>
      </c>
      <c r="G76" s="25">
        <v>97.633333333333326</v>
      </c>
      <c r="H76" s="153">
        <f t="shared" si="11"/>
        <v>2.1898913081114458E-2</v>
      </c>
      <c r="I76" s="1">
        <v>70</v>
      </c>
      <c r="J76" s="112">
        <f t="shared" si="13"/>
        <v>98.507004788127801</v>
      </c>
      <c r="K76" s="115">
        <f t="shared" si="14"/>
        <v>96.349808452391656</v>
      </c>
      <c r="L76" s="177" t="s">
        <v>721</v>
      </c>
      <c r="M76" s="121" t="s">
        <v>630</v>
      </c>
      <c r="N76" s="121" t="s">
        <v>833</v>
      </c>
      <c r="O76" s="121" t="s">
        <v>632</v>
      </c>
      <c r="P76" s="123">
        <v>15962</v>
      </c>
      <c r="Q76" s="124"/>
      <c r="R76" s="121" t="s">
        <v>834</v>
      </c>
      <c r="S76" s="138">
        <v>41651</v>
      </c>
      <c r="T76" s="133"/>
      <c r="U76" s="1">
        <v>70</v>
      </c>
      <c r="V76" s="4"/>
      <c r="W76" s="4"/>
    </row>
    <row r="77" spans="1:23">
      <c r="A77" s="1">
        <v>71</v>
      </c>
      <c r="B77" s="120">
        <v>6.7372685185185188E-2</v>
      </c>
      <c r="C77" s="25">
        <f t="shared" si="15"/>
        <v>97.016666666666666</v>
      </c>
      <c r="D77" s="25">
        <f t="shared" si="12"/>
        <v>95.55656888078228</v>
      </c>
      <c r="E77" s="4">
        <f t="shared" si="10"/>
        <v>0.65790000000000004</v>
      </c>
      <c r="F77" s="25">
        <v>97.67954693529795</v>
      </c>
      <c r="G77" s="25">
        <v>97.016666666666666</v>
      </c>
      <c r="H77" s="153">
        <f t="shared" si="11"/>
        <v>2.1734110375449544E-2</v>
      </c>
      <c r="I77" s="1">
        <v>71</v>
      </c>
      <c r="J77" s="112">
        <f t="shared" si="13"/>
        <v>100.68326432087059</v>
      </c>
      <c r="K77" s="115">
        <f t="shared" si="14"/>
        <v>98.495003141160225</v>
      </c>
      <c r="L77" s="178" t="s">
        <v>722</v>
      </c>
      <c r="M77" s="121" t="s">
        <v>382</v>
      </c>
      <c r="N77" s="121" t="s">
        <v>383</v>
      </c>
      <c r="O77" s="121" t="s">
        <v>241</v>
      </c>
      <c r="P77" s="123">
        <v>17637</v>
      </c>
      <c r="Q77" s="125" t="s">
        <v>835</v>
      </c>
      <c r="R77" s="125" t="s">
        <v>836</v>
      </c>
      <c r="S77" s="436">
        <v>43687</v>
      </c>
      <c r="T77" s="167"/>
      <c r="U77" s="1">
        <v>71</v>
      </c>
      <c r="V77" s="4"/>
      <c r="W77" s="4"/>
    </row>
    <row r="78" spans="1:23">
      <c r="A78" s="1">
        <v>72</v>
      </c>
      <c r="B78" s="120">
        <v>7.3402777777777775E-2</v>
      </c>
      <c r="C78" s="25">
        <f t="shared" si="15"/>
        <v>105.7</v>
      </c>
      <c r="D78" s="25">
        <f t="shared" si="12"/>
        <v>97.076384599547055</v>
      </c>
      <c r="E78" s="4">
        <f t="shared" si="10"/>
        <v>0.64759999999999995</v>
      </c>
      <c r="F78" s="25">
        <v>99.231200040731139</v>
      </c>
      <c r="G78" s="25">
        <v>105.7</v>
      </c>
      <c r="H78" s="153">
        <f t="shared" si="11"/>
        <v>2.1715100092507229E-2</v>
      </c>
      <c r="I78" s="1">
        <v>72</v>
      </c>
      <c r="J78" s="112">
        <f t="shared" si="13"/>
        <v>93.880037881486416</v>
      </c>
      <c r="K78" s="115">
        <f t="shared" si="14"/>
        <v>91.841423462201561</v>
      </c>
      <c r="L78" s="177" t="s">
        <v>723</v>
      </c>
      <c r="M78" s="121" t="s">
        <v>634</v>
      </c>
      <c r="N78" s="121" t="s">
        <v>837</v>
      </c>
      <c r="O78" s="121" t="s">
        <v>320</v>
      </c>
      <c r="P78" s="123">
        <v>14907</v>
      </c>
      <c r="Q78" s="124"/>
      <c r="R78" s="121" t="s">
        <v>636</v>
      </c>
      <c r="S78" s="138">
        <v>41420</v>
      </c>
      <c r="T78" s="133"/>
      <c r="U78" s="1">
        <v>72</v>
      </c>
      <c r="V78" s="4"/>
      <c r="W78" s="4"/>
    </row>
    <row r="79" spans="1:23">
      <c r="A79" s="1">
        <v>73</v>
      </c>
      <c r="B79" s="120">
        <v>7.013888888888889E-2</v>
      </c>
      <c r="C79" s="25">
        <f t="shared" si="15"/>
        <v>101</v>
      </c>
      <c r="D79" s="25">
        <f t="shared" si="12"/>
        <v>98.660807700355718</v>
      </c>
      <c r="E79" s="4">
        <f t="shared" si="10"/>
        <v>0.63719999999999999</v>
      </c>
      <c r="F79" s="25">
        <v>100.8329453153293</v>
      </c>
      <c r="G79" s="25">
        <v>101</v>
      </c>
      <c r="H79" s="153">
        <f t="shared" si="11"/>
        <v>2.154194354018692E-2</v>
      </c>
      <c r="I79" s="1">
        <v>73</v>
      </c>
      <c r="J79" s="112">
        <f t="shared" si="13"/>
        <v>99.834599322108204</v>
      </c>
      <c r="K79" s="115">
        <f t="shared" si="14"/>
        <v>97.683968020154182</v>
      </c>
      <c r="L79" s="177" t="s">
        <v>676</v>
      </c>
      <c r="M79" s="121" t="s">
        <v>630</v>
      </c>
      <c r="N79" s="121" t="s">
        <v>833</v>
      </c>
      <c r="O79" s="121" t="s">
        <v>632</v>
      </c>
      <c r="P79" s="123">
        <v>15962</v>
      </c>
      <c r="Q79" s="124"/>
      <c r="R79" s="121" t="s">
        <v>838</v>
      </c>
      <c r="S79" s="138">
        <v>42680</v>
      </c>
      <c r="T79" s="133"/>
      <c r="U79" s="1">
        <v>73</v>
      </c>
      <c r="V79" s="4"/>
      <c r="W79" s="4"/>
    </row>
    <row r="80" spans="1:23">
      <c r="A80" s="1">
        <v>74</v>
      </c>
      <c r="B80" s="120">
        <v>7.6365740740740734E-2</v>
      </c>
      <c r="C80" s="25">
        <f t="shared" si="15"/>
        <v>109.96666666666665</v>
      </c>
      <c r="D80" s="25">
        <f t="shared" si="12"/>
        <v>100.28180996437497</v>
      </c>
      <c r="E80" s="4">
        <f t="shared" si="10"/>
        <v>0.62690000000000001</v>
      </c>
      <c r="F80" s="25">
        <v>102.4872482515644</v>
      </c>
      <c r="G80" s="25">
        <v>109.96666666666668</v>
      </c>
      <c r="H80" s="153">
        <f t="shared" si="11"/>
        <v>2.1519148233699981E-2</v>
      </c>
      <c r="I80" s="1">
        <v>74</v>
      </c>
      <c r="J80" s="112">
        <f t="shared" si="13"/>
        <v>93.198467643132233</v>
      </c>
      <c r="K80" s="115">
        <f t="shared" si="14"/>
        <v>91.192916002765983</v>
      </c>
      <c r="L80" s="177" t="s">
        <v>724</v>
      </c>
      <c r="M80" s="121" t="s">
        <v>642</v>
      </c>
      <c r="N80" s="121" t="s">
        <v>839</v>
      </c>
      <c r="O80" s="121" t="s">
        <v>345</v>
      </c>
      <c r="P80" s="123">
        <v>11078</v>
      </c>
      <c r="Q80" s="124"/>
      <c r="R80" s="121" t="s">
        <v>840</v>
      </c>
      <c r="S80" s="138">
        <v>38137</v>
      </c>
      <c r="T80" s="133"/>
      <c r="U80" s="1">
        <v>74</v>
      </c>
      <c r="V80" s="4"/>
      <c r="W80" s="4"/>
    </row>
    <row r="81" spans="1:23">
      <c r="A81" s="1">
        <v>75</v>
      </c>
      <c r="B81" s="120">
        <v>7.1631944444444443E-2</v>
      </c>
      <c r="C81" s="25">
        <f t="shared" si="15"/>
        <v>103.14999999999999</v>
      </c>
      <c r="D81" s="25">
        <f t="shared" si="12"/>
        <v>101.97350635306839</v>
      </c>
      <c r="E81" s="4">
        <f t="shared" si="10"/>
        <v>0.61650000000000005</v>
      </c>
      <c r="F81" s="25">
        <v>104.19673883988237</v>
      </c>
      <c r="G81" s="25">
        <v>110.00000000000001</v>
      </c>
      <c r="H81" s="153">
        <f t="shared" si="11"/>
        <v>2.1336872070731441E-2</v>
      </c>
      <c r="I81" s="1">
        <v>75</v>
      </c>
      <c r="J81" s="112">
        <f t="shared" si="13"/>
        <v>101.01477347540705</v>
      </c>
      <c r="K81" s="115">
        <f t="shared" si="14"/>
        <v>98.859434176508387</v>
      </c>
      <c r="L81" s="177" t="s">
        <v>1037</v>
      </c>
      <c r="M81" s="188" t="s">
        <v>382</v>
      </c>
      <c r="N81" s="188" t="s">
        <v>925</v>
      </c>
      <c r="O81" s="188" t="s">
        <v>241</v>
      </c>
      <c r="P81" s="189">
        <v>17637</v>
      </c>
      <c r="Q81" s="187" t="s">
        <v>1060</v>
      </c>
      <c r="R81" s="187" t="s">
        <v>891</v>
      </c>
      <c r="S81" s="401">
        <v>45207</v>
      </c>
      <c r="T81" s="133"/>
      <c r="U81" s="1">
        <v>75</v>
      </c>
      <c r="V81" s="4"/>
      <c r="W81" s="4"/>
    </row>
    <row r="82" spans="1:23">
      <c r="A82" s="1">
        <v>76</v>
      </c>
      <c r="B82" s="120">
        <v>7.3703703703703702E-2</v>
      </c>
      <c r="C82" s="25">
        <f t="shared" si="15"/>
        <v>106.13333333333333</v>
      </c>
      <c r="D82" s="25">
        <f t="shared" si="12"/>
        <v>103.75749573637015</v>
      </c>
      <c r="E82" s="4">
        <f t="shared" si="10"/>
        <v>0.60589999999999999</v>
      </c>
      <c r="F82" s="25">
        <v>105.96422552057849</v>
      </c>
      <c r="G82" s="25">
        <v>106.13333333333333</v>
      </c>
      <c r="H82" s="153">
        <f t="shared" si="11"/>
        <v>2.0825233925574223E-2</v>
      </c>
      <c r="I82" s="1">
        <v>76</v>
      </c>
      <c r="J82" s="112">
        <f t="shared" si="13"/>
        <v>99.840664749288791</v>
      </c>
      <c r="K82" s="115">
        <f t="shared" si="14"/>
        <v>97.761459550600023</v>
      </c>
      <c r="L82" s="438">
        <v>7.0115740740740742E-2</v>
      </c>
      <c r="M82" s="432" t="s">
        <v>382</v>
      </c>
      <c r="N82" s="432" t="s">
        <v>925</v>
      </c>
      <c r="O82" s="432" t="s">
        <v>241</v>
      </c>
      <c r="P82" s="433">
        <v>17637</v>
      </c>
      <c r="Q82" s="430" t="s">
        <v>2378</v>
      </c>
      <c r="R82" s="430" t="s">
        <v>2379</v>
      </c>
      <c r="S82" s="437">
        <v>45528</v>
      </c>
      <c r="T82" s="133"/>
      <c r="U82" s="1">
        <v>76</v>
      </c>
      <c r="V82" s="4"/>
      <c r="W82" s="4"/>
    </row>
    <row r="83" spans="1:23">
      <c r="A83" s="1">
        <v>77</v>
      </c>
      <c r="B83" s="120">
        <v>8.2013888888888886E-2</v>
      </c>
      <c r="C83" s="25">
        <f t="shared" si="15"/>
        <v>118.1</v>
      </c>
      <c r="D83" s="25">
        <f t="shared" si="12"/>
        <v>105.7471264367816</v>
      </c>
      <c r="E83" s="4">
        <f t="shared" si="10"/>
        <v>0.59450000000000003</v>
      </c>
      <c r="F83" s="25">
        <v>107.8822096756338</v>
      </c>
      <c r="G83" s="25">
        <v>118.1</v>
      </c>
      <c r="H83" s="153">
        <f t="shared" si="11"/>
        <v>1.9790874188355005E-2</v>
      </c>
      <c r="I83" s="1">
        <v>77</v>
      </c>
      <c r="J83" s="112">
        <f t="shared" si="13"/>
        <v>91.348187701637428</v>
      </c>
      <c r="K83" s="115">
        <f t="shared" si="14"/>
        <v>89.540327211500099</v>
      </c>
      <c r="L83" s="177" t="s">
        <v>725</v>
      </c>
      <c r="M83" s="121" t="s">
        <v>842</v>
      </c>
      <c r="N83" s="121" t="s">
        <v>843</v>
      </c>
      <c r="O83" s="121" t="s">
        <v>400</v>
      </c>
      <c r="P83" s="123">
        <v>10173</v>
      </c>
      <c r="Q83" s="124"/>
      <c r="R83" s="121" t="s">
        <v>661</v>
      </c>
      <c r="S83" s="138">
        <v>38634</v>
      </c>
      <c r="T83" s="133"/>
      <c r="U83" s="1">
        <v>77</v>
      </c>
      <c r="V83" s="4"/>
      <c r="W83" s="4"/>
    </row>
    <row r="84" spans="1:23">
      <c r="A84" s="1">
        <v>78</v>
      </c>
      <c r="B84" s="120">
        <v>8.1111111111111106E-2</v>
      </c>
      <c r="C84" s="25">
        <f t="shared" si="15"/>
        <v>116.8</v>
      </c>
      <c r="D84" s="25">
        <f t="shared" si="12"/>
        <v>107.98122065727699</v>
      </c>
      <c r="E84" s="4">
        <f t="shared" si="10"/>
        <v>0.58220000000000005</v>
      </c>
      <c r="F84" s="25">
        <v>110.00112879557513</v>
      </c>
      <c r="G84" s="25">
        <v>116.80000000000001</v>
      </c>
      <c r="H84" s="153">
        <f t="shared" si="11"/>
        <v>1.8362612824200281E-2</v>
      </c>
      <c r="I84" s="1">
        <v>78</v>
      </c>
      <c r="J84" s="112">
        <f t="shared" si="13"/>
        <v>94.179048626348575</v>
      </c>
      <c r="K84" s="115">
        <f t="shared" si="14"/>
        <v>92.449675220271402</v>
      </c>
      <c r="L84" s="177" t="s">
        <v>726</v>
      </c>
      <c r="M84" s="121" t="s">
        <v>842</v>
      </c>
      <c r="N84" s="121" t="s">
        <v>843</v>
      </c>
      <c r="O84" s="121" t="s">
        <v>400</v>
      </c>
      <c r="P84" s="123">
        <v>10173</v>
      </c>
      <c r="Q84" s="124"/>
      <c r="R84" s="121" t="s">
        <v>401</v>
      </c>
      <c r="S84" s="138">
        <v>38767</v>
      </c>
      <c r="T84" s="133"/>
      <c r="U84" s="1">
        <v>78</v>
      </c>
      <c r="V84" s="4"/>
      <c r="W84" s="4"/>
    </row>
    <row r="85" spans="1:23">
      <c r="A85" s="1">
        <v>79</v>
      </c>
      <c r="B85" s="120">
        <v>8.7418981481481486E-2</v>
      </c>
      <c r="C85" s="25">
        <f t="shared" si="15"/>
        <v>125.88333333333334</v>
      </c>
      <c r="D85" s="25">
        <f t="shared" si="12"/>
        <v>110.44741157179666</v>
      </c>
      <c r="E85" s="4">
        <f t="shared" si="10"/>
        <v>0.56920000000000004</v>
      </c>
      <c r="F85" s="25">
        <v>112.37963443464223</v>
      </c>
      <c r="G85" s="25">
        <v>125.89999999999999</v>
      </c>
      <c r="H85" s="153">
        <f t="shared" si="11"/>
        <v>1.7193710164356391E-2</v>
      </c>
      <c r="I85" s="1">
        <v>79</v>
      </c>
      <c r="J85" s="112">
        <f t="shared" si="13"/>
        <v>89.272846101926831</v>
      </c>
      <c r="K85" s="115">
        <f t="shared" si="14"/>
        <v>87.737914660503108</v>
      </c>
      <c r="L85" s="439">
        <v>8.7418981481481486E-2</v>
      </c>
      <c r="M85" s="121" t="s">
        <v>842</v>
      </c>
      <c r="N85" s="121" t="s">
        <v>843</v>
      </c>
      <c r="O85" s="121" t="s">
        <v>400</v>
      </c>
      <c r="P85" s="123">
        <v>10173</v>
      </c>
      <c r="Q85" s="124"/>
      <c r="R85" s="121" t="s">
        <v>401</v>
      </c>
      <c r="S85" s="138">
        <v>39124</v>
      </c>
      <c r="T85" s="133"/>
      <c r="U85" s="1">
        <v>79</v>
      </c>
      <c r="V85" s="4"/>
      <c r="W85" s="4"/>
    </row>
    <row r="86" spans="1:23">
      <c r="A86" s="1">
        <v>80</v>
      </c>
      <c r="B86" s="120">
        <v>8.6331018518518515E-2</v>
      </c>
      <c r="C86" s="25">
        <f t="shared" si="15"/>
        <v>124.31666666666666</v>
      </c>
      <c r="D86" s="25">
        <f t="shared" si="12"/>
        <v>113.19169367422879</v>
      </c>
      <c r="E86" s="4">
        <f t="shared" si="10"/>
        <v>0.5554</v>
      </c>
      <c r="F86" s="25">
        <v>115.02596789423986</v>
      </c>
      <c r="G86" s="25">
        <v>124.31666666666668</v>
      </c>
      <c r="H86" s="153">
        <f t="shared" si="11"/>
        <v>1.5946609740311715E-2</v>
      </c>
      <c r="I86" s="1">
        <v>80</v>
      </c>
      <c r="J86" s="112">
        <f t="shared" si="13"/>
        <v>92.52658632061123</v>
      </c>
      <c r="K86" s="115">
        <f t="shared" si="14"/>
        <v>91.051100957953182</v>
      </c>
      <c r="L86" s="177" t="s">
        <v>727</v>
      </c>
      <c r="M86" s="121" t="s">
        <v>842</v>
      </c>
      <c r="N86" s="121" t="s">
        <v>843</v>
      </c>
      <c r="O86" s="121" t="s">
        <v>400</v>
      </c>
      <c r="P86" s="123">
        <v>10173</v>
      </c>
      <c r="Q86" s="124"/>
      <c r="R86" s="121" t="s">
        <v>401</v>
      </c>
      <c r="S86" s="138">
        <v>39572</v>
      </c>
      <c r="T86" s="133"/>
      <c r="U86" s="1">
        <v>80</v>
      </c>
      <c r="V86" s="4"/>
      <c r="W86" s="4"/>
    </row>
    <row r="87" spans="1:23">
      <c r="A87" s="1">
        <v>81</v>
      </c>
      <c r="B87" s="120">
        <v>8.7037037037037038E-2</v>
      </c>
      <c r="C87" s="25">
        <f t="shared" si="15"/>
        <v>125.33333333333333</v>
      </c>
      <c r="D87" s="25">
        <f t="shared" si="12"/>
        <v>116.2690339683127</v>
      </c>
      <c r="E87" s="4">
        <f t="shared" si="10"/>
        <v>0.54069999999999996</v>
      </c>
      <c r="F87" s="25">
        <v>117.97106712668726</v>
      </c>
      <c r="G87" s="25">
        <v>125.33333333333333</v>
      </c>
      <c r="H87" s="153">
        <f t="shared" si="11"/>
        <v>1.4427547362496731E-2</v>
      </c>
      <c r="I87" s="1">
        <v>81</v>
      </c>
      <c r="J87" s="112">
        <f t="shared" si="13"/>
        <v>94.125851430867499</v>
      </c>
      <c r="K87" s="115">
        <f t="shared" si="14"/>
        <v>92.76784625131333</v>
      </c>
      <c r="L87" s="177" t="s">
        <v>728</v>
      </c>
      <c r="M87" s="121" t="s">
        <v>842</v>
      </c>
      <c r="N87" s="121" t="s">
        <v>843</v>
      </c>
      <c r="O87" s="121" t="s">
        <v>400</v>
      </c>
      <c r="P87" s="123">
        <v>10173</v>
      </c>
      <c r="Q87" s="124"/>
      <c r="R87" s="121" t="s">
        <v>661</v>
      </c>
      <c r="S87" s="138">
        <v>40097</v>
      </c>
      <c r="T87" s="133"/>
      <c r="U87" s="1">
        <v>81</v>
      </c>
      <c r="V87" s="4"/>
      <c r="W87" s="4"/>
    </row>
    <row r="88" spans="1:23">
      <c r="A88" s="1">
        <v>82</v>
      </c>
      <c r="B88" s="120">
        <v>9.4513888888888883E-2</v>
      </c>
      <c r="C88" s="25">
        <f t="shared" si="15"/>
        <v>136.1</v>
      </c>
      <c r="D88" s="25">
        <f t="shared" si="12"/>
        <v>119.67764452059141</v>
      </c>
      <c r="E88" s="4">
        <f t="shared" si="10"/>
        <v>0.52529999999999999</v>
      </c>
      <c r="F88" s="25">
        <v>121.2290850283013</v>
      </c>
      <c r="G88" s="25">
        <v>136.10000000000002</v>
      </c>
      <c r="H88" s="153">
        <f t="shared" si="11"/>
        <v>1.2797593146460652E-2</v>
      </c>
      <c r="I88" s="1">
        <v>82</v>
      </c>
      <c r="J88" s="112">
        <f t="shared" si="13"/>
        <v>89.07353786061816</v>
      </c>
      <c r="K88" s="115">
        <f t="shared" si="14"/>
        <v>87.933610962962106</v>
      </c>
      <c r="L88" s="177" t="s">
        <v>729</v>
      </c>
      <c r="M88" s="121" t="s">
        <v>655</v>
      </c>
      <c r="N88" s="121" t="s">
        <v>844</v>
      </c>
      <c r="O88" s="121" t="s">
        <v>845</v>
      </c>
      <c r="P88" s="123">
        <v>11590</v>
      </c>
      <c r="Q88" s="124"/>
      <c r="R88" s="121" t="s">
        <v>659</v>
      </c>
      <c r="S88" s="138">
        <v>41566</v>
      </c>
      <c r="T88" s="133"/>
      <c r="U88" s="1">
        <v>82</v>
      </c>
      <c r="V88" s="4"/>
      <c r="W88" s="4"/>
    </row>
    <row r="89" spans="1:23">
      <c r="A89" s="1">
        <v>83</v>
      </c>
      <c r="B89" s="120">
        <v>9.4756944444444449E-2</v>
      </c>
      <c r="C89" s="25">
        <f t="shared" si="15"/>
        <v>136.45000000000002</v>
      </c>
      <c r="D89" s="25">
        <f t="shared" si="12"/>
        <v>123.48589013291429</v>
      </c>
      <c r="E89" s="4">
        <f t="shared" si="10"/>
        <v>0.5091</v>
      </c>
      <c r="F89" s="25">
        <v>124.8878636421889</v>
      </c>
      <c r="G89" s="25">
        <v>136.45000000000002</v>
      </c>
      <c r="H89" s="153">
        <f t="shared" si="11"/>
        <v>1.122585868945079E-2</v>
      </c>
      <c r="I89" s="1">
        <v>83</v>
      </c>
      <c r="J89" s="112">
        <f t="shared" si="13"/>
        <v>91.526466575440736</v>
      </c>
      <c r="K89" s="115">
        <f t="shared" si="14"/>
        <v>90.499003395320102</v>
      </c>
      <c r="L89" s="177" t="s">
        <v>730</v>
      </c>
      <c r="M89" s="121" t="s">
        <v>655</v>
      </c>
      <c r="N89" s="121" t="s">
        <v>844</v>
      </c>
      <c r="O89" s="121" t="s">
        <v>845</v>
      </c>
      <c r="P89" s="123">
        <v>11590</v>
      </c>
      <c r="Q89" s="124"/>
      <c r="R89" s="121" t="s">
        <v>659</v>
      </c>
      <c r="S89" s="138">
        <v>42203</v>
      </c>
      <c r="T89" s="133"/>
      <c r="U89" s="1">
        <v>83</v>
      </c>
      <c r="V89" s="4"/>
      <c r="W89" s="4"/>
    </row>
    <row r="90" spans="1:23">
      <c r="A90" s="1">
        <v>84</v>
      </c>
      <c r="B90" s="120">
        <v>9.9722222222222226E-2</v>
      </c>
      <c r="C90" s="25">
        <f>B90*1440</f>
        <v>143.6</v>
      </c>
      <c r="D90" s="25">
        <f t="shared" si="12"/>
        <v>127.75181196233828</v>
      </c>
      <c r="E90" s="4">
        <f t="shared" si="10"/>
        <v>0.49209999999999998</v>
      </c>
      <c r="F90" s="25">
        <v>128.97888955065847</v>
      </c>
      <c r="G90" s="25">
        <v>143.6</v>
      </c>
      <c r="H90" s="153">
        <f t="shared" si="11"/>
        <v>9.5137862683972885E-3</v>
      </c>
      <c r="I90" s="1">
        <v>84</v>
      </c>
      <c r="J90" s="112">
        <f t="shared" si="13"/>
        <v>89.818168210764952</v>
      </c>
      <c r="K90" s="115">
        <f t="shared" si="14"/>
        <v>88.963657355388776</v>
      </c>
      <c r="L90" s="177" t="s">
        <v>731</v>
      </c>
      <c r="M90" s="121" t="s">
        <v>846</v>
      </c>
      <c r="N90" s="121" t="s">
        <v>843</v>
      </c>
      <c r="O90" s="121" t="s">
        <v>400</v>
      </c>
      <c r="P90" s="123">
        <v>10173</v>
      </c>
      <c r="Q90" s="124"/>
      <c r="R90" s="121" t="s">
        <v>661</v>
      </c>
      <c r="S90" s="138">
        <v>41189</v>
      </c>
      <c r="T90" s="133"/>
      <c r="U90" s="1">
        <v>84</v>
      </c>
      <c r="V90" s="4"/>
      <c r="W90" s="4"/>
    </row>
    <row r="91" spans="1:23">
      <c r="A91" s="1">
        <v>85</v>
      </c>
      <c r="B91" s="120">
        <v>9.2094907407407403E-2</v>
      </c>
      <c r="C91" s="25">
        <f>B91*1440</f>
        <v>132.61666666666667</v>
      </c>
      <c r="D91" s="25">
        <f t="shared" si="12"/>
        <v>132.574159988753</v>
      </c>
      <c r="E91" s="4">
        <f t="shared" si="10"/>
        <v>0.47420000000000001</v>
      </c>
      <c r="F91" s="25">
        <v>133.53888317917097</v>
      </c>
      <c r="G91" s="25">
        <v>132.61666666666667</v>
      </c>
      <c r="H91" s="153">
        <f t="shared" si="11"/>
        <v>7.2242867953567352E-3</v>
      </c>
      <c r="I91" s="1">
        <v>85</v>
      </c>
      <c r="J91" s="112">
        <f t="shared" si="13"/>
        <v>100.69540016023952</v>
      </c>
      <c r="K91" s="115">
        <f t="shared" si="14"/>
        <v>99.967947710508724</v>
      </c>
      <c r="L91" s="177" t="s">
        <v>732</v>
      </c>
      <c r="M91" s="121" t="s">
        <v>655</v>
      </c>
      <c r="N91" s="121" t="s">
        <v>844</v>
      </c>
      <c r="O91" s="121" t="s">
        <v>288</v>
      </c>
      <c r="P91" s="123">
        <v>11590</v>
      </c>
      <c r="Q91" s="124"/>
      <c r="R91" s="121" t="s">
        <v>659</v>
      </c>
      <c r="S91" s="138">
        <v>42770</v>
      </c>
      <c r="T91" s="133"/>
      <c r="U91" s="1">
        <v>85</v>
      </c>
      <c r="V91" s="4"/>
      <c r="W91" s="4"/>
    </row>
    <row r="92" spans="1:23">
      <c r="A92" s="1">
        <v>86</v>
      </c>
      <c r="B92" s="120">
        <v>0.11315972222222222</v>
      </c>
      <c r="C92" s="25">
        <f>B92*1440</f>
        <v>162.94999999999999</v>
      </c>
      <c r="D92" s="25">
        <f t="shared" si="12"/>
        <v>137.98653789874157</v>
      </c>
      <c r="E92" s="4">
        <f t="shared" si="10"/>
        <v>0.4556</v>
      </c>
      <c r="F92" s="25">
        <v>138.69911756333619</v>
      </c>
      <c r="G92" s="25"/>
      <c r="H92" s="153">
        <f t="shared" si="11"/>
        <v>5.1375933539679394E-3</v>
      </c>
      <c r="I92" s="1">
        <v>86</v>
      </c>
      <c r="J92" s="112"/>
      <c r="K92" s="115">
        <f t="shared" si="14"/>
        <v>84.680293279375007</v>
      </c>
      <c r="L92" s="403">
        <v>0.11315972222222222</v>
      </c>
      <c r="M92" s="125" t="s">
        <v>847</v>
      </c>
      <c r="N92" s="125" t="s">
        <v>848</v>
      </c>
      <c r="O92" s="121" t="s">
        <v>241</v>
      </c>
      <c r="P92" s="123">
        <v>8261</v>
      </c>
      <c r="Q92" s="125" t="s">
        <v>849</v>
      </c>
      <c r="R92" s="125" t="s">
        <v>850</v>
      </c>
      <c r="S92" s="436">
        <v>39838</v>
      </c>
      <c r="T92" s="167"/>
      <c r="U92" s="1">
        <v>86</v>
      </c>
      <c r="V92" s="4"/>
      <c r="W92" s="4"/>
    </row>
    <row r="93" spans="1:23">
      <c r="A93" s="1">
        <v>87</v>
      </c>
      <c r="B93" s="120">
        <v>0.11354166666666667</v>
      </c>
      <c r="C93" s="25">
        <f>B93*1440</f>
        <v>163.5</v>
      </c>
      <c r="D93" s="25">
        <f t="shared" si="12"/>
        <v>144.123490753477</v>
      </c>
      <c r="E93" s="4">
        <f t="shared" si="10"/>
        <v>0.43619999999999998</v>
      </c>
      <c r="F93" s="25">
        <v>144.49881376037959</v>
      </c>
      <c r="G93" s="25">
        <v>163.5</v>
      </c>
      <c r="H93" s="153">
        <f t="shared" si="11"/>
        <v>2.597412374090374E-3</v>
      </c>
      <c r="I93" s="1">
        <v>87</v>
      </c>
      <c r="J93" s="112">
        <f>100*F93/+C93</f>
        <v>88.378479364146543</v>
      </c>
      <c r="K93" s="115">
        <f>100*(D93/C93)</f>
        <v>88.148924008242815</v>
      </c>
      <c r="L93" s="177" t="s">
        <v>733</v>
      </c>
      <c r="M93" s="121" t="s">
        <v>842</v>
      </c>
      <c r="N93" s="121" t="s">
        <v>843</v>
      </c>
      <c r="O93" s="121" t="s">
        <v>400</v>
      </c>
      <c r="P93" s="123">
        <v>10173</v>
      </c>
      <c r="Q93" s="124"/>
      <c r="R93" s="121" t="s">
        <v>401</v>
      </c>
      <c r="S93" s="138">
        <v>42050</v>
      </c>
      <c r="T93" s="133"/>
      <c r="U93" s="1">
        <v>87</v>
      </c>
      <c r="V93" s="4"/>
      <c r="W93" s="4"/>
    </row>
    <row r="94" spans="1:23">
      <c r="A94" s="1">
        <v>88</v>
      </c>
      <c r="B94" s="8">
        <v>0.11986111111111111</v>
      </c>
      <c r="C94" s="25">
        <f>B94*1440</f>
        <v>172.6</v>
      </c>
      <c r="D94" s="25">
        <f t="shared" si="12"/>
        <v>151.15813096096818</v>
      </c>
      <c r="E94" s="4">
        <f t="shared" si="10"/>
        <v>0.41589999999999999</v>
      </c>
      <c r="F94" s="25">
        <v>151.12041560052725</v>
      </c>
      <c r="G94" s="25"/>
      <c r="H94" s="153">
        <f t="shared" si="11"/>
        <v>-2.4957157701725963E-4</v>
      </c>
      <c r="I94" s="1">
        <v>88</v>
      </c>
      <c r="J94" s="112"/>
      <c r="K94" s="115"/>
      <c r="L94" s="403">
        <v>0.11986111111111113</v>
      </c>
      <c r="M94" s="125" t="s">
        <v>847</v>
      </c>
      <c r="N94" s="125" t="s">
        <v>848</v>
      </c>
      <c r="O94" s="121" t="s">
        <v>241</v>
      </c>
      <c r="P94" s="123">
        <v>8261</v>
      </c>
      <c r="Q94" s="125" t="s">
        <v>851</v>
      </c>
      <c r="R94" s="125" t="s">
        <v>852</v>
      </c>
      <c r="S94" s="436">
        <v>40405</v>
      </c>
      <c r="T94" s="167"/>
      <c r="U94" s="1">
        <v>88</v>
      </c>
      <c r="V94" s="4"/>
      <c r="W94" s="4"/>
    </row>
    <row r="95" spans="1:23">
      <c r="A95" s="1">
        <v>89</v>
      </c>
      <c r="B95" s="39"/>
      <c r="C95" s="25"/>
      <c r="D95" s="25">
        <f t="shared" si="12"/>
        <v>159.19642103486115</v>
      </c>
      <c r="E95" s="4">
        <f t="shared" si="10"/>
        <v>0.39489999999999997</v>
      </c>
      <c r="F95" s="25">
        <v>158.68751017749554</v>
      </c>
      <c r="G95" s="25"/>
      <c r="H95" s="153">
        <f t="shared" si="11"/>
        <v>-3.2070000770468834E-3</v>
      </c>
      <c r="I95" s="1">
        <v>89</v>
      </c>
      <c r="J95" s="112"/>
      <c r="K95" s="115"/>
      <c r="L95" s="180"/>
      <c r="M95" s="121"/>
      <c r="N95" s="121"/>
      <c r="O95" s="121"/>
      <c r="P95" s="123"/>
      <c r="Q95" s="124"/>
      <c r="R95" s="121"/>
      <c r="S95" s="123"/>
      <c r="T95" s="133"/>
      <c r="V95" s="4"/>
      <c r="W95" s="4"/>
    </row>
    <row r="96" spans="1:23">
      <c r="A96" s="1">
        <v>90</v>
      </c>
      <c r="B96" s="12" t="s">
        <v>1068</v>
      </c>
      <c r="C96" s="25"/>
      <c r="D96" s="25">
        <f t="shared" si="12"/>
        <v>168.4981684981685</v>
      </c>
      <c r="E96" s="4">
        <f t="shared" si="10"/>
        <v>0.37309999999999999</v>
      </c>
      <c r="F96" s="25">
        <v>167.35359780182037</v>
      </c>
      <c r="G96" s="25"/>
      <c r="H96" s="153">
        <f t="shared" si="11"/>
        <v>-6.8392356745357987E-3</v>
      </c>
      <c r="I96" s="1">
        <v>90</v>
      </c>
      <c r="J96" s="112"/>
      <c r="K96" s="115"/>
      <c r="M96" s="125"/>
      <c r="N96" s="125"/>
      <c r="O96" s="121"/>
      <c r="P96" s="123"/>
      <c r="Q96" s="125"/>
      <c r="R96" s="125"/>
      <c r="S96" s="139"/>
      <c r="T96" s="25">
        <v>130.47803463571475</v>
      </c>
      <c r="U96" s="1">
        <v>90</v>
      </c>
      <c r="V96" s="4"/>
      <c r="W96" s="4"/>
    </row>
    <row r="97" spans="1:24">
      <c r="A97" s="1">
        <v>91</v>
      </c>
      <c r="B97" s="3" t="s">
        <v>1068</v>
      </c>
      <c r="C97" s="25"/>
      <c r="D97" s="25">
        <f t="shared" si="12"/>
        <v>179.41400304414003</v>
      </c>
      <c r="E97" s="4">
        <f t="shared" si="10"/>
        <v>0.35039999999999999</v>
      </c>
      <c r="F97" s="25">
        <v>177.45606846945282</v>
      </c>
      <c r="G97" s="25"/>
      <c r="H97" s="153">
        <f t="shared" si="11"/>
        <v>-1.1033348093273309E-2</v>
      </c>
      <c r="I97" s="1">
        <v>91</v>
      </c>
      <c r="J97" s="112"/>
      <c r="K97" s="115"/>
      <c r="M97" s="125"/>
      <c r="N97" s="125"/>
      <c r="O97" s="121"/>
      <c r="P97" s="123"/>
      <c r="Q97" s="125"/>
      <c r="R97" s="125"/>
      <c r="S97" s="139"/>
      <c r="T97" s="25">
        <v>137.19221413493625</v>
      </c>
      <c r="U97" s="1">
        <v>91</v>
      </c>
      <c r="V97" s="4"/>
      <c r="W97" s="4"/>
    </row>
    <row r="98" spans="1:24">
      <c r="A98" s="1">
        <v>92</v>
      </c>
      <c r="B98" s="3" t="s">
        <v>1068</v>
      </c>
      <c r="C98" s="25"/>
      <c r="D98" s="25">
        <f t="shared" si="12"/>
        <v>192.25280326197756</v>
      </c>
      <c r="E98" s="4">
        <f t="shared" ref="E98:E106" si="16">ROUND(1-IF(A98&lt;I$3,0,IF(A98&lt;I$4,G$3*(A98-I$3)^2,G$2+G$4*(A98-I$4)+(A98&gt;I$5)*G$5*(A98-I$5)^2)),4)</f>
        <v>0.32700000000000001</v>
      </c>
      <c r="F98" s="25">
        <v>189.24167394892709</v>
      </c>
      <c r="G98" s="25"/>
      <c r="H98" s="153">
        <f t="shared" si="11"/>
        <v>-1.5911555051363182E-2</v>
      </c>
      <c r="I98" s="1">
        <v>92</v>
      </c>
      <c r="J98" s="112"/>
      <c r="K98" s="115"/>
      <c r="M98" s="125"/>
      <c r="N98" s="125"/>
      <c r="O98" s="121"/>
      <c r="P98" s="123"/>
      <c r="Q98" s="125"/>
      <c r="R98" s="125"/>
      <c r="S98" s="139"/>
      <c r="T98" s="25">
        <v>144.88121072578784</v>
      </c>
      <c r="U98" s="1">
        <v>92</v>
      </c>
      <c r="V98" s="4"/>
      <c r="W98" s="4"/>
    </row>
    <row r="99" spans="1:24">
      <c r="A99" s="1">
        <v>93</v>
      </c>
      <c r="B99" s="12">
        <v>0.20098379629629629</v>
      </c>
      <c r="C99" s="25">
        <f>B99*1440</f>
        <v>289.41666666666663</v>
      </c>
      <c r="D99" s="25">
        <f t="shared" si="12"/>
        <v>207.61778952003522</v>
      </c>
      <c r="E99" s="4">
        <f t="shared" si="16"/>
        <v>0.30280000000000001</v>
      </c>
      <c r="F99" s="25">
        <v>203.27492699207343</v>
      </c>
      <c r="G99" s="25">
        <v>289.41666666666663</v>
      </c>
      <c r="H99" s="153">
        <f t="shared" si="11"/>
        <v>-2.1364477125755562E-2</v>
      </c>
      <c r="I99" s="1">
        <v>93</v>
      </c>
      <c r="J99" s="112">
        <f>100*F99/+C99</f>
        <v>70.236081886118086</v>
      </c>
      <c r="K99" s="115">
        <f>100*(D99/C99)</f>
        <v>71.736639050976763</v>
      </c>
      <c r="L99" s="191" t="s">
        <v>734</v>
      </c>
      <c r="M99" s="121" t="s">
        <v>543</v>
      </c>
      <c r="N99" s="121" t="s">
        <v>853</v>
      </c>
      <c r="O99" s="121" t="s">
        <v>400</v>
      </c>
      <c r="P99" s="123">
        <v>6902</v>
      </c>
      <c r="Q99" s="124"/>
      <c r="R99" s="121" t="s">
        <v>854</v>
      </c>
      <c r="S99" s="138">
        <v>40979</v>
      </c>
      <c r="T99" s="25">
        <v>153.76066518604108</v>
      </c>
      <c r="U99" s="1">
        <v>93</v>
      </c>
      <c r="V99" s="4"/>
      <c r="W99" s="4"/>
    </row>
    <row r="100" spans="1:24">
      <c r="A100" s="1">
        <v>94</v>
      </c>
      <c r="B100" s="3" t="s">
        <v>1068</v>
      </c>
      <c r="C100" s="25"/>
      <c r="D100" s="25">
        <f t="shared" si="12"/>
        <v>226.30189584833215</v>
      </c>
      <c r="E100" s="4">
        <f t="shared" si="16"/>
        <v>0.27779999999999999</v>
      </c>
      <c r="F100" s="25">
        <v>220.07678410117433</v>
      </c>
      <c r="G100" s="25"/>
      <c r="H100" s="153">
        <f t="shared" si="11"/>
        <v>-2.8286090114330274E-2</v>
      </c>
      <c r="I100" s="1">
        <v>94</v>
      </c>
      <c r="J100" s="112"/>
      <c r="K100" s="115"/>
      <c r="T100" s="25">
        <v>164.11559093399259</v>
      </c>
      <c r="U100" s="1">
        <v>94</v>
      </c>
      <c r="V100" s="4"/>
      <c r="W100" s="4"/>
    </row>
    <row r="101" spans="1:24">
      <c r="A101" s="1">
        <v>95</v>
      </c>
      <c r="B101" s="3"/>
      <c r="C101" s="25"/>
      <c r="D101" s="25">
        <f t="shared" si="12"/>
        <v>249.56993515945479</v>
      </c>
      <c r="E101" s="4">
        <f t="shared" si="16"/>
        <v>0.25190000000000001</v>
      </c>
      <c r="F101" s="25">
        <v>240.61728395061726</v>
      </c>
      <c r="G101" s="25"/>
      <c r="H101" s="153">
        <f t="shared" si="11"/>
        <v>-3.7207016311741378E-2</v>
      </c>
      <c r="I101" s="1">
        <v>95</v>
      </c>
      <c r="J101" s="112"/>
      <c r="K101" s="115"/>
      <c r="T101" s="25">
        <v>176.33066076635203</v>
      </c>
      <c r="U101" s="1">
        <v>95</v>
      </c>
      <c r="V101" s="4"/>
      <c r="W101" s="4"/>
    </row>
    <row r="102" spans="1:24">
      <c r="A102" s="1">
        <v>96</v>
      </c>
      <c r="B102" s="3"/>
      <c r="C102" s="25"/>
      <c r="D102" s="25">
        <f t="shared" si="12"/>
        <v>279.03536026039353</v>
      </c>
      <c r="E102" s="4">
        <f t="shared" si="16"/>
        <v>0.2253</v>
      </c>
      <c r="F102" s="25">
        <v>266.36599699330327</v>
      </c>
      <c r="G102" s="25"/>
      <c r="H102" s="153">
        <f t="shared" si="11"/>
        <v>-4.7563740905746249E-2</v>
      </c>
      <c r="I102" s="1">
        <v>96</v>
      </c>
      <c r="J102" s="112"/>
      <c r="K102" s="115"/>
      <c r="M102" s="430" t="s">
        <v>2377</v>
      </c>
      <c r="N102" s="430" t="s">
        <v>57</v>
      </c>
      <c r="O102" s="430">
        <v>76</v>
      </c>
      <c r="P102" s="431">
        <v>7.0115740740740742E-2</v>
      </c>
      <c r="Q102" s="430">
        <v>6058</v>
      </c>
      <c r="R102" s="432" t="s">
        <v>382</v>
      </c>
      <c r="S102" s="432" t="s">
        <v>925</v>
      </c>
      <c r="T102" s="432" t="s">
        <v>241</v>
      </c>
      <c r="U102" s="433">
        <v>17637</v>
      </c>
      <c r="V102" s="430" t="s">
        <v>2378</v>
      </c>
      <c r="W102" s="430" t="s">
        <v>2379</v>
      </c>
      <c r="X102" s="434">
        <v>45528</v>
      </c>
    </row>
    <row r="103" spans="1:24">
      <c r="A103" s="1">
        <v>97</v>
      </c>
      <c r="B103" s="3"/>
      <c r="C103" s="25"/>
      <c r="D103" s="25">
        <f t="shared" si="12"/>
        <v>317.66885632474316</v>
      </c>
      <c r="E103" s="4">
        <f t="shared" si="16"/>
        <v>0.19789999999999999</v>
      </c>
      <c r="F103" s="25">
        <v>299.2476585290957</v>
      </c>
      <c r="G103" s="25"/>
      <c r="H103" s="153">
        <f t="shared" si="11"/>
        <v>-6.1558369031837805E-2</v>
      </c>
      <c r="I103" s="1">
        <v>97</v>
      </c>
      <c r="J103" s="112"/>
      <c r="K103" s="115"/>
      <c r="M103" s="435"/>
      <c r="N103"/>
      <c r="O103"/>
      <c r="P103"/>
      <c r="Q103"/>
      <c r="R103"/>
      <c r="S103"/>
      <c r="T103"/>
      <c r="U103"/>
      <c r="V103"/>
      <c r="W103"/>
      <c r="X103"/>
    </row>
    <row r="104" spans="1:24">
      <c r="A104" s="1">
        <v>98</v>
      </c>
      <c r="B104" s="3"/>
      <c r="C104" s="25"/>
      <c r="D104" s="25">
        <f t="shared" si="12"/>
        <v>370.67610062893084</v>
      </c>
      <c r="E104" s="4">
        <f t="shared" si="16"/>
        <v>0.1696</v>
      </c>
      <c r="F104" s="25">
        <v>343.01302358324534</v>
      </c>
      <c r="G104" s="25"/>
      <c r="H104" s="153">
        <f t="shared" si="11"/>
        <v>-8.0647308247093374E-2</v>
      </c>
      <c r="I104" s="1">
        <v>98</v>
      </c>
      <c r="J104" s="112"/>
      <c r="K104" s="115"/>
      <c r="T104" s="25"/>
      <c r="V104" s="4"/>
      <c r="W104" s="4"/>
    </row>
    <row r="105" spans="1:24">
      <c r="A105" s="1">
        <v>99</v>
      </c>
      <c r="B105" s="1" t="s">
        <v>81</v>
      </c>
      <c r="C105" s="25"/>
      <c r="D105" s="25">
        <f t="shared" si="12"/>
        <v>447.13134186818399</v>
      </c>
      <c r="E105" s="4">
        <f t="shared" si="16"/>
        <v>0.1406</v>
      </c>
      <c r="F105" s="25">
        <v>403.51966873706004</v>
      </c>
      <c r="G105" s="25"/>
      <c r="H105" s="153">
        <f t="shared" si="11"/>
        <v>-0.10807818431161041</v>
      </c>
      <c r="I105" s="1">
        <v>99</v>
      </c>
      <c r="J105" s="112"/>
      <c r="K105" s="115"/>
      <c r="T105" s="25"/>
      <c r="V105" s="4"/>
      <c r="W105" s="4"/>
    </row>
    <row r="106" spans="1:24">
      <c r="A106" s="1">
        <v>100</v>
      </c>
      <c r="D106" s="25">
        <f t="shared" si="12"/>
        <v>567.38868832731646</v>
      </c>
      <c r="E106" s="4">
        <f t="shared" si="16"/>
        <v>0.1108</v>
      </c>
      <c r="F106" s="25">
        <v>492.91856348002023</v>
      </c>
      <c r="G106" s="25"/>
      <c r="H106" s="153">
        <f t="shared" si="11"/>
        <v>-0.15107997621662869</v>
      </c>
      <c r="I106" s="1">
        <v>100</v>
      </c>
      <c r="J106" s="112"/>
      <c r="K106" s="115"/>
      <c r="T106" s="25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E28" sqref="E28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30" t="s">
        <v>89</v>
      </c>
      <c r="B1" s="31"/>
      <c r="C1" s="32"/>
      <c r="D1" s="33" t="s">
        <v>32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  <c r="K1" s="224" t="s">
        <v>2121</v>
      </c>
    </row>
    <row r="2" spans="1:16" ht="18" customHeight="1">
      <c r="A2" s="30"/>
      <c r="B2" s="31"/>
      <c r="C2" s="32"/>
      <c r="D2" s="33"/>
      <c r="E2" s="33"/>
      <c r="F2" s="83">
        <f>(+H$3-H$4)*F$4/2</f>
        <v>4.7500000000000001E-2</v>
      </c>
      <c r="G2" s="84">
        <f>(+I$4-I$3)*G$4/2</f>
        <v>0.12421023094584534</v>
      </c>
      <c r="H2" s="85"/>
      <c r="I2" s="85"/>
      <c r="K2" s="229">
        <f>Parameters!Z24</f>
        <v>0.24485604151359389</v>
      </c>
    </row>
    <row r="3" spans="1:16" ht="18" customHeight="1">
      <c r="A3" s="30"/>
      <c r="B3" s="31"/>
      <c r="C3" s="32"/>
      <c r="D3" s="33"/>
      <c r="E3" s="33"/>
      <c r="F3" s="83">
        <f>F4/(2*(+H3-H4))</f>
        <v>1.9E-3</v>
      </c>
      <c r="G3" s="84">
        <f>G4/(2*(+I4-I3))</f>
        <v>2.2228919462956247E-4</v>
      </c>
      <c r="H3" s="226">
        <v>22</v>
      </c>
      <c r="I3" s="88">
        <f>Parameters!$AA$24</f>
        <v>26.755143958486407</v>
      </c>
    </row>
    <row r="4" spans="1:16" ht="15.75">
      <c r="A4" s="31"/>
      <c r="B4" s="31"/>
      <c r="C4" s="31"/>
      <c r="D4" s="35">
        <f>Parameters!G24</f>
        <v>5.2083333333333336E-2</v>
      </c>
      <c r="E4" s="36">
        <f>D4*1440</f>
        <v>75</v>
      </c>
      <c r="F4" s="34">
        <v>1.9E-2</v>
      </c>
      <c r="G4" s="83">
        <f>Parameters!$AD$24</f>
        <v>1.0509156426983836E-2</v>
      </c>
      <c r="H4" s="226">
        <v>17</v>
      </c>
      <c r="I4" s="88">
        <f>Parameters!$AB$24</f>
        <v>50.393621853232922</v>
      </c>
      <c r="J4" s="25"/>
    </row>
    <row r="5" spans="1:16" ht="15.75">
      <c r="A5" s="31"/>
      <c r="B5" s="31"/>
      <c r="C5" s="31"/>
      <c r="D5" s="35"/>
      <c r="E5" s="31">
        <f>E4*60</f>
        <v>4500</v>
      </c>
      <c r="F5" s="34">
        <v>9.1E-4</v>
      </c>
      <c r="G5" s="83">
        <f>Parameters!$AE$24</f>
        <v>4.3672840622703915E-4</v>
      </c>
      <c r="H5" s="226">
        <v>15</v>
      </c>
      <c r="I5" s="88">
        <f>Parameters!$AC$24</f>
        <v>75.235699614529764</v>
      </c>
      <c r="J5" s="25"/>
    </row>
    <row r="6" spans="1:16" ht="57" customHeight="1">
      <c r="A6" s="37" t="s">
        <v>70</v>
      </c>
      <c r="B6" s="37" t="s">
        <v>1641</v>
      </c>
      <c r="C6" s="37" t="s">
        <v>71</v>
      </c>
      <c r="D6" s="37" t="s">
        <v>145</v>
      </c>
      <c r="E6" s="37" t="s">
        <v>149</v>
      </c>
      <c r="F6" s="32" t="s">
        <v>148</v>
      </c>
      <c r="G6" s="37" t="s">
        <v>70</v>
      </c>
      <c r="H6" s="207" t="s">
        <v>735</v>
      </c>
      <c r="I6" s="208" t="s">
        <v>1184</v>
      </c>
      <c r="J6" s="203" t="s">
        <v>428</v>
      </c>
      <c r="K6" s="203" t="s">
        <v>429</v>
      </c>
      <c r="L6" s="209" t="s">
        <v>430</v>
      </c>
      <c r="M6" s="210" t="s">
        <v>431</v>
      </c>
      <c r="N6" s="203" t="s">
        <v>432</v>
      </c>
      <c r="O6" s="209" t="s">
        <v>433</v>
      </c>
      <c r="P6" s="210" t="s">
        <v>434</v>
      </c>
    </row>
    <row r="7" spans="1:16">
      <c r="A7" s="1">
        <v>1</v>
      </c>
      <c r="B7" s="39"/>
      <c r="G7" s="1">
        <v>1</v>
      </c>
    </row>
    <row r="8" spans="1:16">
      <c r="A8" s="1">
        <v>2</v>
      </c>
      <c r="B8" s="39"/>
      <c r="G8" s="1">
        <v>2</v>
      </c>
      <c r="H8" s="172"/>
    </row>
    <row r="9" spans="1:16">
      <c r="A9" s="1">
        <v>3</v>
      </c>
      <c r="B9" s="39"/>
      <c r="C9" s="25"/>
      <c r="D9" s="25"/>
      <c r="E9" s="246">
        <f>H.Marathon!$E9*(1-$K$2)+Marathon!$E9*$K$2</f>
        <v>0.46528929767229976</v>
      </c>
      <c r="G9" s="1">
        <v>3</v>
      </c>
      <c r="H9" s="213"/>
    </row>
    <row r="10" spans="1:16">
      <c r="A10" s="1">
        <v>4</v>
      </c>
      <c r="B10" s="39"/>
      <c r="C10" s="25"/>
      <c r="D10" s="25"/>
      <c r="E10" s="246">
        <f>H.Marathon!$E10*(1-$K$2)+Marathon!$E10*$K$2</f>
        <v>0.51280123237950037</v>
      </c>
      <c r="F10" s="19"/>
      <c r="G10" s="1">
        <v>4</v>
      </c>
      <c r="H10" s="213"/>
    </row>
    <row r="11" spans="1:16">
      <c r="A11" s="1">
        <v>5</v>
      </c>
      <c r="B11" s="39"/>
      <c r="C11" s="25"/>
      <c r="D11" s="25">
        <f t="shared" ref="D11:D42" si="0">E$4/E11</f>
        <v>134.42213459520767</v>
      </c>
      <c r="E11" s="246">
        <f>H.Marathon!$E11*(1-$K$2)+Marathon!$E11*$K$2</f>
        <v>0.55794382544103605</v>
      </c>
      <c r="F11" s="19"/>
      <c r="G11" s="1">
        <v>5</v>
      </c>
      <c r="H11" s="213"/>
    </row>
    <row r="12" spans="1:16">
      <c r="A12" s="1">
        <v>6</v>
      </c>
      <c r="B12" s="39"/>
      <c r="C12" s="25"/>
      <c r="D12" s="25">
        <f t="shared" si="0"/>
        <v>124.82492005512839</v>
      </c>
      <c r="E12" s="246">
        <f>H.Marathon!$E12*(1-$K$2)+Marathon!$E12*$K$2</f>
        <v>0.60084156246105802</v>
      </c>
      <c r="F12" s="19"/>
      <c r="G12" s="1">
        <v>6</v>
      </c>
      <c r="H12" s="213"/>
    </row>
    <row r="13" spans="1:16">
      <c r="A13" s="1">
        <v>7</v>
      </c>
      <c r="B13" s="39"/>
      <c r="C13" s="25"/>
      <c r="D13" s="25">
        <f t="shared" si="0"/>
        <v>116.92342256172297</v>
      </c>
      <c r="E13" s="246">
        <f>H.Marathon!$E13*(1-$K$2)+Marathon!$E13*$K$2</f>
        <v>0.6414454722312638</v>
      </c>
      <c r="F13" s="19"/>
      <c r="G13" s="1">
        <v>7</v>
      </c>
      <c r="H13" s="213"/>
    </row>
    <row r="14" spans="1:16">
      <c r="A14" s="1">
        <v>8</v>
      </c>
      <c r="B14" s="39"/>
      <c r="C14" s="25"/>
      <c r="D14" s="25">
        <f t="shared" si="0"/>
        <v>110.33808874424734</v>
      </c>
      <c r="E14" s="246">
        <f>H.Marathon!$E14*(1-$K$2)+Marathon!$E14*$K$2</f>
        <v>0.67972901156410725</v>
      </c>
      <c r="F14" s="19"/>
      <c r="G14" s="1">
        <v>8</v>
      </c>
      <c r="H14" s="213"/>
    </row>
    <row r="15" spans="1:16" ht="15.75">
      <c r="A15" s="1">
        <v>9</v>
      </c>
      <c r="B15" s="39">
        <v>9.7141203703703702E-2</v>
      </c>
      <c r="C15" s="25">
        <f t="shared" ref="C15:C76" si="1">B15*1440</f>
        <v>139.88333333333333</v>
      </c>
      <c r="D15" s="25">
        <f t="shared" si="0"/>
        <v>104.78976939127375</v>
      </c>
      <c r="E15" s="246">
        <f>H.Marathon!$E15*(1-$K$2)+Marathon!$E15*$K$2</f>
        <v>0.7157187236471344</v>
      </c>
      <c r="F15" s="19">
        <f>100*(D15/C15)</f>
        <v>74.91226216461844</v>
      </c>
      <c r="G15" s="1">
        <v>9</v>
      </c>
      <c r="H15" s="214" t="s">
        <v>1485</v>
      </c>
      <c r="I15" s="168">
        <v>8393</v>
      </c>
      <c r="J15" s="196" t="s">
        <v>1486</v>
      </c>
      <c r="K15" s="196" t="s">
        <v>1487</v>
      </c>
      <c r="L15" s="196" t="s">
        <v>241</v>
      </c>
      <c r="M15" s="197">
        <v>38514</v>
      </c>
      <c r="N15" s="196" t="s">
        <v>1488</v>
      </c>
      <c r="O15" s="196" t="s">
        <v>1489</v>
      </c>
      <c r="P15" s="352">
        <v>42070</v>
      </c>
    </row>
    <row r="16" spans="1:16">
      <c r="A16" s="1">
        <v>10</v>
      </c>
      <c r="B16" s="39"/>
      <c r="C16" s="25"/>
      <c r="D16" s="25">
        <f t="shared" si="0"/>
        <v>100.07157389977172</v>
      </c>
      <c r="E16" s="246">
        <f>H.Marathon!$E16*(1-$K$2)+Marathon!$E16*$K$2</f>
        <v>0.74946357968864807</v>
      </c>
      <c r="F16" s="19"/>
      <c r="G16" s="1">
        <v>10</v>
      </c>
      <c r="H16" s="213"/>
      <c r="P16" s="139"/>
    </row>
    <row r="17" spans="1:16">
      <c r="A17" s="1">
        <v>11</v>
      </c>
      <c r="B17" s="39"/>
      <c r="C17" s="25"/>
      <c r="D17" s="25">
        <f t="shared" si="0"/>
        <v>96.050518689685447</v>
      </c>
      <c r="E17" s="246">
        <f>H.Marathon!$E17*(1-$K$2)+Marathon!$E17*$K$2</f>
        <v>0.7808390940844967</v>
      </c>
      <c r="F17" s="19"/>
      <c r="G17" s="1">
        <v>11</v>
      </c>
      <c r="H17" s="213"/>
      <c r="P17" s="139"/>
    </row>
    <row r="18" spans="1:16" ht="15.75">
      <c r="A18" s="1">
        <v>12</v>
      </c>
      <c r="B18" s="39">
        <v>6.7349537037037041E-2</v>
      </c>
      <c r="C18" s="25">
        <f t="shared" si="1"/>
        <v>96.983333333333334</v>
      </c>
      <c r="D18" s="25">
        <f t="shared" si="0"/>
        <v>92.596050376169998</v>
      </c>
      <c r="E18" s="246">
        <f>H.Marathon!$E18*(1-$K$2)+Marathon!$E18*$K$2</f>
        <v>0.80996975243883174</v>
      </c>
      <c r="F18" s="19">
        <f>100*(D18/C18)</f>
        <v>95.476250602684303</v>
      </c>
      <c r="G18" s="1">
        <v>12</v>
      </c>
      <c r="H18" s="214" t="s">
        <v>1490</v>
      </c>
      <c r="I18" s="168">
        <v>5819</v>
      </c>
      <c r="J18" s="196" t="s">
        <v>1491</v>
      </c>
      <c r="K18" s="196" t="s">
        <v>514</v>
      </c>
      <c r="L18" s="196" t="s">
        <v>241</v>
      </c>
      <c r="M18" s="197">
        <v>24921</v>
      </c>
      <c r="N18" s="196"/>
      <c r="O18" s="196" t="s">
        <v>1492</v>
      </c>
      <c r="P18" s="352">
        <v>29659</v>
      </c>
    </row>
    <row r="19" spans="1:16" ht="15.75">
      <c r="A19" s="1">
        <v>13</v>
      </c>
      <c r="B19" s="39">
        <v>6.7569444444444446E-2</v>
      </c>
      <c r="C19" s="25">
        <f t="shared" si="1"/>
        <v>97.3</v>
      </c>
      <c r="D19" s="25">
        <f t="shared" si="0"/>
        <v>89.634534637769903</v>
      </c>
      <c r="E19" s="246">
        <f>H.Marathon!$E19*(1-$K$2)+Marathon!$E19*$K$2</f>
        <v>0.83673106914750184</v>
      </c>
      <c r="F19" s="19">
        <f>100*(D19/C19)</f>
        <v>92.121823882600111</v>
      </c>
      <c r="G19" s="1">
        <v>13</v>
      </c>
      <c r="H19" s="214" t="s">
        <v>1493</v>
      </c>
      <c r="I19" s="168">
        <v>5838</v>
      </c>
      <c r="J19" s="196" t="s">
        <v>861</v>
      </c>
      <c r="K19" s="196" t="s">
        <v>862</v>
      </c>
      <c r="L19" s="196" t="s">
        <v>345</v>
      </c>
      <c r="M19" s="197">
        <v>27160</v>
      </c>
      <c r="N19" s="196"/>
      <c r="O19" s="196" t="s">
        <v>1494</v>
      </c>
      <c r="P19" s="352">
        <v>31990</v>
      </c>
    </row>
    <row r="20" spans="1:16">
      <c r="A20" s="1">
        <v>14</v>
      </c>
      <c r="B20" s="39"/>
      <c r="C20" s="25"/>
      <c r="D20" s="25">
        <f t="shared" si="0"/>
        <v>87.082978358312502</v>
      </c>
      <c r="E20" s="246">
        <f>H.Marathon!$E20*(1-$K$2)+Marathon!$E20*$K$2</f>
        <v>0.86124752981465846</v>
      </c>
      <c r="F20" s="19"/>
      <c r="G20" s="1">
        <v>14</v>
      </c>
      <c r="H20" s="213"/>
      <c r="P20" s="139"/>
    </row>
    <row r="21" spans="1:16" ht="15.75">
      <c r="A21" s="1">
        <v>15</v>
      </c>
      <c r="B21" s="39">
        <v>7.0509259259259258E-2</v>
      </c>
      <c r="C21" s="25">
        <f t="shared" si="1"/>
        <v>101.53333333333333</v>
      </c>
      <c r="D21" s="25">
        <f t="shared" si="0"/>
        <v>84.899767163872454</v>
      </c>
      <c r="E21" s="246">
        <f>H.Marathon!$E21*(1-$K$2)+Marathon!$E21*$K$2</f>
        <v>0.88339464883614993</v>
      </c>
      <c r="F21" s="19">
        <f t="shared" ref="F21:F52" si="2">100*(D21/C21)</f>
        <v>83.617630167963668</v>
      </c>
      <c r="G21" s="1">
        <v>15</v>
      </c>
      <c r="H21" s="214" t="s">
        <v>1495</v>
      </c>
      <c r="I21" s="168">
        <v>6092</v>
      </c>
      <c r="J21" s="196" t="s">
        <v>861</v>
      </c>
      <c r="K21" s="196" t="s">
        <v>862</v>
      </c>
      <c r="L21" s="196" t="s">
        <v>345</v>
      </c>
      <c r="M21" s="197">
        <v>27160</v>
      </c>
      <c r="N21" s="196"/>
      <c r="O21" s="196" t="s">
        <v>1494</v>
      </c>
      <c r="P21" s="352">
        <v>32725</v>
      </c>
    </row>
    <row r="22" spans="1:16" ht="15.75">
      <c r="A22" s="1">
        <v>16</v>
      </c>
      <c r="B22" s="39">
        <v>6.2962962962962957E-2</v>
      </c>
      <c r="C22" s="25">
        <f t="shared" si="1"/>
        <v>90.666666666666657</v>
      </c>
      <c r="D22" s="25">
        <f t="shared" si="0"/>
        <v>82.995431646040771</v>
      </c>
      <c r="E22" s="246">
        <f>H.Marathon!$E22*(1-$K$2)+Marathon!$E22*$K$2</f>
        <v>0.9036641958783983</v>
      </c>
      <c r="F22" s="19">
        <f t="shared" si="2"/>
        <v>91.539079021368508</v>
      </c>
      <c r="G22" s="1">
        <v>16</v>
      </c>
      <c r="H22" s="214" t="s">
        <v>1496</v>
      </c>
      <c r="I22" s="168">
        <v>5440</v>
      </c>
      <c r="J22" s="196" t="s">
        <v>1497</v>
      </c>
      <c r="K22" s="196" t="s">
        <v>1498</v>
      </c>
      <c r="L22" s="196" t="s">
        <v>1499</v>
      </c>
      <c r="M22" s="197">
        <v>30468</v>
      </c>
      <c r="N22" s="196"/>
      <c r="O22" s="196" t="s">
        <v>545</v>
      </c>
      <c r="P22" s="352">
        <v>36646</v>
      </c>
    </row>
    <row r="23" spans="1:16" ht="15.75">
      <c r="A23" s="1">
        <v>17</v>
      </c>
      <c r="B23" s="39">
        <v>6.8449074074074079E-2</v>
      </c>
      <c r="C23" s="25">
        <f t="shared" si="1"/>
        <v>98.566666666666677</v>
      </c>
      <c r="D23" s="25">
        <f t="shared" si="0"/>
        <v>81.241051389530909</v>
      </c>
      <c r="E23" s="246">
        <f>H.Marathon!$E23*(1-$K$2)+Marathon!$E23*$K$2</f>
        <v>0.92317859896216015</v>
      </c>
      <c r="F23" s="19">
        <f t="shared" si="2"/>
        <v>82.422439691779743</v>
      </c>
      <c r="G23" s="1">
        <v>17</v>
      </c>
      <c r="H23" s="214" t="s">
        <v>1500</v>
      </c>
      <c r="I23" s="168">
        <v>5914</v>
      </c>
      <c r="J23" s="196" t="s">
        <v>1501</v>
      </c>
      <c r="K23" s="196" t="s">
        <v>1502</v>
      </c>
      <c r="L23" s="196" t="s">
        <v>241</v>
      </c>
      <c r="M23" s="197">
        <v>23929</v>
      </c>
      <c r="N23" s="196"/>
      <c r="O23" s="196" t="s">
        <v>1503</v>
      </c>
      <c r="P23" s="352">
        <v>30142</v>
      </c>
    </row>
    <row r="24" spans="1:16" ht="15.75">
      <c r="A24" s="1">
        <v>18</v>
      </c>
      <c r="B24" s="39">
        <v>6.6597222222222224E-2</v>
      </c>
      <c r="C24" s="25">
        <f t="shared" si="1"/>
        <v>95.9</v>
      </c>
      <c r="D24" s="25">
        <f t="shared" si="0"/>
        <v>79.559304924538381</v>
      </c>
      <c r="E24" s="246">
        <f>H.Marathon!$E24*(1-$K$2)+Marathon!$E24*$K$2</f>
        <v>0.9426930020459221</v>
      </c>
      <c r="F24" s="19">
        <f t="shared" si="2"/>
        <v>82.960693351969113</v>
      </c>
      <c r="G24" s="1">
        <v>18</v>
      </c>
      <c r="H24" s="214" t="s">
        <v>1504</v>
      </c>
      <c r="I24" s="168">
        <v>5754</v>
      </c>
      <c r="J24" s="196" t="s">
        <v>1505</v>
      </c>
      <c r="K24" s="196" t="s">
        <v>1506</v>
      </c>
      <c r="L24" s="196" t="s">
        <v>345</v>
      </c>
      <c r="M24" s="197">
        <v>24068</v>
      </c>
      <c r="N24" s="196"/>
      <c r="O24" s="196" t="s">
        <v>1507</v>
      </c>
      <c r="P24" s="352">
        <v>30870</v>
      </c>
    </row>
    <row r="25" spans="1:16" ht="15.75">
      <c r="A25" s="1">
        <v>19</v>
      </c>
      <c r="B25" s="39">
        <v>5.8877314814814813E-2</v>
      </c>
      <c r="C25" s="25">
        <f t="shared" si="1"/>
        <v>84.783333333333331</v>
      </c>
      <c r="D25" s="25">
        <f t="shared" si="0"/>
        <v>77.945773021661239</v>
      </c>
      <c r="E25" s="246">
        <f>H.Marathon!$E25*(1-$K$2)+Marathon!$E25*$K$2</f>
        <v>0.96220740512968406</v>
      </c>
      <c r="F25" s="19">
        <f t="shared" si="2"/>
        <v>91.935254202863661</v>
      </c>
      <c r="G25" s="1">
        <v>19</v>
      </c>
      <c r="H25" s="214" t="s">
        <v>1508</v>
      </c>
      <c r="I25" s="168">
        <v>5087</v>
      </c>
      <c r="J25" s="196" t="s">
        <v>1509</v>
      </c>
      <c r="K25" s="196" t="s">
        <v>1510</v>
      </c>
      <c r="L25" s="196" t="s">
        <v>272</v>
      </c>
      <c r="M25" s="197">
        <v>31217</v>
      </c>
      <c r="N25" s="196"/>
      <c r="O25" s="196" t="s">
        <v>545</v>
      </c>
      <c r="P25" s="352">
        <v>38480</v>
      </c>
    </row>
    <row r="26" spans="1:16" ht="15.75">
      <c r="A26" s="1">
        <v>20</v>
      </c>
      <c r="B26" s="39">
        <v>6.0300925925925924E-2</v>
      </c>
      <c r="C26" s="25">
        <f t="shared" si="1"/>
        <v>86.833333333333329</v>
      </c>
      <c r="D26" s="25">
        <f t="shared" si="0"/>
        <v>76.619702859499938</v>
      </c>
      <c r="E26" s="246">
        <f>H.Marathon!$E26*(1-$K$2)+Marathon!$E26*$K$2</f>
        <v>0.97886049150477594</v>
      </c>
      <c r="F26" s="19">
        <f t="shared" si="2"/>
        <v>88.23766164241836</v>
      </c>
      <c r="G26" s="1">
        <v>20</v>
      </c>
      <c r="H26" s="214" t="s">
        <v>1511</v>
      </c>
      <c r="I26" s="168">
        <v>5210</v>
      </c>
      <c r="J26" s="196" t="s">
        <v>935</v>
      </c>
      <c r="K26" s="196" t="s">
        <v>1512</v>
      </c>
      <c r="L26" s="196" t="s">
        <v>241</v>
      </c>
      <c r="M26" s="197">
        <v>24205</v>
      </c>
      <c r="N26" s="196"/>
      <c r="O26" s="196" t="s">
        <v>1513</v>
      </c>
      <c r="P26" s="352">
        <v>31774</v>
      </c>
    </row>
    <row r="27" spans="1:16" ht="15.75">
      <c r="A27" s="1">
        <v>21</v>
      </c>
      <c r="B27" s="39">
        <v>5.8946759259259261E-2</v>
      </c>
      <c r="C27" s="25">
        <f t="shared" si="1"/>
        <v>84.88333333333334</v>
      </c>
      <c r="D27" s="25">
        <f t="shared" si="0"/>
        <v>75.771544689574597</v>
      </c>
      <c r="E27" s="246">
        <f>H.Marathon!$E27*(1-$K$2)+Marathon!$E27*$K$2</f>
        <v>0.98981748765007349</v>
      </c>
      <c r="F27" s="19">
        <f t="shared" si="2"/>
        <v>89.265515047604069</v>
      </c>
      <c r="G27" s="1">
        <v>21</v>
      </c>
      <c r="H27" s="214" t="s">
        <v>1514</v>
      </c>
      <c r="I27" s="168">
        <v>5093</v>
      </c>
      <c r="J27" s="196" t="s">
        <v>1515</v>
      </c>
      <c r="K27" s="196" t="s">
        <v>1516</v>
      </c>
      <c r="L27" s="196" t="s">
        <v>268</v>
      </c>
      <c r="M27" s="197">
        <v>27570</v>
      </c>
      <c r="N27" s="196"/>
      <c r="O27" s="196" t="s">
        <v>545</v>
      </c>
      <c r="P27" s="352">
        <v>35554</v>
      </c>
    </row>
    <row r="28" spans="1:16" ht="15.75">
      <c r="A28" s="1">
        <v>22</v>
      </c>
      <c r="B28" s="39">
        <v>5.9155092592592592E-2</v>
      </c>
      <c r="C28" s="25">
        <f t="shared" si="1"/>
        <v>85.183333333333337</v>
      </c>
      <c r="D28" s="25">
        <f t="shared" si="0"/>
        <v>75.3672370541655</v>
      </c>
      <c r="E28" s="246">
        <f>H.Marathon!$E28*(1-$K$2)+Marathon!$E28*$K$2</f>
        <v>0.99512736477387953</v>
      </c>
      <c r="F28" s="19">
        <f t="shared" si="2"/>
        <v>88.476506031107988</v>
      </c>
      <c r="G28" s="1">
        <v>22</v>
      </c>
      <c r="H28" s="214" t="s">
        <v>1517</v>
      </c>
      <c r="I28" s="168">
        <v>5111</v>
      </c>
      <c r="J28" s="196" t="s">
        <v>1518</v>
      </c>
      <c r="K28" s="196" t="s">
        <v>1519</v>
      </c>
      <c r="L28" s="196" t="s">
        <v>268</v>
      </c>
      <c r="M28" s="197">
        <v>28806</v>
      </c>
      <c r="N28" s="196"/>
      <c r="O28" s="196" t="s">
        <v>545</v>
      </c>
      <c r="P28" s="352">
        <v>37017</v>
      </c>
    </row>
    <row r="29" spans="1:16" ht="15.75">
      <c r="A29" s="1">
        <v>23</v>
      </c>
      <c r="B29" s="39">
        <v>5.8668981481481482E-2</v>
      </c>
      <c r="C29" s="25">
        <f t="shared" si="1"/>
        <v>84.483333333333334</v>
      </c>
      <c r="D29" s="25">
        <f t="shared" si="0"/>
        <v>75.20624467773159</v>
      </c>
      <c r="E29" s="246">
        <f>H.Marathon!$E29*(1-$K$2)+Marathon!$E29*$K$2</f>
        <v>0.99725761233504784</v>
      </c>
      <c r="F29" s="19">
        <f t="shared" si="2"/>
        <v>89.019030985675585</v>
      </c>
      <c r="G29" s="1">
        <v>23</v>
      </c>
      <c r="H29" s="214" t="s">
        <v>1520</v>
      </c>
      <c r="I29" s="168">
        <v>5069</v>
      </c>
      <c r="J29" s="196" t="s">
        <v>1515</v>
      </c>
      <c r="K29" s="196" t="s">
        <v>1516</v>
      </c>
      <c r="L29" s="196" t="s">
        <v>268</v>
      </c>
      <c r="M29" s="197">
        <v>27570</v>
      </c>
      <c r="N29" s="196"/>
      <c r="O29" s="196" t="s">
        <v>545</v>
      </c>
      <c r="P29" s="352">
        <v>36282</v>
      </c>
    </row>
    <row r="30" spans="1:16" ht="15.75">
      <c r="A30" s="1">
        <v>24</v>
      </c>
      <c r="B30" s="39">
        <v>5.7812500000000003E-2</v>
      </c>
      <c r="C30" s="25">
        <f t="shared" si="1"/>
        <v>83.25</v>
      </c>
      <c r="D30" s="25">
        <f t="shared" si="0"/>
        <v>75.091933568015321</v>
      </c>
      <c r="E30" s="246">
        <f>H.Marathon!$E30*(1-$K$2)+Marathon!$E30*$K$2</f>
        <v>0.99877571979243207</v>
      </c>
      <c r="F30" s="19">
        <f t="shared" si="2"/>
        <v>90.200520802420797</v>
      </c>
      <c r="G30" s="1">
        <v>24</v>
      </c>
      <c r="H30" s="214" t="s">
        <v>1521</v>
      </c>
      <c r="I30" s="168">
        <v>4995</v>
      </c>
      <c r="J30" s="196" t="s">
        <v>774</v>
      </c>
      <c r="K30" s="196" t="s">
        <v>1522</v>
      </c>
      <c r="L30" s="196" t="s">
        <v>268</v>
      </c>
      <c r="M30" s="197">
        <v>32298</v>
      </c>
      <c r="N30" s="196"/>
      <c r="O30" s="196" t="s">
        <v>545</v>
      </c>
      <c r="P30" s="352">
        <v>41399</v>
      </c>
    </row>
    <row r="31" spans="1:16" ht="15.75">
      <c r="A31" s="1">
        <v>25</v>
      </c>
      <c r="B31" s="39">
        <v>5.8761574074074077E-2</v>
      </c>
      <c r="C31" s="25">
        <f t="shared" si="1"/>
        <v>84.616666666666674</v>
      </c>
      <c r="D31" s="25">
        <f t="shared" si="0"/>
        <v>75.022043520723287</v>
      </c>
      <c r="E31" s="246">
        <f>H.Marathon!$E31*(1-$K$2)+Marathon!$E31*$K$2</f>
        <v>0.9997061727501837</v>
      </c>
      <c r="F31" s="19">
        <f t="shared" si="2"/>
        <v>88.661071720374167</v>
      </c>
      <c r="G31" s="1">
        <v>25</v>
      </c>
      <c r="H31" s="214" t="s">
        <v>1523</v>
      </c>
      <c r="I31" s="168">
        <v>5077</v>
      </c>
      <c r="J31" s="196" t="s">
        <v>1393</v>
      </c>
      <c r="K31" s="196" t="s">
        <v>1524</v>
      </c>
      <c r="L31" s="196" t="s">
        <v>268</v>
      </c>
      <c r="M31" s="197">
        <v>32485</v>
      </c>
      <c r="N31" s="196"/>
      <c r="O31" s="196" t="s">
        <v>545</v>
      </c>
      <c r="P31" s="352">
        <v>41763</v>
      </c>
    </row>
    <row r="32" spans="1:16" ht="15.75">
      <c r="A32" s="1">
        <v>26</v>
      </c>
      <c r="B32" s="39">
        <v>5.7708333333333334E-2</v>
      </c>
      <c r="C32" s="25">
        <f t="shared" si="1"/>
        <v>83.1</v>
      </c>
      <c r="D32" s="25">
        <f t="shared" si="0"/>
        <v>75</v>
      </c>
      <c r="E32" s="246">
        <f>H.Marathon!$E32*(1-$K$2)+Marathon!$E32*$K$2</f>
        <v>1</v>
      </c>
      <c r="F32" s="19">
        <f t="shared" si="2"/>
        <v>90.25270758122744</v>
      </c>
      <c r="G32" s="1">
        <v>26</v>
      </c>
      <c r="H32" s="214" t="s">
        <v>1525</v>
      </c>
      <c r="I32" s="168">
        <v>4986</v>
      </c>
      <c r="J32" s="196" t="s">
        <v>972</v>
      </c>
      <c r="K32" s="196" t="s">
        <v>1526</v>
      </c>
      <c r="L32" s="196" t="s">
        <v>268</v>
      </c>
      <c r="M32" s="197">
        <v>31589</v>
      </c>
      <c r="N32" s="196"/>
      <c r="O32" s="196" t="s">
        <v>545</v>
      </c>
      <c r="P32" s="352">
        <v>41399</v>
      </c>
    </row>
    <row r="33" spans="1:16" ht="15.75">
      <c r="A33" s="1">
        <v>27</v>
      </c>
      <c r="B33" s="39">
        <v>5.8773148148148151E-2</v>
      </c>
      <c r="C33" s="25">
        <f t="shared" si="1"/>
        <v>84.63333333333334</v>
      </c>
      <c r="D33" s="25">
        <f t="shared" si="0"/>
        <v>75</v>
      </c>
      <c r="E33" s="246">
        <f>H.Marathon!$E33*(1-$K$2)+Marathon!$E33*$K$2</f>
        <v>1</v>
      </c>
      <c r="F33" s="19">
        <f t="shared" si="2"/>
        <v>88.617565970854656</v>
      </c>
      <c r="G33" s="1">
        <v>27</v>
      </c>
      <c r="H33" s="214" t="s">
        <v>1527</v>
      </c>
      <c r="I33" s="168">
        <v>5078</v>
      </c>
      <c r="J33" s="196" t="s">
        <v>1528</v>
      </c>
      <c r="K33" s="196" t="s">
        <v>1529</v>
      </c>
      <c r="L33" s="196" t="s">
        <v>268</v>
      </c>
      <c r="M33" s="197">
        <v>30348</v>
      </c>
      <c r="N33" s="196"/>
      <c r="O33" s="196" t="s">
        <v>545</v>
      </c>
      <c r="P33" s="352">
        <v>40307</v>
      </c>
    </row>
    <row r="34" spans="1:16" ht="15.75">
      <c r="A34" s="1">
        <v>28</v>
      </c>
      <c r="B34" s="39">
        <v>5.5474537037037037E-2</v>
      </c>
      <c r="C34" s="25">
        <f t="shared" si="1"/>
        <v>79.88333333333334</v>
      </c>
      <c r="D34" s="25">
        <f t="shared" si="0"/>
        <v>75.026027551180235</v>
      </c>
      <c r="E34" s="246">
        <f>H.Marathon!$E34*(1-$K$2)+Marathon!$E34*$K$2</f>
        <v>0.99965308637509187</v>
      </c>
      <c r="F34" s="19">
        <f t="shared" si="2"/>
        <v>93.919500377025116</v>
      </c>
      <c r="G34" s="1">
        <v>28</v>
      </c>
      <c r="H34" s="214" t="s">
        <v>1530</v>
      </c>
      <c r="I34" s="168">
        <v>4793</v>
      </c>
      <c r="J34" s="196" t="s">
        <v>306</v>
      </c>
      <c r="K34" s="196" t="s">
        <v>784</v>
      </c>
      <c r="L34" s="196" t="s">
        <v>268</v>
      </c>
      <c r="M34" s="197">
        <v>29969</v>
      </c>
      <c r="N34" s="196"/>
      <c r="O34" s="196" t="s">
        <v>545</v>
      </c>
      <c r="P34" s="352">
        <v>40307</v>
      </c>
    </row>
    <row r="35" spans="1:16" ht="15.75">
      <c r="A35" s="1">
        <v>29</v>
      </c>
      <c r="B35" s="39">
        <v>5.4710648148148147E-2</v>
      </c>
      <c r="C35" s="25">
        <f t="shared" si="1"/>
        <v>78.783333333333331</v>
      </c>
      <c r="D35" s="25">
        <f t="shared" si="0"/>
        <v>75.082281533575511</v>
      </c>
      <c r="E35" s="246">
        <f>H.Marathon!$E35*(1-$K$2)+Marathon!$E35*$K$2</f>
        <v>0.99890411516678912</v>
      </c>
      <c r="F35" s="19">
        <f t="shared" si="2"/>
        <v>95.302240152623881</v>
      </c>
      <c r="G35" s="1">
        <v>29</v>
      </c>
      <c r="H35" s="215" t="s">
        <v>1531</v>
      </c>
      <c r="I35" s="195">
        <v>4727</v>
      </c>
      <c r="J35" s="211" t="s">
        <v>1532</v>
      </c>
      <c r="K35" s="211" t="s">
        <v>1533</v>
      </c>
      <c r="L35" s="211" t="s">
        <v>272</v>
      </c>
      <c r="M35" s="212">
        <v>34679</v>
      </c>
      <c r="N35" s="211" t="s">
        <v>1534</v>
      </c>
      <c r="O35" s="211" t="s">
        <v>1535</v>
      </c>
      <c r="P35" s="389">
        <v>45277</v>
      </c>
    </row>
    <row r="36" spans="1:16" ht="15.75">
      <c r="A36" s="1">
        <v>30</v>
      </c>
      <c r="B36" s="39">
        <v>5.7303240740740738E-2</v>
      </c>
      <c r="C36" s="25">
        <f t="shared" si="1"/>
        <v>82.516666666666666</v>
      </c>
      <c r="D36" s="25">
        <f t="shared" si="0"/>
        <v>75.174432530890158</v>
      </c>
      <c r="E36" s="246">
        <f>H.Marathon!$E36*(1-$K$2)+Marathon!$E36*$K$2</f>
        <v>0.99767962956263778</v>
      </c>
      <c r="F36" s="19">
        <f t="shared" si="2"/>
        <v>91.102119811218131</v>
      </c>
      <c r="G36" s="1">
        <v>30</v>
      </c>
      <c r="H36" s="214" t="s">
        <v>1536</v>
      </c>
      <c r="I36" s="168">
        <v>4951</v>
      </c>
      <c r="J36" s="196" t="s">
        <v>1537</v>
      </c>
      <c r="K36" s="196" t="s">
        <v>1538</v>
      </c>
      <c r="L36" s="196" t="s">
        <v>268</v>
      </c>
      <c r="M36" s="197">
        <v>28909</v>
      </c>
      <c r="N36" s="196"/>
      <c r="O36" s="196" t="s">
        <v>545</v>
      </c>
      <c r="P36" s="352">
        <v>39943</v>
      </c>
    </row>
    <row r="37" spans="1:16" ht="15.75">
      <c r="A37" s="1">
        <v>31</v>
      </c>
      <c r="B37" s="39">
        <v>6.0127314814814814E-2</v>
      </c>
      <c r="C37" s="25">
        <f t="shared" si="1"/>
        <v>86.583333333333329</v>
      </c>
      <c r="D37" s="25">
        <f t="shared" si="0"/>
        <v>75.302744929567055</v>
      </c>
      <c r="E37" s="246">
        <f>H.Marathon!$E37*(1-$K$2)+Marathon!$E37*$K$2</f>
        <v>0.99597962956263775</v>
      </c>
      <c r="F37" s="19">
        <f t="shared" si="2"/>
        <v>86.971408965813737</v>
      </c>
      <c r="G37" s="1">
        <v>31</v>
      </c>
      <c r="H37" s="214" t="s">
        <v>1539</v>
      </c>
      <c r="I37" s="168">
        <v>5195</v>
      </c>
      <c r="J37" s="196" t="s">
        <v>1540</v>
      </c>
      <c r="K37" s="196" t="s">
        <v>1541</v>
      </c>
      <c r="L37" s="196" t="s">
        <v>241</v>
      </c>
      <c r="M37" s="197">
        <v>30056</v>
      </c>
      <c r="N37" s="175" t="s">
        <v>1542</v>
      </c>
      <c r="O37" s="196" t="s">
        <v>1543</v>
      </c>
      <c r="P37" s="352">
        <v>41405</v>
      </c>
    </row>
    <row r="38" spans="1:16" ht="15.75">
      <c r="A38" s="1">
        <v>32</v>
      </c>
      <c r="B38" s="39">
        <v>5.7268518518518517E-2</v>
      </c>
      <c r="C38" s="25">
        <f t="shared" si="1"/>
        <v>82.466666666666669</v>
      </c>
      <c r="D38" s="25">
        <f t="shared" si="0"/>
        <v>75.461854503451448</v>
      </c>
      <c r="E38" s="246">
        <f>H.Marathon!$E38*(1-$K$2)+Marathon!$E38*$K$2</f>
        <v>0.99387962956263776</v>
      </c>
      <c r="F38" s="19">
        <f t="shared" si="2"/>
        <v>91.50588662504218</v>
      </c>
      <c r="G38" s="1">
        <v>32</v>
      </c>
      <c r="H38" s="214" t="s">
        <v>1544</v>
      </c>
      <c r="I38" s="168">
        <v>4948</v>
      </c>
      <c r="J38" s="196" t="s">
        <v>1545</v>
      </c>
      <c r="K38" s="196" t="s">
        <v>1546</v>
      </c>
      <c r="L38" s="196" t="s">
        <v>535</v>
      </c>
      <c r="M38" s="197">
        <v>19633</v>
      </c>
      <c r="N38" s="196"/>
      <c r="O38" s="196" t="s">
        <v>575</v>
      </c>
      <c r="P38" s="352">
        <v>31500</v>
      </c>
    </row>
    <row r="39" spans="1:16" ht="15.75">
      <c r="A39" s="1">
        <v>33</v>
      </c>
      <c r="B39" s="39">
        <v>5.8749999999999997E-2</v>
      </c>
      <c r="C39" s="25">
        <f t="shared" si="1"/>
        <v>84.6</v>
      </c>
      <c r="D39" s="25">
        <f t="shared" si="0"/>
        <v>75.657912493766929</v>
      </c>
      <c r="E39" s="246">
        <f>H.Marathon!$E39*(1-$K$2)+Marathon!$E39*$K$2</f>
        <v>0.99130411516678929</v>
      </c>
      <c r="F39" s="19">
        <f t="shared" si="2"/>
        <v>89.430156612017655</v>
      </c>
      <c r="G39" s="1">
        <v>33</v>
      </c>
      <c r="H39" s="214" t="s">
        <v>1547</v>
      </c>
      <c r="I39" s="168">
        <v>5076</v>
      </c>
      <c r="J39" s="196" t="s">
        <v>1393</v>
      </c>
      <c r="K39" s="196" t="s">
        <v>1548</v>
      </c>
      <c r="L39" s="196" t="s">
        <v>241</v>
      </c>
      <c r="M39" s="197">
        <v>28724</v>
      </c>
      <c r="N39" s="175" t="s">
        <v>1542</v>
      </c>
      <c r="O39" s="196" t="s">
        <v>1543</v>
      </c>
      <c r="P39" s="352">
        <v>41041</v>
      </c>
    </row>
    <row r="40" spans="1:16" ht="15.75">
      <c r="A40" s="1">
        <v>34</v>
      </c>
      <c r="B40" s="39">
        <v>5.9293981481481482E-2</v>
      </c>
      <c r="C40" s="25">
        <f t="shared" si="1"/>
        <v>85.38333333333334</v>
      </c>
      <c r="D40" s="25">
        <f t="shared" si="0"/>
        <v>75.889610496569304</v>
      </c>
      <c r="E40" s="246">
        <f>H.Marathon!$E40*(1-$K$2)+Marathon!$E40*$K$2</f>
        <v>0.98827757197924315</v>
      </c>
      <c r="F40" s="19">
        <f t="shared" si="2"/>
        <v>88.881058555419827</v>
      </c>
      <c r="G40" s="1">
        <v>34</v>
      </c>
      <c r="H40" s="214" t="s">
        <v>1549</v>
      </c>
      <c r="I40" s="168">
        <v>5123</v>
      </c>
      <c r="J40" s="196" t="s">
        <v>1410</v>
      </c>
      <c r="K40" s="196" t="s">
        <v>1550</v>
      </c>
      <c r="L40" s="196" t="s">
        <v>291</v>
      </c>
      <c r="M40" s="197">
        <v>19039</v>
      </c>
      <c r="N40" s="196"/>
      <c r="O40" s="196" t="s">
        <v>1551</v>
      </c>
      <c r="P40" s="352">
        <v>31735</v>
      </c>
    </row>
    <row r="41" spans="1:16" ht="15.75">
      <c r="A41" s="1">
        <v>35</v>
      </c>
      <c r="B41" s="39">
        <v>5.9733796296296299E-2</v>
      </c>
      <c r="C41" s="25">
        <f t="shared" si="1"/>
        <v>86.016666666666666</v>
      </c>
      <c r="D41" s="25">
        <f t="shared" si="0"/>
        <v>76.155542840316542</v>
      </c>
      <c r="E41" s="246">
        <f>H.Marathon!$E41*(1-$K$2)+Marathon!$E41*$K$2</f>
        <v>0.98482654318754592</v>
      </c>
      <c r="F41" s="19">
        <f t="shared" si="2"/>
        <v>88.535798690544325</v>
      </c>
      <c r="G41" s="1">
        <v>35</v>
      </c>
      <c r="H41" s="214" t="s">
        <v>1552</v>
      </c>
      <c r="I41" s="168">
        <v>5161</v>
      </c>
      <c r="J41" s="196" t="s">
        <v>1553</v>
      </c>
      <c r="K41" s="196" t="s">
        <v>1554</v>
      </c>
      <c r="L41" s="196" t="s">
        <v>320</v>
      </c>
      <c r="M41" s="197">
        <v>23640</v>
      </c>
      <c r="N41" s="196"/>
      <c r="O41" s="196" t="s">
        <v>545</v>
      </c>
      <c r="P41" s="352">
        <v>36646</v>
      </c>
    </row>
    <row r="42" spans="1:16" ht="15.75">
      <c r="A42" s="1">
        <v>36</v>
      </c>
      <c r="B42" s="39">
        <v>5.962962962962963E-2</v>
      </c>
      <c r="C42" s="25">
        <f t="shared" si="1"/>
        <v>85.86666666666666</v>
      </c>
      <c r="D42" s="25">
        <f t="shared" si="0"/>
        <v>76.458484929966346</v>
      </c>
      <c r="E42" s="246">
        <f>H.Marathon!$E42*(1-$K$2)+Marathon!$E42*$K$2</f>
        <v>0.98092448560415135</v>
      </c>
      <c r="F42" s="19">
        <f t="shared" si="2"/>
        <v>89.043266610985654</v>
      </c>
      <c r="G42" s="1">
        <v>36</v>
      </c>
      <c r="H42" s="214" t="s">
        <v>679</v>
      </c>
      <c r="I42" s="168">
        <v>5152</v>
      </c>
      <c r="J42" s="196" t="s">
        <v>1555</v>
      </c>
      <c r="K42" s="196" t="s">
        <v>1556</v>
      </c>
      <c r="L42" s="196" t="s">
        <v>241</v>
      </c>
      <c r="M42" s="197">
        <v>28070</v>
      </c>
      <c r="N42" s="175" t="s">
        <v>1542</v>
      </c>
      <c r="O42" s="196" t="s">
        <v>1543</v>
      </c>
      <c r="P42" s="352">
        <v>41405</v>
      </c>
    </row>
    <row r="43" spans="1:16" ht="15.75">
      <c r="A43" s="1">
        <v>37</v>
      </c>
      <c r="B43" s="191" t="s">
        <v>1557</v>
      </c>
      <c r="C43" s="25">
        <f t="shared" si="1"/>
        <v>85.45</v>
      </c>
      <c r="D43" s="25">
        <f t="shared" ref="D43:D74" si="3">E$4/E43</f>
        <v>76.799300142526889</v>
      </c>
      <c r="E43" s="246">
        <f>H.Marathon!$E43*(1-$K$2)+Marathon!$E43*$K$2</f>
        <v>0.97657139922905967</v>
      </c>
      <c r="F43" s="19">
        <f t="shared" si="2"/>
        <v>89.876302097749431</v>
      </c>
      <c r="G43" s="1">
        <v>37</v>
      </c>
      <c r="H43" s="214" t="s">
        <v>1557</v>
      </c>
      <c r="I43" s="168">
        <v>5127</v>
      </c>
      <c r="J43" s="196" t="s">
        <v>576</v>
      </c>
      <c r="K43" s="196" t="s">
        <v>577</v>
      </c>
      <c r="L43" s="196" t="s">
        <v>578</v>
      </c>
      <c r="M43" s="197">
        <v>27368</v>
      </c>
      <c r="N43" s="196"/>
      <c r="O43" s="196" t="s">
        <v>545</v>
      </c>
      <c r="P43" s="352">
        <v>41035</v>
      </c>
    </row>
    <row r="44" spans="1:16" ht="15.75">
      <c r="A44" s="1">
        <v>38</v>
      </c>
      <c r="B44" s="191" t="s">
        <v>1558</v>
      </c>
      <c r="C44" s="25">
        <f t="shared" si="1"/>
        <v>88.533333333333331</v>
      </c>
      <c r="D44" s="25">
        <f t="shared" si="3"/>
        <v>77.182861543200318</v>
      </c>
      <c r="E44" s="246">
        <f>H.Marathon!$E44*(1-$K$2)+Marathon!$E44*$K$2</f>
        <v>0.9717183128539677</v>
      </c>
      <c r="F44" s="19">
        <f t="shared" si="2"/>
        <v>87.179436984036514</v>
      </c>
      <c r="G44" s="1">
        <v>38</v>
      </c>
      <c r="H44" s="214" t="s">
        <v>1558</v>
      </c>
      <c r="I44" s="168">
        <v>5312</v>
      </c>
      <c r="J44" s="196" t="s">
        <v>1559</v>
      </c>
      <c r="K44" s="196" t="s">
        <v>1560</v>
      </c>
      <c r="L44" s="196" t="s">
        <v>1561</v>
      </c>
      <c r="M44" s="197">
        <v>19067</v>
      </c>
      <c r="N44" s="196"/>
      <c r="O44" s="196" t="s">
        <v>608</v>
      </c>
      <c r="P44" s="352">
        <v>33146</v>
      </c>
    </row>
    <row r="45" spans="1:16" ht="15.75">
      <c r="A45" s="1">
        <v>39</v>
      </c>
      <c r="B45" s="191" t="s">
        <v>1562</v>
      </c>
      <c r="C45" s="25">
        <f t="shared" si="1"/>
        <v>86.899999999999991</v>
      </c>
      <c r="D45" s="25">
        <f t="shared" si="3"/>
        <v>77.602378176861677</v>
      </c>
      <c r="E45" s="246">
        <f>H.Marathon!$E45*(1-$K$2)+Marathon!$E45*$K$2</f>
        <v>0.96646522647887589</v>
      </c>
      <c r="F45" s="19">
        <f t="shared" si="2"/>
        <v>89.300780410657865</v>
      </c>
      <c r="G45" s="1">
        <v>39</v>
      </c>
      <c r="H45" s="214" t="s">
        <v>1562</v>
      </c>
      <c r="I45" s="168">
        <v>5214</v>
      </c>
      <c r="J45" s="196" t="s">
        <v>1563</v>
      </c>
      <c r="K45" s="196" t="s">
        <v>514</v>
      </c>
      <c r="L45" s="196" t="s">
        <v>241</v>
      </c>
      <c r="M45" s="197">
        <v>21307</v>
      </c>
      <c r="N45" s="175" t="s">
        <v>1542</v>
      </c>
      <c r="O45" s="196" t="s">
        <v>1543</v>
      </c>
      <c r="P45" s="352">
        <v>35560</v>
      </c>
    </row>
    <row r="46" spans="1:16" ht="15.75">
      <c r="A46" s="1">
        <v>40</v>
      </c>
      <c r="B46" s="39">
        <v>6.008101851851852E-2</v>
      </c>
      <c r="C46" s="25">
        <f t="shared" si="1"/>
        <v>86.516666666666666</v>
      </c>
      <c r="D46" s="25">
        <f t="shared" si="3"/>
        <v>78.063109671013265</v>
      </c>
      <c r="E46" s="246">
        <f>H.Marathon!$E46*(1-$K$2)+Marathon!$E46*$K$2</f>
        <v>0.96076111131208664</v>
      </c>
      <c r="F46" s="19">
        <f t="shared" si="2"/>
        <v>90.228984401094124</v>
      </c>
      <c r="G46" s="1">
        <v>40</v>
      </c>
      <c r="H46" s="214" t="s">
        <v>1564</v>
      </c>
      <c r="I46" s="168">
        <v>5191</v>
      </c>
      <c r="J46" s="196" t="s">
        <v>583</v>
      </c>
      <c r="K46" s="196" t="s">
        <v>584</v>
      </c>
      <c r="L46" s="196" t="s">
        <v>241</v>
      </c>
      <c r="M46" s="197">
        <v>16398</v>
      </c>
      <c r="N46" s="196"/>
      <c r="O46" s="196" t="s">
        <v>1565</v>
      </c>
      <c r="P46" s="352">
        <v>31060</v>
      </c>
    </row>
    <row r="47" spans="1:16" ht="15.75">
      <c r="A47" s="1">
        <v>41</v>
      </c>
      <c r="B47" s="39">
        <v>5.9201388888888887E-2</v>
      </c>
      <c r="C47" s="25">
        <f t="shared" si="1"/>
        <v>85.25</v>
      </c>
      <c r="D47" s="25">
        <f t="shared" si="3"/>
        <v>78.568463178804279</v>
      </c>
      <c r="E47" s="246">
        <f>H.Marathon!$E47*(1-$K$2)+Marathon!$E47*$K$2</f>
        <v>0.9545814817494489</v>
      </c>
      <c r="F47" s="19">
        <f t="shared" si="2"/>
        <v>92.16242015109006</v>
      </c>
      <c r="G47" s="1">
        <v>41</v>
      </c>
      <c r="H47" s="214" t="s">
        <v>1566</v>
      </c>
      <c r="I47" s="168">
        <v>5115</v>
      </c>
      <c r="J47" s="196" t="s">
        <v>304</v>
      </c>
      <c r="K47" s="196" t="s">
        <v>305</v>
      </c>
      <c r="L47" s="196" t="s">
        <v>241</v>
      </c>
      <c r="M47" s="197">
        <v>23483</v>
      </c>
      <c r="N47" s="175" t="s">
        <v>1542</v>
      </c>
      <c r="O47" s="196" t="s">
        <v>1543</v>
      </c>
      <c r="P47" s="352">
        <v>38486</v>
      </c>
    </row>
    <row r="48" spans="1:16" ht="15.75">
      <c r="A48" s="1">
        <v>42</v>
      </c>
      <c r="B48" s="191" t="s">
        <v>1567</v>
      </c>
      <c r="C48" s="25">
        <f t="shared" si="1"/>
        <v>88.3</v>
      </c>
      <c r="D48" s="25">
        <f t="shared" si="3"/>
        <v>79.120071897969623</v>
      </c>
      <c r="E48" s="246">
        <f>H.Marathon!$E48*(1-$K$2)+Marathon!$E48*$K$2</f>
        <v>0.94792633779096258</v>
      </c>
      <c r="F48" s="19">
        <f t="shared" si="2"/>
        <v>89.603705433714183</v>
      </c>
      <c r="G48" s="1">
        <v>42</v>
      </c>
      <c r="H48" s="214" t="s">
        <v>1567</v>
      </c>
      <c r="I48" s="168">
        <v>5298</v>
      </c>
      <c r="J48" s="196" t="s">
        <v>334</v>
      </c>
      <c r="K48" s="196" t="s">
        <v>904</v>
      </c>
      <c r="L48" s="196" t="s">
        <v>284</v>
      </c>
      <c r="M48" s="197">
        <v>13814</v>
      </c>
      <c r="N48" s="196"/>
      <c r="O48" s="196" t="s">
        <v>1568</v>
      </c>
      <c r="P48" s="352">
        <v>29401</v>
      </c>
    </row>
    <row r="49" spans="1:16" ht="15.75">
      <c r="A49" s="1">
        <v>43</v>
      </c>
      <c r="B49" s="191" t="s">
        <v>1569</v>
      </c>
      <c r="C49" s="25">
        <f t="shared" si="1"/>
        <v>87.016666666666666</v>
      </c>
      <c r="D49" s="25">
        <f t="shared" si="3"/>
        <v>79.711281111320602</v>
      </c>
      <c r="E49" s="246">
        <f>H.Marathon!$E49*(1-$K$2)+Marathon!$E49*$K$2</f>
        <v>0.94089567943662744</v>
      </c>
      <c r="F49" s="19">
        <f t="shared" si="2"/>
        <v>91.604613420402913</v>
      </c>
      <c r="G49" s="1">
        <v>43</v>
      </c>
      <c r="H49" s="214" t="s">
        <v>1569</v>
      </c>
      <c r="I49" s="168">
        <v>5221</v>
      </c>
      <c r="J49" s="196" t="s">
        <v>318</v>
      </c>
      <c r="K49" s="196" t="s">
        <v>1570</v>
      </c>
      <c r="L49" s="196" t="s">
        <v>320</v>
      </c>
      <c r="M49" s="197">
        <v>22400</v>
      </c>
      <c r="N49" s="175" t="s">
        <v>1542</v>
      </c>
      <c r="O49" s="196" t="s">
        <v>1543</v>
      </c>
      <c r="P49" s="352">
        <v>38115</v>
      </c>
    </row>
    <row r="50" spans="1:16" ht="15.75">
      <c r="A50" s="1">
        <v>44</v>
      </c>
      <c r="B50" s="191" t="s">
        <v>1571</v>
      </c>
      <c r="C50" s="25">
        <f t="shared" si="1"/>
        <v>89.833333333333329</v>
      </c>
      <c r="D50" s="25">
        <f t="shared" si="3"/>
        <v>80.352306794461271</v>
      </c>
      <c r="E50" s="246">
        <f>H.Marathon!$E50*(1-$K$2)+Marathon!$E50*$K$2</f>
        <v>0.93338950668644383</v>
      </c>
      <c r="F50" s="19">
        <f t="shared" si="2"/>
        <v>89.445981589381745</v>
      </c>
      <c r="G50" s="1">
        <v>44</v>
      </c>
      <c r="H50" s="214" t="s">
        <v>1571</v>
      </c>
      <c r="I50" s="168">
        <v>5390</v>
      </c>
      <c r="J50" s="196" t="s">
        <v>318</v>
      </c>
      <c r="K50" s="196" t="s">
        <v>1570</v>
      </c>
      <c r="L50" s="196" t="s">
        <v>320</v>
      </c>
      <c r="M50" s="197">
        <v>22400</v>
      </c>
      <c r="N50" s="175" t="s">
        <v>1542</v>
      </c>
      <c r="O50" s="196" t="s">
        <v>1543</v>
      </c>
      <c r="P50" s="352">
        <v>38486</v>
      </c>
    </row>
    <row r="51" spans="1:16" ht="15.75">
      <c r="A51" s="1">
        <v>45</v>
      </c>
      <c r="B51" s="191" t="s">
        <v>1572</v>
      </c>
      <c r="C51" s="25">
        <f t="shared" si="1"/>
        <v>94</v>
      </c>
      <c r="D51" s="25">
        <f t="shared" si="3"/>
        <v>81.04749377857928</v>
      </c>
      <c r="E51" s="246">
        <f>H.Marathon!$E51*(1-$K$2)+Marathon!$E51*$K$2</f>
        <v>0.92538333393626016</v>
      </c>
      <c r="F51" s="19">
        <f t="shared" si="2"/>
        <v>86.220738062318375</v>
      </c>
      <c r="G51" s="1">
        <v>45</v>
      </c>
      <c r="H51" s="214" t="s">
        <v>1572</v>
      </c>
      <c r="I51" s="168">
        <v>5640</v>
      </c>
      <c r="J51" s="196" t="s">
        <v>562</v>
      </c>
      <c r="K51" s="196" t="s">
        <v>1573</v>
      </c>
      <c r="L51" s="196" t="s">
        <v>291</v>
      </c>
      <c r="M51" s="197">
        <v>23319</v>
      </c>
      <c r="N51" s="196"/>
      <c r="O51" s="196" t="s">
        <v>1574</v>
      </c>
      <c r="P51" s="352">
        <v>39908</v>
      </c>
    </row>
    <row r="52" spans="1:16" ht="15.75">
      <c r="A52" s="1">
        <v>46</v>
      </c>
      <c r="B52" s="191" t="s">
        <v>1575</v>
      </c>
      <c r="C52" s="25">
        <f t="shared" si="1"/>
        <v>94.083333333333329</v>
      </c>
      <c r="D52" s="25">
        <f t="shared" si="3"/>
        <v>81.788293687935891</v>
      </c>
      <c r="E52" s="246">
        <f>H.Marathon!$E52*(1-$K$2)+Marathon!$E52*$K$2</f>
        <v>0.91700164679022778</v>
      </c>
      <c r="F52" s="19">
        <f t="shared" si="2"/>
        <v>86.931755912775088</v>
      </c>
      <c r="G52" s="1">
        <v>46</v>
      </c>
      <c r="H52" s="214" t="s">
        <v>1575</v>
      </c>
      <c r="I52" s="168">
        <v>5645</v>
      </c>
      <c r="J52" s="196" t="s">
        <v>318</v>
      </c>
      <c r="K52" s="196" t="s">
        <v>1570</v>
      </c>
      <c r="L52" s="196" t="s">
        <v>320</v>
      </c>
      <c r="M52" s="197">
        <v>22400</v>
      </c>
      <c r="N52" s="175" t="s">
        <v>1542</v>
      </c>
      <c r="O52" s="196" t="s">
        <v>1543</v>
      </c>
      <c r="P52" s="352">
        <v>39214</v>
      </c>
    </row>
    <row r="53" spans="1:16" ht="15.75">
      <c r="A53" s="1">
        <v>47</v>
      </c>
      <c r="B53" s="191" t="s">
        <v>1576</v>
      </c>
      <c r="C53" s="25">
        <f t="shared" si="1"/>
        <v>91.1</v>
      </c>
      <c r="D53" s="25">
        <f t="shared" si="3"/>
        <v>82.583754466911245</v>
      </c>
      <c r="E53" s="246">
        <f>H.Marathon!$E53*(1-$K$2)+Marathon!$E53*$K$2</f>
        <v>0.90816893085249817</v>
      </c>
      <c r="F53" s="19">
        <f t="shared" ref="F53:F81" si="4">100*(D53/C53)</f>
        <v>90.651761215050769</v>
      </c>
      <c r="G53" s="1">
        <v>47</v>
      </c>
      <c r="H53" s="214" t="s">
        <v>1576</v>
      </c>
      <c r="I53" s="168">
        <v>5466</v>
      </c>
      <c r="J53" s="196" t="s">
        <v>304</v>
      </c>
      <c r="K53" s="196" t="s">
        <v>305</v>
      </c>
      <c r="L53" s="196" t="s">
        <v>241</v>
      </c>
      <c r="M53" s="197">
        <v>23483</v>
      </c>
      <c r="N53" s="175" t="s">
        <v>1542</v>
      </c>
      <c r="O53" s="196" t="s">
        <v>1543</v>
      </c>
      <c r="P53" s="352">
        <v>40677</v>
      </c>
    </row>
    <row r="54" spans="1:16" ht="15.75">
      <c r="A54" s="1">
        <v>48</v>
      </c>
      <c r="B54" s="191" t="s">
        <v>1577</v>
      </c>
      <c r="C54" s="25">
        <f t="shared" si="1"/>
        <v>97.483333333333334</v>
      </c>
      <c r="D54" s="25">
        <f t="shared" si="3"/>
        <v>83.441230733133963</v>
      </c>
      <c r="E54" s="246">
        <f>H.Marathon!$E54*(1-$K$2)+Marathon!$E54*$K$2</f>
        <v>0.89883621491476862</v>
      </c>
      <c r="F54" s="19">
        <f t="shared" si="4"/>
        <v>85.595381158967982</v>
      </c>
      <c r="G54" s="1">
        <v>48</v>
      </c>
      <c r="H54" s="214" t="s">
        <v>1577</v>
      </c>
      <c r="I54" s="168">
        <v>5849</v>
      </c>
      <c r="J54" s="196" t="s">
        <v>923</v>
      </c>
      <c r="K54" s="196" t="s">
        <v>1578</v>
      </c>
      <c r="L54" s="196" t="s">
        <v>241</v>
      </c>
      <c r="M54" s="197">
        <v>20203</v>
      </c>
      <c r="N54" s="175" t="s">
        <v>1542</v>
      </c>
      <c r="O54" s="196" t="s">
        <v>1543</v>
      </c>
      <c r="P54" s="352">
        <v>37751</v>
      </c>
    </row>
    <row r="55" spans="1:16" ht="15.75">
      <c r="A55" s="1">
        <v>49</v>
      </c>
      <c r="B55" s="191" t="s">
        <v>1579</v>
      </c>
      <c r="C55" s="25">
        <f t="shared" si="1"/>
        <v>97.999999999999986</v>
      </c>
      <c r="D55" s="25">
        <f t="shared" si="3"/>
        <v>84.359475413599228</v>
      </c>
      <c r="E55" s="246">
        <f>H.Marathon!$E55*(1-$K$2)+Marathon!$E55*$K$2</f>
        <v>0.88905247018534173</v>
      </c>
      <c r="F55" s="19">
        <f t="shared" si="4"/>
        <v>86.081097360815548</v>
      </c>
      <c r="G55" s="1">
        <v>49</v>
      </c>
      <c r="H55" s="214" t="s">
        <v>1579</v>
      </c>
      <c r="I55" s="168">
        <v>5880</v>
      </c>
      <c r="J55" s="196" t="s">
        <v>562</v>
      </c>
      <c r="K55" s="196" t="s">
        <v>1573</v>
      </c>
      <c r="L55" s="196" t="s">
        <v>291</v>
      </c>
      <c r="M55" s="197">
        <v>23319</v>
      </c>
      <c r="N55" s="196"/>
      <c r="O55" s="196" t="s">
        <v>1574</v>
      </c>
      <c r="P55" s="352">
        <v>41365</v>
      </c>
    </row>
    <row r="56" spans="1:16" ht="15.75">
      <c r="A56" s="1">
        <v>50</v>
      </c>
      <c r="B56" s="191" t="s">
        <v>1580</v>
      </c>
      <c r="C56" s="25">
        <f t="shared" si="1"/>
        <v>104.91666666666667</v>
      </c>
      <c r="D56" s="25">
        <f t="shared" si="3"/>
        <v>85.314985389163937</v>
      </c>
      <c r="E56" s="246">
        <f>H.Marathon!$E56*(1-$K$2)+Marathon!$E56*$K$2</f>
        <v>0.87909526864346077</v>
      </c>
      <c r="F56" s="19">
        <f t="shared" si="4"/>
        <v>81.316904262904472</v>
      </c>
      <c r="G56" s="1">
        <v>50</v>
      </c>
      <c r="H56" s="214" t="s">
        <v>1580</v>
      </c>
      <c r="I56" s="168">
        <v>6295</v>
      </c>
      <c r="J56" s="196" t="s">
        <v>1328</v>
      </c>
      <c r="K56" s="196" t="s">
        <v>1581</v>
      </c>
      <c r="L56" s="196" t="s">
        <v>241</v>
      </c>
      <c r="M56" s="197">
        <v>19118</v>
      </c>
      <c r="N56" s="196" t="s">
        <v>1582</v>
      </c>
      <c r="O56" s="196" t="s">
        <v>1583</v>
      </c>
      <c r="P56" s="352">
        <v>37507</v>
      </c>
    </row>
    <row r="57" spans="1:16" ht="15.75">
      <c r="A57" s="1">
        <v>51</v>
      </c>
      <c r="B57" s="191" t="s">
        <v>1584</v>
      </c>
      <c r="C57" s="25">
        <f t="shared" si="1"/>
        <v>96.633333333333326</v>
      </c>
      <c r="D57" s="25">
        <f t="shared" si="3"/>
        <v>86.309613892153408</v>
      </c>
      <c r="E57" s="246">
        <f>H.Marathon!$E57*(1-$K$2)+Marathon!$E57*$K$2</f>
        <v>0.86896461028912575</v>
      </c>
      <c r="F57" s="19">
        <f t="shared" si="4"/>
        <v>89.316606304401603</v>
      </c>
      <c r="G57" s="1">
        <v>51</v>
      </c>
      <c r="H57" s="214" t="s">
        <v>1584</v>
      </c>
      <c r="I57" s="168">
        <v>5798</v>
      </c>
      <c r="J57" s="196" t="s">
        <v>304</v>
      </c>
      <c r="K57" s="196" t="s">
        <v>305</v>
      </c>
      <c r="L57" s="196" t="s">
        <v>241</v>
      </c>
      <c r="M57" s="197">
        <v>23483</v>
      </c>
      <c r="N57" s="196"/>
      <c r="O57" s="196" t="s">
        <v>808</v>
      </c>
      <c r="P57" s="352">
        <v>42413</v>
      </c>
    </row>
    <row r="58" spans="1:16" ht="15.75">
      <c r="A58" s="1">
        <v>52</v>
      </c>
      <c r="B58" s="191" t="s">
        <v>1585</v>
      </c>
      <c r="C58" s="25">
        <f t="shared" si="1"/>
        <v>101.65</v>
      </c>
      <c r="D58" s="25">
        <f t="shared" si="3"/>
        <v>87.329987909556067</v>
      </c>
      <c r="E58" s="246">
        <f>H.Marathon!$E58*(1-$K$2)+Marathon!$E58*$K$2</f>
        <v>0.85881152391403381</v>
      </c>
      <c r="F58" s="19">
        <f t="shared" si="4"/>
        <v>85.912432768869706</v>
      </c>
      <c r="G58" s="1">
        <v>52</v>
      </c>
      <c r="H58" s="214" t="s">
        <v>1585</v>
      </c>
      <c r="I58" s="168">
        <v>6099</v>
      </c>
      <c r="J58" s="196" t="s">
        <v>829</v>
      </c>
      <c r="K58" s="196" t="s">
        <v>914</v>
      </c>
      <c r="L58" s="196" t="s">
        <v>241</v>
      </c>
      <c r="M58" s="197">
        <v>15914</v>
      </c>
      <c r="N58" s="196"/>
      <c r="O58" s="196" t="s">
        <v>555</v>
      </c>
      <c r="P58" s="352">
        <v>35050</v>
      </c>
    </row>
    <row r="59" spans="1:16" ht="15.75">
      <c r="A59" s="1">
        <v>53</v>
      </c>
      <c r="B59" s="191" t="s">
        <v>1586</v>
      </c>
      <c r="C59" s="25">
        <f t="shared" si="1"/>
        <v>96.75</v>
      </c>
      <c r="D59" s="25">
        <f t="shared" si="3"/>
        <v>88.392843366282904</v>
      </c>
      <c r="E59" s="246">
        <f>H.Marathon!$E59*(1-$K$2)+Marathon!$E59*$K$2</f>
        <v>0.84848498072648781</v>
      </c>
      <c r="F59" s="19">
        <f t="shared" si="4"/>
        <v>91.362112006493959</v>
      </c>
      <c r="G59" s="1">
        <v>53</v>
      </c>
      <c r="H59" s="214" t="s">
        <v>1586</v>
      </c>
      <c r="I59" s="168">
        <v>5805</v>
      </c>
      <c r="J59" s="196" t="s">
        <v>341</v>
      </c>
      <c r="K59" s="196" t="s">
        <v>342</v>
      </c>
      <c r="L59" s="196" t="s">
        <v>241</v>
      </c>
      <c r="M59" s="197">
        <v>20956</v>
      </c>
      <c r="N59" s="196" t="s">
        <v>1587</v>
      </c>
      <c r="O59" s="196" t="s">
        <v>891</v>
      </c>
      <c r="P59" s="352">
        <v>40461</v>
      </c>
    </row>
    <row r="60" spans="1:16" ht="15.75">
      <c r="A60" s="1">
        <v>54</v>
      </c>
      <c r="B60" s="191" t="s">
        <v>1588</v>
      </c>
      <c r="C60" s="25">
        <f t="shared" si="1"/>
        <v>105.23333333333333</v>
      </c>
      <c r="D60" s="25">
        <f t="shared" si="3"/>
        <v>89.481669007858841</v>
      </c>
      <c r="E60" s="246">
        <f>H.Marathon!$E60*(1-$K$2)+Marathon!$E60*$K$2</f>
        <v>0.83816049512233648</v>
      </c>
      <c r="F60" s="19">
        <f t="shared" si="4"/>
        <v>85.031677866194656</v>
      </c>
      <c r="G60" s="1">
        <v>54</v>
      </c>
      <c r="H60" s="214" t="s">
        <v>1588</v>
      </c>
      <c r="I60" s="168">
        <v>6314</v>
      </c>
      <c r="J60" s="196" t="s">
        <v>847</v>
      </c>
      <c r="K60" s="196" t="s">
        <v>1589</v>
      </c>
      <c r="L60" s="196" t="s">
        <v>241</v>
      </c>
      <c r="M60" s="197">
        <v>9478</v>
      </c>
      <c r="N60" s="196"/>
      <c r="O60" s="196" t="s">
        <v>1590</v>
      </c>
      <c r="P60" s="352">
        <v>29282</v>
      </c>
    </row>
    <row r="61" spans="1:16" ht="15.75">
      <c r="A61" s="1">
        <v>55</v>
      </c>
      <c r="B61" s="191" t="s">
        <v>1591</v>
      </c>
      <c r="C61" s="25">
        <f t="shared" si="1"/>
        <v>109.11666666666666</v>
      </c>
      <c r="D61" s="25">
        <f t="shared" si="3"/>
        <v>90.61664050743353</v>
      </c>
      <c r="E61" s="246">
        <f>H.Marathon!$E61*(1-$K$2)+Marathon!$E61*$K$2</f>
        <v>0.82766255270573119</v>
      </c>
      <c r="F61" s="19">
        <f t="shared" si="4"/>
        <v>83.045645798778253</v>
      </c>
      <c r="G61" s="1">
        <v>55</v>
      </c>
      <c r="H61" s="214" t="s">
        <v>1591</v>
      </c>
      <c r="I61" s="168">
        <v>6547</v>
      </c>
      <c r="J61" s="196" t="s">
        <v>334</v>
      </c>
      <c r="K61" s="196" t="s">
        <v>1592</v>
      </c>
      <c r="L61" s="196" t="s">
        <v>241</v>
      </c>
      <c r="M61" s="197">
        <v>13563</v>
      </c>
      <c r="N61" s="196"/>
      <c r="O61" s="196" t="s">
        <v>368</v>
      </c>
      <c r="P61" s="352">
        <v>33930</v>
      </c>
    </row>
    <row r="62" spans="1:16" ht="15.75">
      <c r="A62" s="1">
        <v>56</v>
      </c>
      <c r="B62" s="191" t="s">
        <v>1593</v>
      </c>
      <c r="C62" s="25">
        <f t="shared" si="1"/>
        <v>101.01666666666665</v>
      </c>
      <c r="D62" s="25">
        <f t="shared" si="3"/>
        <v>91.777792357294558</v>
      </c>
      <c r="E62" s="246">
        <f>H.Marathon!$E62*(1-$K$2)+Marathon!$E62*$K$2</f>
        <v>0.81719115347667159</v>
      </c>
      <c r="F62" s="19">
        <f t="shared" si="4"/>
        <v>90.854108916642033</v>
      </c>
      <c r="G62" s="1">
        <v>56</v>
      </c>
      <c r="H62" s="214" t="s">
        <v>1593</v>
      </c>
      <c r="I62" s="168">
        <v>6061</v>
      </c>
      <c r="J62" s="196" t="s">
        <v>1264</v>
      </c>
      <c r="K62" s="196" t="s">
        <v>1594</v>
      </c>
      <c r="L62" s="196" t="s">
        <v>241</v>
      </c>
      <c r="M62" s="197">
        <v>14922</v>
      </c>
      <c r="N62" s="196"/>
      <c r="O62" s="196" t="s">
        <v>1513</v>
      </c>
      <c r="P62" s="352">
        <v>35385</v>
      </c>
    </row>
    <row r="63" spans="1:16" ht="15.75">
      <c r="A63" s="1">
        <v>57</v>
      </c>
      <c r="B63" s="191" t="s">
        <v>1595</v>
      </c>
      <c r="C63" s="25">
        <f t="shared" si="1"/>
        <v>110.9</v>
      </c>
      <c r="D63" s="25">
        <f t="shared" si="3"/>
        <v>92.97779156494407</v>
      </c>
      <c r="E63" s="246">
        <f>H.Marathon!$E63*(1-$K$2)+Marathon!$E63*$K$2</f>
        <v>0.80664423985176337</v>
      </c>
      <c r="F63" s="19">
        <f t="shared" si="4"/>
        <v>83.839307091924326</v>
      </c>
      <c r="G63" s="1">
        <v>57</v>
      </c>
      <c r="H63" s="214" t="s">
        <v>1595</v>
      </c>
      <c r="I63" s="168">
        <v>6654</v>
      </c>
      <c r="J63" s="196" t="s">
        <v>1596</v>
      </c>
      <c r="K63" s="196" t="s">
        <v>1597</v>
      </c>
      <c r="L63" s="196" t="s">
        <v>241</v>
      </c>
      <c r="M63" s="197">
        <v>19156</v>
      </c>
      <c r="N63" s="175" t="s">
        <v>1542</v>
      </c>
      <c r="O63" s="196" t="s">
        <v>1543</v>
      </c>
      <c r="P63" s="352">
        <v>40306</v>
      </c>
    </row>
    <row r="64" spans="1:16" ht="15.75">
      <c r="A64" s="1">
        <v>58</v>
      </c>
      <c r="B64" s="191" t="s">
        <v>1598</v>
      </c>
      <c r="C64" s="25">
        <f t="shared" si="1"/>
        <v>106.61666666666667</v>
      </c>
      <c r="D64" s="25">
        <f t="shared" si="3"/>
        <v>94.200651131657409</v>
      </c>
      <c r="E64" s="246">
        <f>H.Marathon!$E64*(1-$K$2)+Marathon!$E64*$K$2</f>
        <v>0.79617284062270388</v>
      </c>
      <c r="F64" s="19">
        <f t="shared" si="4"/>
        <v>88.354526620282073</v>
      </c>
      <c r="G64" s="1">
        <v>58</v>
      </c>
      <c r="H64" s="214" t="s">
        <v>1598</v>
      </c>
      <c r="I64" s="168">
        <v>6397</v>
      </c>
      <c r="J64" s="196" t="s">
        <v>847</v>
      </c>
      <c r="K64" s="196" t="s">
        <v>1589</v>
      </c>
      <c r="L64" s="196" t="s">
        <v>241</v>
      </c>
      <c r="M64" s="197">
        <v>9478</v>
      </c>
      <c r="N64" s="196" t="s">
        <v>1599</v>
      </c>
      <c r="O64" s="196" t="s">
        <v>1600</v>
      </c>
      <c r="P64" s="352">
        <v>30948</v>
      </c>
    </row>
    <row r="65" spans="1:16" ht="15.75">
      <c r="A65" s="1">
        <v>59</v>
      </c>
      <c r="B65" s="191" t="s">
        <v>1601</v>
      </c>
      <c r="C65" s="25">
        <f t="shared" si="1"/>
        <v>121.55</v>
      </c>
      <c r="D65" s="25">
        <f t="shared" si="3"/>
        <v>95.465281150542296</v>
      </c>
      <c r="E65" s="246">
        <f>H.Marathon!$E65*(1-$K$2)+Marathon!$E65*$K$2</f>
        <v>0.78562592699779588</v>
      </c>
      <c r="F65" s="19">
        <f t="shared" si="4"/>
        <v>78.539926902955401</v>
      </c>
      <c r="G65" s="1">
        <v>59</v>
      </c>
      <c r="H65" s="214" t="s">
        <v>1601</v>
      </c>
      <c r="I65" s="168">
        <v>7293</v>
      </c>
      <c r="J65" s="196" t="s">
        <v>1602</v>
      </c>
      <c r="K65" s="196" t="s">
        <v>1603</v>
      </c>
      <c r="L65" s="196" t="s">
        <v>241</v>
      </c>
      <c r="M65" s="197">
        <v>11677</v>
      </c>
      <c r="N65" s="175" t="s">
        <v>1542</v>
      </c>
      <c r="O65" s="196" t="s">
        <v>1543</v>
      </c>
      <c r="P65" s="352">
        <v>33369</v>
      </c>
    </row>
    <row r="66" spans="1:16" ht="15.75">
      <c r="A66" s="1">
        <v>60</v>
      </c>
      <c r="B66" s="191" t="s">
        <v>1604</v>
      </c>
      <c r="C66" s="25">
        <f t="shared" si="1"/>
        <v>99.399999999999991</v>
      </c>
      <c r="D66" s="25">
        <f t="shared" si="3"/>
        <v>96.754901523810616</v>
      </c>
      <c r="E66" s="246">
        <f>H.Marathon!$E66*(1-$K$2)+Marathon!$E66*$K$2</f>
        <v>0.77515452776873628</v>
      </c>
      <c r="F66" s="19">
        <f t="shared" si="4"/>
        <v>97.338935134618339</v>
      </c>
      <c r="G66" s="1">
        <v>60</v>
      </c>
      <c r="H66" s="214" t="s">
        <v>1604</v>
      </c>
      <c r="I66" s="168">
        <v>5964</v>
      </c>
      <c r="J66" s="196" t="s">
        <v>1055</v>
      </c>
      <c r="K66" s="196" t="s">
        <v>1056</v>
      </c>
      <c r="L66" s="196" t="s">
        <v>241</v>
      </c>
      <c r="M66" s="170">
        <v>23193</v>
      </c>
      <c r="N66" s="196" t="s">
        <v>1605</v>
      </c>
      <c r="O66" s="196" t="s">
        <v>891</v>
      </c>
      <c r="P66" s="352">
        <v>45207</v>
      </c>
    </row>
    <row r="67" spans="1:16" ht="15.75">
      <c r="A67" s="1">
        <v>61</v>
      </c>
      <c r="B67" s="191" t="s">
        <v>1606</v>
      </c>
      <c r="C67" s="25">
        <f t="shared" si="1"/>
        <v>110.83333333333333</v>
      </c>
      <c r="D67" s="25">
        <f t="shared" si="3"/>
        <v>98.089528030637652</v>
      </c>
      <c r="E67" s="246">
        <f>H.Marathon!$E67*(1-$K$2)+Marathon!$E67*$K$2</f>
        <v>0.76460761414382805</v>
      </c>
      <c r="F67" s="19">
        <f t="shared" si="4"/>
        <v>88.501829802079087</v>
      </c>
      <c r="G67" s="1">
        <v>61</v>
      </c>
      <c r="H67" s="214" t="s">
        <v>1606</v>
      </c>
      <c r="I67" s="168">
        <v>6650</v>
      </c>
      <c r="J67" s="196" t="s">
        <v>1607</v>
      </c>
      <c r="K67" s="196" t="s">
        <v>1608</v>
      </c>
      <c r="L67" s="196" t="s">
        <v>241</v>
      </c>
      <c r="M67" s="197">
        <v>18106</v>
      </c>
      <c r="N67" s="175" t="s">
        <v>1542</v>
      </c>
      <c r="O67" s="196" t="s">
        <v>1543</v>
      </c>
      <c r="P67" s="352">
        <v>40677</v>
      </c>
    </row>
    <row r="68" spans="1:16" ht="15.75">
      <c r="A68" s="1">
        <v>62</v>
      </c>
      <c r="B68" s="191" t="s">
        <v>1609</v>
      </c>
      <c r="C68" s="25">
        <f t="shared" si="1"/>
        <v>118.4</v>
      </c>
      <c r="D68" s="25">
        <f t="shared" si="3"/>
        <v>99.451529467360743</v>
      </c>
      <c r="E68" s="246">
        <f>H.Marathon!$E68*(1-$K$2)+Marathon!$E68*$K$2</f>
        <v>0.75413621491476857</v>
      </c>
      <c r="F68" s="19">
        <f t="shared" si="4"/>
        <v>83.996224212297918</v>
      </c>
      <c r="G68" s="1">
        <v>62</v>
      </c>
      <c r="H68" s="214" t="s">
        <v>1609</v>
      </c>
      <c r="I68" s="168">
        <v>7104</v>
      </c>
      <c r="J68" s="196" t="s">
        <v>1602</v>
      </c>
      <c r="K68" s="196" t="s">
        <v>1603</v>
      </c>
      <c r="L68" s="196" t="s">
        <v>241</v>
      </c>
      <c r="M68" s="197">
        <v>11677</v>
      </c>
      <c r="N68" s="175" t="s">
        <v>1542</v>
      </c>
      <c r="O68" s="196" t="s">
        <v>1543</v>
      </c>
      <c r="P68" s="352">
        <v>34468</v>
      </c>
    </row>
    <row r="69" spans="1:16" ht="15.75">
      <c r="A69" s="1">
        <v>63</v>
      </c>
      <c r="B69" s="191" t="s">
        <v>1610</v>
      </c>
      <c r="C69" s="25">
        <f t="shared" si="1"/>
        <v>122.53333333333333</v>
      </c>
      <c r="D69" s="25">
        <f t="shared" si="3"/>
        <v>100.8621289600347</v>
      </c>
      <c r="E69" s="246">
        <f>H.Marathon!$E69*(1-$K$2)+Marathon!$E69*$K$2</f>
        <v>0.74358930128986045</v>
      </c>
      <c r="F69" s="19">
        <f t="shared" si="4"/>
        <v>82.314033427667056</v>
      </c>
      <c r="G69" s="1">
        <v>63</v>
      </c>
      <c r="H69" s="214" t="s">
        <v>1610</v>
      </c>
      <c r="I69" s="168">
        <v>7352</v>
      </c>
      <c r="J69" s="196" t="s">
        <v>898</v>
      </c>
      <c r="K69" s="196" t="s">
        <v>1611</v>
      </c>
      <c r="L69" s="196" t="s">
        <v>241</v>
      </c>
      <c r="M69" s="197">
        <v>16687</v>
      </c>
      <c r="N69" s="196" t="s">
        <v>1612</v>
      </c>
      <c r="O69" s="196" t="s">
        <v>368</v>
      </c>
      <c r="P69" s="352">
        <v>39733</v>
      </c>
    </row>
    <row r="70" spans="1:16" ht="15.75">
      <c r="A70" s="1">
        <v>64</v>
      </c>
      <c r="B70" s="191" t="s">
        <v>1613</v>
      </c>
      <c r="C70" s="25">
        <f t="shared" si="1"/>
        <v>122.73333333333333</v>
      </c>
      <c r="D70" s="25">
        <f t="shared" si="3"/>
        <v>102.30278075214687</v>
      </c>
      <c r="E70" s="246">
        <f>H.Marathon!$E70*(1-$K$2)+Marathon!$E70*$K$2</f>
        <v>0.73311790206080096</v>
      </c>
      <c r="F70" s="19">
        <f t="shared" si="4"/>
        <v>83.35370512124949</v>
      </c>
      <c r="G70" s="1">
        <v>64</v>
      </c>
      <c r="H70" s="214" t="s">
        <v>1613</v>
      </c>
      <c r="I70" s="168">
        <v>7364</v>
      </c>
      <c r="J70" s="196" t="s">
        <v>1447</v>
      </c>
      <c r="K70" s="196" t="s">
        <v>1614</v>
      </c>
      <c r="L70" s="196" t="s">
        <v>241</v>
      </c>
      <c r="M70" s="197">
        <v>15383</v>
      </c>
      <c r="N70" s="175" t="s">
        <v>1542</v>
      </c>
      <c r="O70" s="196" t="s">
        <v>1543</v>
      </c>
      <c r="P70" s="352">
        <v>38850</v>
      </c>
    </row>
    <row r="71" spans="1:16" ht="15.75">
      <c r="A71" s="1">
        <v>65</v>
      </c>
      <c r="B71" s="191" t="s">
        <v>1615</v>
      </c>
      <c r="C71" s="25">
        <f t="shared" si="1"/>
        <v>123.88333333333333</v>
      </c>
      <c r="D71" s="25">
        <f t="shared" si="3"/>
        <v>103.79603000993455</v>
      </c>
      <c r="E71" s="246">
        <f>H.Marathon!$E71*(1-$K$2)+Marathon!$E71*$K$2</f>
        <v>0.72257098843589274</v>
      </c>
      <c r="F71" s="19">
        <f t="shared" si="4"/>
        <v>83.785306075555937</v>
      </c>
      <c r="G71" s="1">
        <v>65</v>
      </c>
      <c r="H71" s="214" t="s">
        <v>1615</v>
      </c>
      <c r="I71" s="168">
        <v>7433</v>
      </c>
      <c r="J71" s="196" t="s">
        <v>1596</v>
      </c>
      <c r="K71" s="196" t="s">
        <v>1597</v>
      </c>
      <c r="L71" s="196" t="s">
        <v>241</v>
      </c>
      <c r="M71" s="197">
        <v>19156</v>
      </c>
      <c r="N71" s="175" t="s">
        <v>1542</v>
      </c>
      <c r="O71" s="196" t="s">
        <v>1543</v>
      </c>
      <c r="P71" s="352">
        <v>43232</v>
      </c>
    </row>
    <row r="72" spans="1:16" ht="15.75">
      <c r="A72" s="1">
        <v>66</v>
      </c>
      <c r="B72" s="191" t="s">
        <v>1616</v>
      </c>
      <c r="C72" s="25">
        <f t="shared" si="1"/>
        <v>127.00000000000001</v>
      </c>
      <c r="D72" s="25">
        <f t="shared" si="3"/>
        <v>105.32234695365881</v>
      </c>
      <c r="E72" s="246">
        <f>H.Marathon!$E72*(1-$K$2)+Marathon!$E72*$K$2</f>
        <v>0.71209958920683325</v>
      </c>
      <c r="F72" s="19">
        <f t="shared" si="4"/>
        <v>82.930981853274645</v>
      </c>
      <c r="G72" s="1">
        <v>66</v>
      </c>
      <c r="H72" s="214" t="s">
        <v>1616</v>
      </c>
      <c r="I72" s="168">
        <v>7620</v>
      </c>
      <c r="J72" s="196" t="s">
        <v>1447</v>
      </c>
      <c r="K72" s="196" t="s">
        <v>1614</v>
      </c>
      <c r="L72" s="196" t="s">
        <v>241</v>
      </c>
      <c r="M72" s="197">
        <v>15383</v>
      </c>
      <c r="N72" s="175" t="s">
        <v>1542</v>
      </c>
      <c r="O72" s="196" t="s">
        <v>1543</v>
      </c>
      <c r="P72" s="352">
        <v>39578</v>
      </c>
    </row>
    <row r="73" spans="1:16" ht="15.75">
      <c r="A73" s="1">
        <v>67</v>
      </c>
      <c r="B73" s="191" t="s">
        <v>1617</v>
      </c>
      <c r="C73" s="25">
        <f t="shared" si="1"/>
        <v>132.75</v>
      </c>
      <c r="D73" s="25">
        <f t="shared" si="3"/>
        <v>106.90572869355657</v>
      </c>
      <c r="E73" s="246">
        <f>H.Marathon!$E73*(1-$K$2)+Marathon!$E73*$K$2</f>
        <v>0.70155267558192513</v>
      </c>
      <c r="F73" s="19">
        <f t="shared" si="4"/>
        <v>80.531622368027541</v>
      </c>
      <c r="G73" s="1">
        <v>67</v>
      </c>
      <c r="H73" s="214" t="s">
        <v>1617</v>
      </c>
      <c r="I73" s="168">
        <v>7965</v>
      </c>
      <c r="J73" s="196" t="s">
        <v>1447</v>
      </c>
      <c r="K73" s="196" t="s">
        <v>1614</v>
      </c>
      <c r="L73" s="196" t="s">
        <v>241</v>
      </c>
      <c r="M73" s="197">
        <v>15383</v>
      </c>
      <c r="N73" s="175" t="s">
        <v>1542</v>
      </c>
      <c r="O73" s="196" t="s">
        <v>1543</v>
      </c>
      <c r="P73" s="352">
        <v>39942</v>
      </c>
    </row>
    <row r="74" spans="1:16" ht="15.75">
      <c r="A74" s="1">
        <v>68</v>
      </c>
      <c r="B74" s="191" t="s">
        <v>1618</v>
      </c>
      <c r="C74" s="25">
        <f t="shared" si="1"/>
        <v>130.88333333333335</v>
      </c>
      <c r="D74" s="25">
        <f t="shared" si="3"/>
        <v>108.52558529122277</v>
      </c>
      <c r="E74" s="246">
        <f>H.Marathon!$E74*(1-$K$2)+Marathon!$E74*$K$2</f>
        <v>0.69108127635286554</v>
      </c>
      <c r="F74" s="19">
        <f t="shared" si="4"/>
        <v>82.917803609746144</v>
      </c>
      <c r="G74" s="1">
        <v>68</v>
      </c>
      <c r="H74" s="214" t="s">
        <v>1618</v>
      </c>
      <c r="I74" s="168">
        <v>7853</v>
      </c>
      <c r="J74" s="196" t="s">
        <v>1447</v>
      </c>
      <c r="K74" s="196" t="s">
        <v>1614</v>
      </c>
      <c r="L74" s="196" t="s">
        <v>241</v>
      </c>
      <c r="M74" s="197">
        <v>15383</v>
      </c>
      <c r="N74" s="175" t="s">
        <v>1542</v>
      </c>
      <c r="O74" s="196" t="s">
        <v>1543</v>
      </c>
      <c r="P74" s="352">
        <v>40306</v>
      </c>
    </row>
    <row r="75" spans="1:16" ht="15.75">
      <c r="A75" s="1">
        <v>69</v>
      </c>
      <c r="B75" s="191" t="s">
        <v>1619</v>
      </c>
      <c r="C75" s="25">
        <f t="shared" si="1"/>
        <v>140.35</v>
      </c>
      <c r="D75" s="25">
        <f t="shared" ref="D75:D106" si="5">E$4/E75</f>
        <v>110.20751354767538</v>
      </c>
      <c r="E75" s="246">
        <f>H.Marathon!$E75*(1-$K$2)+Marathon!$E75*$K$2</f>
        <v>0.68053436272795742</v>
      </c>
      <c r="F75" s="19">
        <f t="shared" si="4"/>
        <v>78.52334417361979</v>
      </c>
      <c r="G75" s="1">
        <v>69</v>
      </c>
      <c r="H75" s="214" t="s">
        <v>1619</v>
      </c>
      <c r="I75" s="168">
        <v>8421</v>
      </c>
      <c r="J75" s="196" t="s">
        <v>1620</v>
      </c>
      <c r="K75" s="196" t="s">
        <v>1621</v>
      </c>
      <c r="L75" s="196" t="s">
        <v>241</v>
      </c>
      <c r="M75" s="197">
        <v>7742</v>
      </c>
      <c r="N75" s="196"/>
      <c r="O75" s="196" t="s">
        <v>1513</v>
      </c>
      <c r="P75" s="352">
        <v>33194</v>
      </c>
    </row>
    <row r="76" spans="1:16" ht="15.75">
      <c r="A76" s="1">
        <v>70</v>
      </c>
      <c r="B76" s="191" t="s">
        <v>1622</v>
      </c>
      <c r="C76" s="25">
        <f t="shared" si="1"/>
        <v>118.86666666666667</v>
      </c>
      <c r="D76" s="25">
        <f t="shared" si="5"/>
        <v>111.92977986481915</v>
      </c>
      <c r="E76" s="246">
        <f>H.Marathon!$E76*(1-$K$2)+Marathon!$E76*$K$2</f>
        <v>0.67006296349889793</v>
      </c>
      <c r="F76" s="19">
        <f t="shared" si="4"/>
        <v>94.164144586219138</v>
      </c>
      <c r="G76" s="1">
        <v>70</v>
      </c>
      <c r="H76" s="214" t="s">
        <v>1622</v>
      </c>
      <c r="I76" s="168">
        <v>7132</v>
      </c>
      <c r="J76" s="196" t="s">
        <v>382</v>
      </c>
      <c r="K76" s="196" t="s">
        <v>383</v>
      </c>
      <c r="L76" s="196" t="s">
        <v>241</v>
      </c>
      <c r="M76" s="197">
        <v>17637</v>
      </c>
      <c r="N76" s="196" t="s">
        <v>1623</v>
      </c>
      <c r="O76" s="196" t="s">
        <v>891</v>
      </c>
      <c r="P76" s="352">
        <v>43380</v>
      </c>
    </row>
    <row r="77" spans="1:16" ht="15.75">
      <c r="A77" s="1">
        <v>71</v>
      </c>
      <c r="B77" s="191" t="s">
        <v>1624</v>
      </c>
      <c r="C77" s="25">
        <f t="shared" ref="C77:C85" si="6">B77*1440</f>
        <v>151.91666666666666</v>
      </c>
      <c r="D77" s="25">
        <f t="shared" si="5"/>
        <v>113.71974952592866</v>
      </c>
      <c r="E77" s="246">
        <f>H.Marathon!$E77*(1-$K$2)+Marathon!$E77*$K$2</f>
        <v>0.65951604987398982</v>
      </c>
      <c r="F77" s="19">
        <f t="shared" si="4"/>
        <v>74.856664526118706</v>
      </c>
      <c r="G77" s="1">
        <v>71</v>
      </c>
      <c r="H77" s="214" t="s">
        <v>1624</v>
      </c>
      <c r="I77" s="168">
        <v>9115</v>
      </c>
      <c r="J77" s="196" t="s">
        <v>1620</v>
      </c>
      <c r="K77" s="196" t="s">
        <v>1621</v>
      </c>
      <c r="L77" s="196" t="s">
        <v>241</v>
      </c>
      <c r="M77" s="197">
        <v>7742</v>
      </c>
      <c r="N77" s="196"/>
      <c r="O77" s="196" t="s">
        <v>1513</v>
      </c>
      <c r="P77" s="352">
        <v>33922</v>
      </c>
    </row>
    <row r="78" spans="1:16" ht="15.75">
      <c r="A78" s="1">
        <v>72</v>
      </c>
      <c r="B78" s="191" t="s">
        <v>1625</v>
      </c>
      <c r="C78" s="25">
        <f t="shared" si="6"/>
        <v>146.21666666666667</v>
      </c>
      <c r="D78" s="25">
        <f t="shared" si="5"/>
        <v>115.55445365041595</v>
      </c>
      <c r="E78" s="246">
        <f>H.Marathon!$E78*(1-$K$2)+Marathon!$E78*$K$2</f>
        <v>0.64904465064493022</v>
      </c>
      <c r="F78" s="19">
        <f t="shared" si="4"/>
        <v>79.029604685112929</v>
      </c>
      <c r="G78" s="1">
        <v>72</v>
      </c>
      <c r="H78" s="214" t="s">
        <v>1625</v>
      </c>
      <c r="I78" s="168">
        <v>8773</v>
      </c>
      <c r="J78" s="196" t="s">
        <v>1626</v>
      </c>
      <c r="K78" s="196" t="s">
        <v>1627</v>
      </c>
      <c r="L78" s="196" t="s">
        <v>241</v>
      </c>
      <c r="M78" s="197">
        <v>14489</v>
      </c>
      <c r="N78" s="175" t="s">
        <v>1542</v>
      </c>
      <c r="O78" s="196" t="s">
        <v>1543</v>
      </c>
      <c r="P78" s="352">
        <v>41042</v>
      </c>
    </row>
    <row r="79" spans="1:16" ht="15.75">
      <c r="A79" s="1">
        <v>73</v>
      </c>
      <c r="B79" s="191" t="s">
        <v>1628</v>
      </c>
      <c r="C79" s="25">
        <f t="shared" si="6"/>
        <v>148.48333333333335</v>
      </c>
      <c r="D79" s="25">
        <f t="shared" si="5"/>
        <v>117.46321976024193</v>
      </c>
      <c r="E79" s="246">
        <f>H.Marathon!$E79*(1-$K$2)+Marathon!$E79*$K$2</f>
        <v>0.63849773702002199</v>
      </c>
      <c r="F79" s="19">
        <f t="shared" si="4"/>
        <v>79.108689927202988</v>
      </c>
      <c r="G79" s="1">
        <v>73</v>
      </c>
      <c r="H79" s="214" t="s">
        <v>1628</v>
      </c>
      <c r="I79" s="168">
        <v>8909</v>
      </c>
      <c r="J79" s="196" t="s">
        <v>402</v>
      </c>
      <c r="K79" s="196" t="s">
        <v>1629</v>
      </c>
      <c r="L79" s="196" t="s">
        <v>241</v>
      </c>
      <c r="M79" s="197">
        <v>3552</v>
      </c>
      <c r="N79" s="196"/>
      <c r="O79" s="196" t="s">
        <v>1630</v>
      </c>
      <c r="P79" s="352">
        <v>30556</v>
      </c>
    </row>
    <row r="80" spans="1:16" ht="15.75">
      <c r="A80" s="1">
        <v>74</v>
      </c>
      <c r="B80" s="191" t="s">
        <v>1631</v>
      </c>
      <c r="C80" s="25">
        <f t="shared" si="6"/>
        <v>150.18333333333334</v>
      </c>
      <c r="D80" s="25">
        <f t="shared" si="5"/>
        <v>119.42174314505202</v>
      </c>
      <c r="E80" s="246">
        <f>H.Marathon!$E80*(1-$K$2)+Marathon!$E80*$K$2</f>
        <v>0.62802633779096251</v>
      </c>
      <c r="F80" s="19">
        <f t="shared" si="4"/>
        <v>79.517307609622918</v>
      </c>
      <c r="G80" s="1">
        <v>74</v>
      </c>
      <c r="H80" s="214" t="s">
        <v>1631</v>
      </c>
      <c r="I80" s="168">
        <v>9011</v>
      </c>
      <c r="J80" s="196" t="s">
        <v>1626</v>
      </c>
      <c r="K80" s="196" t="s">
        <v>1627</v>
      </c>
      <c r="L80" s="196" t="s">
        <v>241</v>
      </c>
      <c r="M80" s="197">
        <v>14489</v>
      </c>
      <c r="N80" s="175" t="s">
        <v>1542</v>
      </c>
      <c r="O80" s="196" t="s">
        <v>1543</v>
      </c>
      <c r="P80" s="352">
        <v>41769</v>
      </c>
    </row>
    <row r="81" spans="1:16" ht="15.75">
      <c r="A81" s="1">
        <v>75</v>
      </c>
      <c r="B81" s="191" t="s">
        <v>1632</v>
      </c>
      <c r="C81" s="25">
        <f t="shared" si="6"/>
        <v>122.2</v>
      </c>
      <c r="D81" s="25">
        <f t="shared" si="5"/>
        <v>121.46153712132565</v>
      </c>
      <c r="E81" s="246">
        <f>H.Marathon!$E81*(1-$K$2)+Marathon!$E81*$K$2</f>
        <v>0.61747942416605439</v>
      </c>
      <c r="F81" s="19">
        <f t="shared" si="4"/>
        <v>99.395693225307397</v>
      </c>
      <c r="G81" s="1">
        <v>75</v>
      </c>
      <c r="H81" s="214" t="s">
        <v>1632</v>
      </c>
      <c r="I81" s="168">
        <v>7332</v>
      </c>
      <c r="J81" s="198" t="s">
        <v>382</v>
      </c>
      <c r="K81" s="198" t="s">
        <v>925</v>
      </c>
      <c r="L81" s="198" t="s">
        <v>241</v>
      </c>
      <c r="M81" s="199">
        <v>17637</v>
      </c>
      <c r="N81" s="196" t="s">
        <v>1605</v>
      </c>
      <c r="O81" s="196" t="s">
        <v>891</v>
      </c>
      <c r="P81" s="352">
        <v>45207</v>
      </c>
    </row>
    <row r="82" spans="1:16" ht="15.75">
      <c r="A82" s="1">
        <v>76</v>
      </c>
      <c r="B82" s="191" t="s">
        <v>1633</v>
      </c>
      <c r="C82" s="25">
        <f t="shared" si="6"/>
        <v>149.56666666666666</v>
      </c>
      <c r="D82" s="25">
        <f t="shared" si="5"/>
        <v>123.60796904934253</v>
      </c>
      <c r="E82" s="246">
        <f>H.Marathon!$E82*(1-$K$2)+Marathon!$E82*$K$2</f>
        <v>0.60675699614529766</v>
      </c>
      <c r="F82" s="19"/>
      <c r="G82" s="1">
        <v>76</v>
      </c>
      <c r="H82" s="214" t="s">
        <v>1633</v>
      </c>
      <c r="I82" s="168">
        <v>8974</v>
      </c>
      <c r="J82" s="196" t="s">
        <v>1634</v>
      </c>
      <c r="K82" s="196" t="s">
        <v>1635</v>
      </c>
      <c r="L82" s="196" t="s">
        <v>241</v>
      </c>
      <c r="M82" s="197">
        <v>10960</v>
      </c>
      <c r="N82" s="175" t="s">
        <v>1542</v>
      </c>
      <c r="O82" s="196" t="s">
        <v>1543</v>
      </c>
      <c r="P82" s="352">
        <v>38850</v>
      </c>
    </row>
    <row r="83" spans="1:16" ht="15.75">
      <c r="A83" s="1">
        <v>77</v>
      </c>
      <c r="B83" s="191" t="s">
        <v>1636</v>
      </c>
      <c r="C83" s="25">
        <f t="shared" si="6"/>
        <v>162.41666666666666</v>
      </c>
      <c r="D83" s="25">
        <f t="shared" si="5"/>
        <v>126.01111382497875</v>
      </c>
      <c r="E83" s="246">
        <f>H.Marathon!$E83*(1-$K$2)+Marathon!$E83*$K$2</f>
        <v>0.59518559691623807</v>
      </c>
      <c r="F83" s="19">
        <f>100*(D83/C83)</f>
        <v>77.585088040007449</v>
      </c>
      <c r="G83" s="1">
        <v>77</v>
      </c>
      <c r="H83" s="214" t="s">
        <v>1636</v>
      </c>
      <c r="I83" s="168">
        <v>9745</v>
      </c>
      <c r="J83" s="196" t="s">
        <v>1620</v>
      </c>
      <c r="K83" s="196" t="s">
        <v>1621</v>
      </c>
      <c r="L83" s="196" t="s">
        <v>241</v>
      </c>
      <c r="M83" s="197">
        <v>7742</v>
      </c>
      <c r="N83" s="196" t="s">
        <v>1637</v>
      </c>
      <c r="O83" s="196" t="s">
        <v>852</v>
      </c>
      <c r="P83" s="352">
        <v>36113</v>
      </c>
    </row>
    <row r="84" spans="1:16" ht="15.75">
      <c r="A84" s="1">
        <v>78</v>
      </c>
      <c r="B84" s="191" t="s">
        <v>1638</v>
      </c>
      <c r="C84" s="25">
        <f t="shared" si="6"/>
        <v>169.8</v>
      </c>
      <c r="D84" s="25">
        <f t="shared" si="5"/>
        <v>128.71885362583771</v>
      </c>
      <c r="E84" s="246">
        <f>H.Marathon!$E84*(1-$K$2)+Marathon!$E84*$K$2</f>
        <v>0.58266522647887586</v>
      </c>
      <c r="F84" s="19"/>
      <c r="G84" s="1">
        <v>78</v>
      </c>
      <c r="H84" s="214" t="s">
        <v>1638</v>
      </c>
      <c r="I84" s="168">
        <v>10188</v>
      </c>
      <c r="J84" s="196" t="s">
        <v>407</v>
      </c>
      <c r="K84" s="196" t="s">
        <v>1639</v>
      </c>
      <c r="L84" s="196" t="s">
        <v>241</v>
      </c>
      <c r="M84" s="197">
        <v>2522</v>
      </c>
      <c r="N84" s="175" t="s">
        <v>1542</v>
      </c>
      <c r="O84" s="196" t="s">
        <v>1543</v>
      </c>
      <c r="P84" s="352">
        <v>31542</v>
      </c>
    </row>
    <row r="85" spans="1:16" ht="15.75">
      <c r="A85" s="1">
        <v>79</v>
      </c>
      <c r="B85" s="191" t="s">
        <v>1640</v>
      </c>
      <c r="C85" s="25">
        <f t="shared" si="6"/>
        <v>187.68333333333334</v>
      </c>
      <c r="D85" s="25">
        <f t="shared" si="5"/>
        <v>131.72987892828166</v>
      </c>
      <c r="E85" s="246">
        <f>H.Marathon!$E85*(1-$K$2)+Marathon!$E85*$K$2</f>
        <v>0.56934691362490819</v>
      </c>
      <c r="F85" s="19">
        <f>100*(D85/C85)</f>
        <v>70.187307838530316</v>
      </c>
      <c r="G85" s="1">
        <v>79</v>
      </c>
      <c r="H85" s="214" t="s">
        <v>1640</v>
      </c>
      <c r="I85" s="168">
        <v>11261</v>
      </c>
      <c r="J85" s="196" t="s">
        <v>1620</v>
      </c>
      <c r="K85" s="196" t="s">
        <v>1621</v>
      </c>
      <c r="L85" s="196" t="s">
        <v>241</v>
      </c>
      <c r="M85" s="197">
        <v>7742</v>
      </c>
      <c r="N85" s="196" t="s">
        <v>1637</v>
      </c>
      <c r="O85" s="196" t="s">
        <v>852</v>
      </c>
      <c r="P85" s="352">
        <v>37205</v>
      </c>
    </row>
    <row r="86" spans="1:16">
      <c r="A86" s="1">
        <v>80</v>
      </c>
      <c r="C86" s="25"/>
      <c r="D86" s="25">
        <f t="shared" si="5"/>
        <v>135.09737019676859</v>
      </c>
      <c r="E86" s="246">
        <f>H.Marathon!$E86*(1-$K$2)+Marathon!$E86*$K$2</f>
        <v>0.55515514395848642</v>
      </c>
      <c r="F86" s="19"/>
      <c r="G86" s="1">
        <v>80</v>
      </c>
      <c r="H86" s="172"/>
    </row>
    <row r="87" spans="1:16">
      <c r="A87" s="1">
        <v>81</v>
      </c>
      <c r="C87" s="25"/>
      <c r="D87" s="25">
        <f t="shared" si="5"/>
        <v>138.88518449084165</v>
      </c>
      <c r="E87" s="246">
        <f>H.Marathon!$E87*(1-$K$2)+Marathon!$E87*$K$2</f>
        <v>0.54001440308376192</v>
      </c>
      <c r="F87" s="19"/>
      <c r="G87" s="1">
        <v>81</v>
      </c>
      <c r="H87" s="172"/>
    </row>
    <row r="88" spans="1:16">
      <c r="A88" s="1">
        <v>82</v>
      </c>
      <c r="B88" s="25"/>
      <c r="C88" s="25"/>
      <c r="D88" s="25">
        <f t="shared" si="5"/>
        <v>143.10909123915314</v>
      </c>
      <c r="E88" s="246">
        <f>H.Marathon!$E88*(1-$K$2)+Marathon!$E88*$K$2</f>
        <v>0.52407571979243195</v>
      </c>
      <c r="F88" s="19"/>
      <c r="G88" s="1">
        <v>82</v>
      </c>
      <c r="H88" s="172"/>
    </row>
    <row r="89" spans="1:16">
      <c r="A89" s="1">
        <v>83</v>
      </c>
      <c r="B89" s="25"/>
      <c r="C89" s="25"/>
      <c r="D89" s="25">
        <f t="shared" si="5"/>
        <v>147.85212856407716</v>
      </c>
      <c r="E89" s="246">
        <f>H.Marathon!$E89*(1-$K$2)+Marathon!$E89*$K$2</f>
        <v>0.5072635796886481</v>
      </c>
      <c r="F89" s="19"/>
      <c r="G89" s="1">
        <v>83</v>
      </c>
      <c r="H89" s="172"/>
    </row>
    <row r="90" spans="1:16">
      <c r="A90" s="1">
        <v>84</v>
      </c>
      <c r="B90" s="25"/>
      <c r="C90" s="25"/>
      <c r="D90" s="25">
        <f t="shared" si="5"/>
        <v>153.19316357995868</v>
      </c>
      <c r="E90" s="246">
        <f>H.Marathon!$E90*(1-$K$2)+Marathon!$E90*$K$2</f>
        <v>0.48957798277240999</v>
      </c>
      <c r="F90" s="19"/>
      <c r="G90" s="1">
        <v>84</v>
      </c>
      <c r="H90" s="172"/>
    </row>
    <row r="91" spans="1:16">
      <c r="A91" s="1">
        <v>85</v>
      </c>
      <c r="C91" s="25"/>
      <c r="D91" s="25">
        <f t="shared" si="5"/>
        <v>159.25480146288595</v>
      </c>
      <c r="E91" s="246">
        <f>H.Marathon!$E91*(1-$K$2)+Marathon!$E91*$K$2</f>
        <v>0.47094341464786926</v>
      </c>
      <c r="F91" s="19"/>
      <c r="G91" s="1">
        <v>85</v>
      </c>
    </row>
    <row r="92" spans="1:16">
      <c r="A92" s="1">
        <v>86</v>
      </c>
      <c r="C92" s="25"/>
      <c r="D92" s="25">
        <f t="shared" si="5"/>
        <v>166.10894513916844</v>
      </c>
      <c r="E92" s="246">
        <f>H.Marathon!$E92*(1-$K$2)+Marathon!$E92*$K$2</f>
        <v>0.45151090410672301</v>
      </c>
      <c r="F92" s="19"/>
      <c r="G92" s="1">
        <v>86</v>
      </c>
    </row>
    <row r="93" spans="1:16">
      <c r="A93" s="1">
        <v>87</v>
      </c>
      <c r="B93" s="25"/>
      <c r="C93" s="25"/>
      <c r="D93" s="25">
        <f t="shared" si="5"/>
        <v>173.93121833143502</v>
      </c>
      <c r="E93" s="246">
        <f>H.Marathon!$E93*(1-$K$2)+Marathon!$E93*$K$2</f>
        <v>0.43120493675312266</v>
      </c>
      <c r="F93" s="19"/>
      <c r="G93" s="1">
        <v>87</v>
      </c>
    </row>
    <row r="94" spans="1:16">
      <c r="A94" s="1">
        <v>88</v>
      </c>
      <c r="B94" s="25"/>
      <c r="C94" s="25"/>
      <c r="D94" s="25">
        <f t="shared" si="5"/>
        <v>182.94914094624906</v>
      </c>
      <c r="E94" s="246">
        <f>H.Marathon!$E94*(1-$K$2)+Marathon!$E94*$K$2</f>
        <v>0.40994999819121969</v>
      </c>
      <c r="F94" s="19"/>
      <c r="G94" s="1">
        <v>88</v>
      </c>
    </row>
    <row r="95" spans="1:16">
      <c r="A95" s="1">
        <v>89</v>
      </c>
      <c r="B95" s="25"/>
      <c r="C95" s="25"/>
      <c r="D95" s="25">
        <f t="shared" si="5"/>
        <v>193.35023817377905</v>
      </c>
      <c r="E95" s="246">
        <f>H.Marathon!$E95*(1-$K$2)+Marathon!$E95*$K$2</f>
        <v>0.3878971172127112</v>
      </c>
      <c r="F95" s="19"/>
      <c r="G95" s="1">
        <v>89</v>
      </c>
    </row>
    <row r="96" spans="1:16">
      <c r="A96" s="1">
        <v>90</v>
      </c>
      <c r="C96" s="25"/>
      <c r="D96" s="25">
        <f t="shared" si="5"/>
        <v>205.49590331266597</v>
      </c>
      <c r="E96" s="246">
        <f>H.Marathon!$E96*(1-$K$2)+Marathon!$E96*$K$2</f>
        <v>0.36497077942174866</v>
      </c>
      <c r="F96" s="19"/>
      <c r="G96" s="1">
        <v>90</v>
      </c>
    </row>
    <row r="97" spans="1:7">
      <c r="A97" s="1">
        <v>91</v>
      </c>
      <c r="C97" s="25"/>
      <c r="D97" s="25">
        <f t="shared" si="5"/>
        <v>219.87978880840731</v>
      </c>
      <c r="E97" s="246">
        <f>H.Marathon!$E97*(1-$K$2)+Marathon!$E97*$K$2</f>
        <v>0.34109547042248345</v>
      </c>
      <c r="F97" s="19"/>
      <c r="G97" s="1">
        <v>91</v>
      </c>
    </row>
    <row r="98" spans="1:7">
      <c r="A98" s="1">
        <v>92</v>
      </c>
      <c r="B98" s="25"/>
      <c r="C98" s="25"/>
      <c r="D98" s="25">
        <f t="shared" si="5"/>
        <v>237.02507439413606</v>
      </c>
      <c r="E98" s="246">
        <f>H.Marathon!$E98*(1-$K$2)+Marathon!$E98*$K$2</f>
        <v>0.31642221900661277</v>
      </c>
      <c r="F98" s="19"/>
      <c r="G98" s="1">
        <v>92</v>
      </c>
    </row>
    <row r="99" spans="1:7">
      <c r="A99" s="1">
        <v>93</v>
      </c>
      <c r="B99" s="25"/>
      <c r="C99" s="25"/>
      <c r="D99" s="25">
        <f t="shared" si="5"/>
        <v>257.84226317067555</v>
      </c>
      <c r="E99" s="246">
        <f>H.Marathon!$E99*(1-$K$2)+Marathon!$E99*$K$2</f>
        <v>0.29087551077828799</v>
      </c>
      <c r="F99" s="19"/>
      <c r="G99" s="1">
        <v>93</v>
      </c>
    </row>
    <row r="100" spans="1:7">
      <c r="A100" s="1">
        <v>94</v>
      </c>
      <c r="B100" s="25"/>
      <c r="C100" s="25"/>
      <c r="D100" s="25">
        <f t="shared" si="5"/>
        <v>283.60175435607522</v>
      </c>
      <c r="E100" s="246">
        <f>H.Marathon!$E100*(1-$K$2)+Marathon!$E100*$K$2</f>
        <v>0.26445534573750912</v>
      </c>
      <c r="F100" s="19"/>
      <c r="G100" s="1">
        <v>94</v>
      </c>
    </row>
    <row r="101" spans="1:7">
      <c r="A101" s="1">
        <v>95</v>
      </c>
      <c r="C101" s="25"/>
      <c r="D101" s="25">
        <f t="shared" si="5"/>
        <v>316.34062631407852</v>
      </c>
      <c r="E101" s="246">
        <f>H.Marathon!$E101*(1-$K$2)+Marathon!$E101*$K$2</f>
        <v>0.23708620948842757</v>
      </c>
      <c r="F101" s="19"/>
      <c r="G101" s="1">
        <v>95</v>
      </c>
    </row>
    <row r="102" spans="1:7">
      <c r="A102" s="1">
        <v>96</v>
      </c>
      <c r="C102" s="25"/>
      <c r="D102" s="25">
        <f t="shared" si="5"/>
        <v>358.99058025296142</v>
      </c>
      <c r="E102" s="246">
        <f>H.Marathon!$E102*(1-$K$2)+Marathon!$E102*$K$2</f>
        <v>0.20891913082274058</v>
      </c>
      <c r="F102" s="19"/>
      <c r="G102" s="1">
        <v>96</v>
      </c>
    </row>
    <row r="103" spans="1:7">
      <c r="A103" s="1">
        <v>97</v>
      </c>
      <c r="B103" s="25"/>
      <c r="C103" s="25"/>
      <c r="D103" s="25">
        <f t="shared" si="5"/>
        <v>416.94788563541965</v>
      </c>
      <c r="E103" s="246">
        <f>H.Marathon!$E103*(1-$K$2)+Marathon!$E103*$K$2</f>
        <v>0.17987859534459949</v>
      </c>
      <c r="G103" s="1">
        <v>97</v>
      </c>
    </row>
    <row r="104" spans="1:7">
      <c r="A104" s="1">
        <v>98</v>
      </c>
      <c r="B104" s="25"/>
      <c r="C104" s="25"/>
      <c r="D104" s="25">
        <f t="shared" si="5"/>
        <v>500.36997803788523</v>
      </c>
      <c r="E104" s="246">
        <f>H.Marathon!$E104*(1-$K$2)+Marathon!$E104*$K$2</f>
        <v>0.1498890886581557</v>
      </c>
      <c r="G104" s="1">
        <v>98</v>
      </c>
    </row>
    <row r="105" spans="1:7">
      <c r="A105" s="1">
        <v>99</v>
      </c>
      <c r="B105" s="25"/>
      <c r="C105" s="25"/>
      <c r="D105" s="25">
        <f t="shared" si="5"/>
        <v>629.71425313837653</v>
      </c>
      <c r="E105" s="246">
        <f>H.Marathon!$E105*(1-$K$2)+Marathon!$E105*$K$2</f>
        <v>0.11910163955510647</v>
      </c>
      <c r="G105" s="1">
        <v>99</v>
      </c>
    </row>
    <row r="106" spans="1:7">
      <c r="A106" s="1">
        <v>100</v>
      </c>
      <c r="B106" s="216"/>
      <c r="D106" s="25">
        <f t="shared" si="5"/>
        <v>857.72381907408248</v>
      </c>
      <c r="E106" s="246">
        <f>H.Marathon!$E106*(1-$K$2)+Marathon!$E106*$K$2</f>
        <v>8.7440733639603141E-2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E37" sqref="E37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30" t="s">
        <v>90</v>
      </c>
      <c r="B1" s="31"/>
      <c r="C1" s="32"/>
      <c r="D1" s="33" t="s">
        <v>32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  <c r="K1" s="224" t="s">
        <v>2122</v>
      </c>
    </row>
    <row r="2" spans="1:17" ht="15.95" customHeight="1">
      <c r="A2" s="30"/>
      <c r="B2" s="31"/>
      <c r="C2" s="32"/>
      <c r="D2" s="33"/>
      <c r="E2" s="33"/>
      <c r="F2" s="83">
        <f>(+H$3-H$4)*F$4/2</f>
        <v>4.725E-2</v>
      </c>
      <c r="G2" s="84">
        <f>(+I$4-I$3)*G$4/2</f>
        <v>0.17219999999999999</v>
      </c>
      <c r="H2" s="85"/>
      <c r="I2" s="85"/>
      <c r="K2" s="229">
        <f>Parameters!Z25</f>
        <v>0.50789044734738709</v>
      </c>
    </row>
    <row r="3" spans="1:17" ht="15.95" customHeight="1">
      <c r="A3" s="30"/>
      <c r="B3" s="31"/>
      <c r="C3" s="32"/>
      <c r="D3" s="33"/>
      <c r="E3" s="33"/>
      <c r="F3" s="83">
        <f>F4/(2*(+H3-H4))</f>
        <v>1.89E-3</v>
      </c>
      <c r="G3" s="84">
        <f>G4/(2*(+I4-I3))</f>
        <v>1.6006097560975613E-4</v>
      </c>
      <c r="H3" s="226">
        <v>22</v>
      </c>
      <c r="I3" s="88">
        <v>24</v>
      </c>
    </row>
    <row r="4" spans="1:17" ht="15.75">
      <c r="A4" s="31"/>
      <c r="B4" s="31"/>
      <c r="C4" s="31"/>
      <c r="D4" s="35">
        <f>Parameters!G25</f>
        <v>6.3078703703703706E-2</v>
      </c>
      <c r="E4" s="36">
        <f>D4*1440</f>
        <v>90.833333333333343</v>
      </c>
      <c r="F4" s="34">
        <v>1.89E-2</v>
      </c>
      <c r="G4" s="83">
        <v>1.0500000000000001E-2</v>
      </c>
      <c r="H4" s="226">
        <v>17</v>
      </c>
      <c r="I4" s="88">
        <v>56.8</v>
      </c>
      <c r="J4" s="25"/>
    </row>
    <row r="5" spans="1:17" ht="15.75">
      <c r="A5" s="31"/>
      <c r="B5" s="31"/>
      <c r="C5" s="31"/>
      <c r="D5" s="35"/>
      <c r="E5" s="31">
        <f>E4*60</f>
        <v>5450.0000000000009</v>
      </c>
      <c r="F5" s="34">
        <v>9.1E-4</v>
      </c>
      <c r="G5" s="83">
        <v>5.1000000000000004E-4</v>
      </c>
      <c r="H5" s="226">
        <v>15</v>
      </c>
      <c r="I5" s="88">
        <v>76.7</v>
      </c>
      <c r="J5" s="25"/>
    </row>
    <row r="6" spans="1:17" ht="48" customHeight="1">
      <c r="A6" s="37" t="s">
        <v>70</v>
      </c>
      <c r="B6" s="37" t="s">
        <v>1643</v>
      </c>
      <c r="C6" s="37" t="s">
        <v>71</v>
      </c>
      <c r="D6" s="37" t="s">
        <v>1642</v>
      </c>
      <c r="E6" s="37" t="s">
        <v>149</v>
      </c>
      <c r="F6" s="32" t="s">
        <v>148</v>
      </c>
      <c r="G6" s="37" t="s">
        <v>70</v>
      </c>
      <c r="H6" s="207" t="s">
        <v>735</v>
      </c>
      <c r="I6" s="208" t="s">
        <v>1184</v>
      </c>
      <c r="J6" s="203" t="s">
        <v>428</v>
      </c>
      <c r="K6" s="203" t="s">
        <v>429</v>
      </c>
      <c r="L6" s="209" t="s">
        <v>430</v>
      </c>
      <c r="M6" s="210" t="s">
        <v>431</v>
      </c>
      <c r="N6" s="203" t="s">
        <v>432</v>
      </c>
      <c r="O6" s="209" t="s">
        <v>433</v>
      </c>
      <c r="P6" s="210" t="s">
        <v>434</v>
      </c>
      <c r="Q6" s="217" t="s">
        <v>1180</v>
      </c>
    </row>
    <row r="7" spans="1:17">
      <c r="A7" s="1">
        <v>1</v>
      </c>
      <c r="B7" s="216"/>
      <c r="G7" s="1">
        <v>1</v>
      </c>
    </row>
    <row r="8" spans="1:17">
      <c r="A8" s="1">
        <v>2</v>
      </c>
      <c r="B8" s="216"/>
      <c r="G8" s="1">
        <v>2</v>
      </c>
    </row>
    <row r="9" spans="1:17">
      <c r="A9" s="1">
        <v>3</v>
      </c>
      <c r="B9" s="216"/>
      <c r="C9" s="25"/>
      <c r="D9" s="25"/>
      <c r="E9" s="246">
        <f>H.Marathon!$E9*(1-$K$2)+Marathon!$E9*$K$2</f>
        <v>0.45560963153761613</v>
      </c>
      <c r="G9" s="1">
        <v>3</v>
      </c>
      <c r="H9" s="213"/>
    </row>
    <row r="10" spans="1:17">
      <c r="A10" s="1">
        <v>4</v>
      </c>
      <c r="B10" s="216"/>
      <c r="C10" s="25"/>
      <c r="D10" s="25"/>
      <c r="E10" s="246">
        <f>H.Marathon!$E10*(1-$K$2)+Marathon!$E10*$K$2</f>
        <v>0.50506802084798685</v>
      </c>
      <c r="F10" s="19"/>
      <c r="G10" s="1">
        <v>4</v>
      </c>
      <c r="H10" s="213"/>
    </row>
    <row r="11" spans="1:17">
      <c r="A11" s="1">
        <v>5</v>
      </c>
      <c r="B11" s="216"/>
      <c r="C11" s="25"/>
      <c r="D11" s="25">
        <f t="shared" ref="D11:D42" si="0">E$4/E11</f>
        <v>164.59257950028962</v>
      </c>
      <c r="E11" s="246">
        <f>H.Marathon!$E11*(1-$K$2)+Marathon!$E11*$K$2</f>
        <v>0.55186773066627537</v>
      </c>
      <c r="F11" s="19"/>
      <c r="G11" s="1">
        <v>5</v>
      </c>
      <c r="H11" s="213"/>
    </row>
    <row r="12" spans="1:17">
      <c r="A12" s="1">
        <v>6</v>
      </c>
      <c r="B12" s="216"/>
      <c r="C12" s="25"/>
      <c r="D12" s="25">
        <f t="shared" si="0"/>
        <v>152.36413360762714</v>
      </c>
      <c r="E12" s="246">
        <f>H.Marathon!$E12*(1-$K$2)+Marathon!$E12*$K$2</f>
        <v>0.59615955003721655</v>
      </c>
      <c r="F12" s="19"/>
      <c r="G12" s="1">
        <v>6</v>
      </c>
      <c r="H12" s="213"/>
    </row>
    <row r="13" spans="1:17">
      <c r="A13" s="1">
        <v>7</v>
      </c>
      <c r="B13" s="216"/>
      <c r="C13" s="25"/>
      <c r="D13" s="25">
        <f t="shared" si="0"/>
        <v>142.40728495454451</v>
      </c>
      <c r="E13" s="246">
        <f>H.Marathon!$E13*(1-$K$2)+Marathon!$E13*$K$2</f>
        <v>0.63784190087134074</v>
      </c>
      <c r="F13" s="19"/>
      <c r="G13" s="1">
        <v>7</v>
      </c>
      <c r="H13" s="213"/>
    </row>
    <row r="14" spans="1:17">
      <c r="A14" s="1">
        <v>8</v>
      </c>
      <c r="B14" s="191" t="s">
        <v>1644</v>
      </c>
      <c r="C14" s="25">
        <f t="shared" ref="C14:C76" si="1">B14*1440</f>
        <v>206.28333333333333</v>
      </c>
      <c r="D14" s="25">
        <f t="shared" si="0"/>
        <v>134.17687001902166</v>
      </c>
      <c r="E14" s="246">
        <f>H.Marathon!$E14*(1-$K$2)+Marathon!$E14*$K$2</f>
        <v>0.67696715030285248</v>
      </c>
      <c r="F14" s="19">
        <f t="shared" ref="F14:F43" si="2">100*(D14/C14)</f>
        <v>65.044939816928988</v>
      </c>
      <c r="G14" s="1">
        <v>8</v>
      </c>
      <c r="H14" s="191" t="s">
        <v>1644</v>
      </c>
      <c r="I14" s="171">
        <v>12377</v>
      </c>
      <c r="J14" s="116" t="s">
        <v>1181</v>
      </c>
      <c r="K14" s="116" t="s">
        <v>1182</v>
      </c>
      <c r="L14" s="116" t="s">
        <v>241</v>
      </c>
      <c r="M14" s="118">
        <v>39841</v>
      </c>
      <c r="N14" s="117"/>
      <c r="O14" s="126" t="s">
        <v>1645</v>
      </c>
      <c r="P14" s="118">
        <v>42792</v>
      </c>
    </row>
    <row r="15" spans="1:17">
      <c r="A15" s="1">
        <v>9</v>
      </c>
      <c r="B15" s="218"/>
      <c r="C15" s="25"/>
      <c r="D15" s="25">
        <f t="shared" si="0"/>
        <v>127.30974962620886</v>
      </c>
      <c r="E15" s="246">
        <f>H.Marathon!$E15*(1-$K$2)+Marathon!$E15*$K$2</f>
        <v>0.71348293119754724</v>
      </c>
      <c r="F15" s="19"/>
      <c r="G15" s="1">
        <v>9</v>
      </c>
      <c r="H15" s="213"/>
    </row>
    <row r="16" spans="1:17">
      <c r="A16" s="1">
        <v>10</v>
      </c>
      <c r="B16" s="218"/>
      <c r="C16" s="25"/>
      <c r="D16" s="25">
        <f t="shared" si="0"/>
        <v>121.5176570776476</v>
      </c>
      <c r="E16" s="246">
        <f>H.Marathon!$E16*(1-$K$2)+Marathon!$E16*$K$2</f>
        <v>0.74749082164489455</v>
      </c>
      <c r="F16" s="19"/>
      <c r="G16" s="1">
        <v>10</v>
      </c>
      <c r="H16" s="213"/>
    </row>
    <row r="17" spans="1:17">
      <c r="A17" s="1">
        <v>11</v>
      </c>
      <c r="B17" s="218"/>
      <c r="C17" s="25"/>
      <c r="D17" s="25">
        <f t="shared" si="0"/>
        <v>116.62643101444847</v>
      </c>
      <c r="E17" s="246">
        <f>H.Marathon!$E17*(1-$K$2)+Marathon!$E17*$K$2</f>
        <v>0.77884003260015988</v>
      </c>
      <c r="F17" s="19"/>
      <c r="G17" s="1">
        <v>11</v>
      </c>
      <c r="H17" s="213"/>
    </row>
    <row r="18" spans="1:17">
      <c r="A18" s="1">
        <v>12</v>
      </c>
      <c r="B18" s="218"/>
      <c r="C18" s="25"/>
      <c r="D18" s="25">
        <f t="shared" si="0"/>
        <v>112.46184275988692</v>
      </c>
      <c r="E18" s="246">
        <f>H.Marathon!$E18*(1-$K$2)+Marathon!$E18*$K$2</f>
        <v>0.80768135310807776</v>
      </c>
      <c r="F18" s="19"/>
      <c r="G18" s="1">
        <v>12</v>
      </c>
      <c r="H18" s="213"/>
    </row>
    <row r="19" spans="1:17">
      <c r="A19" s="1">
        <v>13</v>
      </c>
      <c r="B19" s="218"/>
      <c r="C19" s="25"/>
      <c r="D19" s="25">
        <f t="shared" si="0"/>
        <v>108.93063374053703</v>
      </c>
      <c r="E19" s="246">
        <f>H.Marathon!$E19*(1-$K$2)+Marathon!$E19*$K$2</f>
        <v>0.83386399412391343</v>
      </c>
      <c r="F19" s="19"/>
      <c r="G19" s="1">
        <v>13</v>
      </c>
      <c r="H19" s="213"/>
    </row>
    <row r="20" spans="1:17">
      <c r="A20" s="1">
        <v>14</v>
      </c>
      <c r="B20" s="218"/>
      <c r="C20" s="25"/>
      <c r="D20" s="25">
        <f t="shared" si="0"/>
        <v>105.92329955413869</v>
      </c>
      <c r="E20" s="246">
        <f>H.Marathon!$E20*(1-$K$2)+Marathon!$E20*$K$2</f>
        <v>0.85753874469240188</v>
      </c>
      <c r="F20" s="19"/>
      <c r="G20" s="1">
        <v>14</v>
      </c>
      <c r="H20" s="213"/>
    </row>
    <row r="21" spans="1:17">
      <c r="A21" s="1">
        <v>15</v>
      </c>
      <c r="B21" s="218"/>
      <c r="C21" s="25"/>
      <c r="D21" s="25">
        <f t="shared" si="0"/>
        <v>103.38948885488342</v>
      </c>
      <c r="E21" s="246">
        <f>H.Marathon!$E21*(1-$K$2)+Marathon!$E21*$K$2</f>
        <v>0.87855481576880812</v>
      </c>
      <c r="F21" s="19"/>
      <c r="G21" s="1">
        <v>15</v>
      </c>
      <c r="H21" s="213"/>
    </row>
    <row r="22" spans="1:17">
      <c r="A22" s="1">
        <v>16</v>
      </c>
      <c r="B22" s="218"/>
      <c r="C22" s="25"/>
      <c r="D22" s="25">
        <f t="shared" si="0"/>
        <v>101.17044003341168</v>
      </c>
      <c r="E22" s="246">
        <f>H.Marathon!$E22*(1-$K$2)+Marathon!$E22*$K$2</f>
        <v>0.89782483206888797</v>
      </c>
      <c r="F22" s="19"/>
      <c r="G22" s="1">
        <v>16</v>
      </c>
      <c r="H22" s="213"/>
    </row>
    <row r="23" spans="1:17">
      <c r="A23" s="1">
        <v>17</v>
      </c>
      <c r="B23" s="191" t="s">
        <v>1646</v>
      </c>
      <c r="C23" s="25">
        <f t="shared" si="1"/>
        <v>124.56666666666666</v>
      </c>
      <c r="D23" s="25">
        <f t="shared" si="0"/>
        <v>99.097820120670718</v>
      </c>
      <c r="E23" s="246">
        <f>H.Marathon!$E23*(1-$K$2)+Marathon!$E23*$K$2</f>
        <v>0.91660273881631538</v>
      </c>
      <c r="F23" s="19">
        <f t="shared" si="2"/>
        <v>79.554043447153376</v>
      </c>
      <c r="G23" s="1">
        <v>17</v>
      </c>
      <c r="H23" s="191" t="s">
        <v>1646</v>
      </c>
      <c r="I23" s="171">
        <v>7474</v>
      </c>
      <c r="J23" s="116" t="s">
        <v>1647</v>
      </c>
      <c r="K23" s="116" t="s">
        <v>1648</v>
      </c>
      <c r="L23" s="116" t="s">
        <v>578</v>
      </c>
      <c r="M23" s="118">
        <v>21198</v>
      </c>
      <c r="N23" s="117"/>
      <c r="O23" s="126" t="s">
        <v>1649</v>
      </c>
      <c r="P23" s="118">
        <v>27511</v>
      </c>
      <c r="Q23" s="117"/>
    </row>
    <row r="24" spans="1:17">
      <c r="A24" s="1">
        <v>18</v>
      </c>
      <c r="B24" s="191" t="s">
        <v>1650</v>
      </c>
      <c r="C24" s="25">
        <f t="shared" si="1"/>
        <v>112.18333333333334</v>
      </c>
      <c r="D24" s="25">
        <f t="shared" si="0"/>
        <v>97.108416519126493</v>
      </c>
      <c r="E24" s="246">
        <f>H.Marathon!$E24*(1-$K$2)+Marathon!$E24*$K$2</f>
        <v>0.93538064556374256</v>
      </c>
      <c r="F24" s="19">
        <f t="shared" si="2"/>
        <v>86.562249162792895</v>
      </c>
      <c r="G24" s="1">
        <v>18</v>
      </c>
      <c r="H24" s="191" t="s">
        <v>1650</v>
      </c>
      <c r="I24" s="171">
        <v>6731</v>
      </c>
      <c r="J24" s="116" t="s">
        <v>1651</v>
      </c>
      <c r="K24" s="116" t="s">
        <v>1652</v>
      </c>
      <c r="L24" s="116" t="s">
        <v>264</v>
      </c>
      <c r="M24" s="118">
        <v>23764</v>
      </c>
      <c r="N24" s="117"/>
      <c r="O24" s="126" t="s">
        <v>1653</v>
      </c>
      <c r="P24" s="118">
        <v>30367</v>
      </c>
      <c r="Q24" s="117"/>
    </row>
    <row r="25" spans="1:17">
      <c r="A25" s="1">
        <v>19</v>
      </c>
      <c r="B25" s="191" t="s">
        <v>1654</v>
      </c>
      <c r="C25" s="25">
        <f t="shared" si="1"/>
        <v>106.5</v>
      </c>
      <c r="D25" s="25">
        <f t="shared" si="0"/>
        <v>95.197316120382894</v>
      </c>
      <c r="E25" s="246">
        <f>H.Marathon!$E25*(1-$K$2)+Marathon!$E25*$K$2</f>
        <v>0.95415855231116997</v>
      </c>
      <c r="F25" s="19">
        <f t="shared" si="2"/>
        <v>89.387151286744498</v>
      </c>
      <c r="G25" s="1">
        <v>19</v>
      </c>
      <c r="H25" s="191" t="s">
        <v>1654</v>
      </c>
      <c r="I25" s="171">
        <v>6390</v>
      </c>
      <c r="J25" s="116" t="s">
        <v>1655</v>
      </c>
      <c r="K25" s="116" t="s">
        <v>1656</v>
      </c>
      <c r="L25" s="116" t="s">
        <v>264</v>
      </c>
      <c r="M25" s="118">
        <v>27446</v>
      </c>
      <c r="N25" s="117"/>
      <c r="O25" s="126" t="s">
        <v>1653</v>
      </c>
      <c r="P25" s="118">
        <v>34749</v>
      </c>
      <c r="Q25" s="117"/>
    </row>
    <row r="26" spans="1:17">
      <c r="A26" s="1">
        <v>20</v>
      </c>
      <c r="B26" s="191" t="s">
        <v>1657</v>
      </c>
      <c r="C26" s="25">
        <f t="shared" si="1"/>
        <v>103.95</v>
      </c>
      <c r="D26" s="25">
        <f t="shared" si="0"/>
        <v>93.579535406856806</v>
      </c>
      <c r="E26" s="246">
        <f>H.Marathon!$E26*(1-$K$2)+Marathon!$E26*$K$2</f>
        <v>0.97065381804276152</v>
      </c>
      <c r="F26" s="19">
        <f t="shared" si="2"/>
        <v>90.023603084999323</v>
      </c>
      <c r="G26" s="1">
        <v>20</v>
      </c>
      <c r="H26" s="191" t="s">
        <v>1657</v>
      </c>
      <c r="I26" s="171">
        <v>6237</v>
      </c>
      <c r="J26" s="116" t="s">
        <v>1658</v>
      </c>
      <c r="K26" s="116" t="s">
        <v>1659</v>
      </c>
      <c r="L26" s="116" t="s">
        <v>264</v>
      </c>
      <c r="M26" s="118">
        <v>34881</v>
      </c>
      <c r="N26" s="117"/>
      <c r="O26" s="126" t="s">
        <v>1653</v>
      </c>
      <c r="P26" s="118">
        <v>42421</v>
      </c>
      <c r="Q26" s="117"/>
    </row>
    <row r="27" spans="1:17">
      <c r="A27" s="1">
        <v>21</v>
      </c>
      <c r="B27" s="191" t="s">
        <v>1660</v>
      </c>
      <c r="C27" s="25">
        <f t="shared" si="1"/>
        <v>103.43333333333332</v>
      </c>
      <c r="D27" s="25">
        <f t="shared" si="0"/>
        <v>92.448272018420397</v>
      </c>
      <c r="E27" s="246">
        <f>H.Marathon!$E27*(1-$K$2)+Marathon!$E27*$K$2</f>
        <v>0.98253143460847736</v>
      </c>
      <c r="F27" s="19">
        <f t="shared" si="2"/>
        <v>89.379573333954625</v>
      </c>
      <c r="G27" s="1">
        <v>21</v>
      </c>
      <c r="H27" s="191" t="s">
        <v>1660</v>
      </c>
      <c r="I27" s="171">
        <v>6206</v>
      </c>
      <c r="J27" s="116" t="s">
        <v>1661</v>
      </c>
      <c r="K27" s="116" t="s">
        <v>1662</v>
      </c>
      <c r="L27" s="116" t="s">
        <v>264</v>
      </c>
      <c r="M27" s="118">
        <v>32941</v>
      </c>
      <c r="N27" s="117"/>
      <c r="O27" s="126" t="s">
        <v>1663</v>
      </c>
      <c r="P27" s="118">
        <v>40958</v>
      </c>
      <c r="Q27" s="117"/>
    </row>
    <row r="28" spans="1:17">
      <c r="A28" s="1">
        <v>22</v>
      </c>
      <c r="B28" s="191" t="s">
        <v>1664</v>
      </c>
      <c r="C28" s="25">
        <f t="shared" si="1"/>
        <v>99.95</v>
      </c>
      <c r="D28" s="25">
        <f t="shared" si="0"/>
        <v>91.760761172748531</v>
      </c>
      <c r="E28" s="246">
        <f>H.Marathon!$E28*(1-$K$2)+Marathon!$E28*$K$2</f>
        <v>0.98989298009778692</v>
      </c>
      <c r="F28" s="19">
        <f t="shared" si="2"/>
        <v>91.806664505001024</v>
      </c>
      <c r="G28" s="1">
        <v>22</v>
      </c>
      <c r="H28" s="191" t="s">
        <v>1664</v>
      </c>
      <c r="I28" s="171">
        <v>5997</v>
      </c>
      <c r="J28" s="116" t="s">
        <v>1665</v>
      </c>
      <c r="K28" s="116" t="s">
        <v>1666</v>
      </c>
      <c r="L28" s="117" t="s">
        <v>272</v>
      </c>
      <c r="M28" s="118">
        <v>34350</v>
      </c>
      <c r="N28" s="117"/>
      <c r="O28" s="126" t="s">
        <v>545</v>
      </c>
      <c r="P28" s="118">
        <v>42638</v>
      </c>
      <c r="Q28" s="117"/>
    </row>
    <row r="29" spans="1:17">
      <c r="A29" s="1">
        <v>23</v>
      </c>
      <c r="B29" s="191" t="s">
        <v>1667</v>
      </c>
      <c r="C29" s="25">
        <f t="shared" si="1"/>
        <v>99.100000000000009</v>
      </c>
      <c r="D29" s="25">
        <f t="shared" si="0"/>
        <v>91.352983177248348</v>
      </c>
      <c r="E29" s="246">
        <f>H.Marathon!$E29*(1-$K$2)+Marathon!$E29*$K$2</f>
        <v>0.99431162698970932</v>
      </c>
      <c r="F29" s="19">
        <f t="shared" si="2"/>
        <v>92.182626818615887</v>
      </c>
      <c r="G29" s="1">
        <v>23</v>
      </c>
      <c r="H29" s="191" t="s">
        <v>1667</v>
      </c>
      <c r="I29" s="171">
        <v>5946</v>
      </c>
      <c r="J29" s="116" t="s">
        <v>1668</v>
      </c>
      <c r="K29" s="116" t="s">
        <v>1669</v>
      </c>
      <c r="L29" s="117" t="s">
        <v>272</v>
      </c>
      <c r="M29" s="118">
        <v>34223</v>
      </c>
      <c r="N29" s="117"/>
      <c r="O29" s="126" t="s">
        <v>545</v>
      </c>
      <c r="P29" s="118">
        <v>42638</v>
      </c>
      <c r="Q29" s="117"/>
    </row>
    <row r="30" spans="1:17">
      <c r="A30" s="1">
        <v>24</v>
      </c>
      <c r="B30" s="191" t="s">
        <v>1670</v>
      </c>
      <c r="C30" s="25">
        <f t="shared" si="1"/>
        <v>103.08333333333333</v>
      </c>
      <c r="D30" s="25">
        <f t="shared" si="0"/>
        <v>91.064587503757281</v>
      </c>
      <c r="E30" s="246">
        <f>H.Marathon!$E30*(1-$K$2)+Marathon!$E30*$K$2</f>
        <v>0.99746054776326309</v>
      </c>
      <c r="F30" s="19">
        <f t="shared" si="2"/>
        <v>88.340747780524438</v>
      </c>
      <c r="G30" s="1">
        <v>24</v>
      </c>
      <c r="H30" s="191" t="s">
        <v>1670</v>
      </c>
      <c r="I30" s="171">
        <v>6185</v>
      </c>
      <c r="J30" s="116" t="s">
        <v>1671</v>
      </c>
      <c r="K30" s="116" t="s">
        <v>1672</v>
      </c>
      <c r="L30" s="116" t="s">
        <v>264</v>
      </c>
      <c r="M30" s="118">
        <v>27976</v>
      </c>
      <c r="N30" s="117"/>
      <c r="O30" s="126" t="s">
        <v>1653</v>
      </c>
      <c r="P30" s="118">
        <v>36940</v>
      </c>
      <c r="Q30" s="117"/>
    </row>
    <row r="31" spans="1:17">
      <c r="A31" s="1">
        <v>25</v>
      </c>
      <c r="B31" s="191" t="s">
        <v>1673</v>
      </c>
      <c r="C31" s="25">
        <f t="shared" si="1"/>
        <v>99.149999999999991</v>
      </c>
      <c r="D31" s="25">
        <f t="shared" si="0"/>
        <v>90.888727152884357</v>
      </c>
      <c r="E31" s="246">
        <f>H.Marathon!$E31*(1-$K$2)+Marathon!$E31*$K$2</f>
        <v>0.99939053146318313</v>
      </c>
      <c r="F31" s="19">
        <f t="shared" si="2"/>
        <v>91.667904339772434</v>
      </c>
      <c r="G31" s="1">
        <v>25</v>
      </c>
      <c r="H31" s="191" t="s">
        <v>1673</v>
      </c>
      <c r="I31" s="171">
        <v>5949</v>
      </c>
      <c r="J31" s="116" t="s">
        <v>893</v>
      </c>
      <c r="K31" s="116" t="s">
        <v>1674</v>
      </c>
      <c r="L31" s="116" t="s">
        <v>264</v>
      </c>
      <c r="M31" s="118">
        <v>28674</v>
      </c>
      <c r="N31" s="117"/>
      <c r="O31" s="126" t="s">
        <v>1653</v>
      </c>
      <c r="P31" s="118">
        <v>38032</v>
      </c>
      <c r="Q31" s="117"/>
    </row>
    <row r="32" spans="1:17">
      <c r="A32" s="1">
        <v>26</v>
      </c>
      <c r="B32" s="191" t="s">
        <v>1675</v>
      </c>
      <c r="C32" s="25">
        <f t="shared" si="1"/>
        <v>104.60000000000001</v>
      </c>
      <c r="D32" s="25">
        <f t="shared" si="0"/>
        <v>90.833333333333343</v>
      </c>
      <c r="E32" s="246">
        <f>H.Marathon!$E32*(1-$K$2)+Marathon!$E32*$K$2</f>
        <v>1</v>
      </c>
      <c r="F32" s="19">
        <f t="shared" si="2"/>
        <v>86.838750796685787</v>
      </c>
      <c r="G32" s="1">
        <v>26</v>
      </c>
      <c r="H32" s="191" t="s">
        <v>1675</v>
      </c>
      <c r="I32" s="171">
        <v>6276</v>
      </c>
      <c r="J32" s="116" t="s">
        <v>1676</v>
      </c>
      <c r="K32" s="116" t="s">
        <v>1677</v>
      </c>
      <c r="L32" s="116" t="s">
        <v>264</v>
      </c>
      <c r="M32" s="118">
        <v>27981</v>
      </c>
      <c r="N32" s="117"/>
      <c r="O32" s="126" t="s">
        <v>1653</v>
      </c>
      <c r="P32" s="118">
        <v>37668</v>
      </c>
      <c r="Q32" s="117"/>
    </row>
    <row r="33" spans="1:17">
      <c r="A33" s="1">
        <v>27</v>
      </c>
      <c r="B33" s="191" t="s">
        <v>1678</v>
      </c>
      <c r="C33" s="25">
        <f t="shared" si="1"/>
        <v>103.74999999999999</v>
      </c>
      <c r="D33" s="25">
        <f t="shared" si="0"/>
        <v>90.833333333333343</v>
      </c>
      <c r="E33" s="246">
        <f>H.Marathon!$E33*(1-$K$2)+Marathon!$E33*$K$2</f>
        <v>1</v>
      </c>
      <c r="F33" s="19">
        <f t="shared" si="2"/>
        <v>87.550200803212874</v>
      </c>
      <c r="G33" s="1">
        <v>27</v>
      </c>
      <c r="H33" s="191" t="s">
        <v>1678</v>
      </c>
      <c r="I33" s="171">
        <v>6225</v>
      </c>
      <c r="J33" s="116" t="s">
        <v>1393</v>
      </c>
      <c r="K33" s="116" t="s">
        <v>1524</v>
      </c>
      <c r="L33" s="117" t="s">
        <v>268</v>
      </c>
      <c r="M33" s="118">
        <v>32485</v>
      </c>
      <c r="N33" s="117"/>
      <c r="O33" s="126" t="s">
        <v>545</v>
      </c>
      <c r="P33" s="118">
        <v>42638</v>
      </c>
      <c r="Q33" s="117"/>
    </row>
    <row r="34" spans="1:17">
      <c r="A34" s="1">
        <v>28</v>
      </c>
      <c r="B34" s="191" t="s">
        <v>1679</v>
      </c>
      <c r="C34" s="25">
        <f t="shared" si="1"/>
        <v>101.95</v>
      </c>
      <c r="D34" s="25">
        <f t="shared" si="0"/>
        <v>90.879203181464675</v>
      </c>
      <c r="E34" s="246">
        <f>H.Marathon!$E34*(1-$K$2)+Marathon!$E34*$K$2</f>
        <v>0.99949526573159164</v>
      </c>
      <c r="F34" s="19">
        <f t="shared" si="2"/>
        <v>89.140954567400371</v>
      </c>
      <c r="G34" s="1">
        <v>28</v>
      </c>
      <c r="H34" s="191" t="s">
        <v>1679</v>
      </c>
      <c r="I34" s="171">
        <v>6117</v>
      </c>
      <c r="J34" s="116" t="s">
        <v>1680</v>
      </c>
      <c r="K34" s="116" t="s">
        <v>1681</v>
      </c>
      <c r="L34" s="116" t="s">
        <v>264</v>
      </c>
      <c r="M34" s="118">
        <v>26425</v>
      </c>
      <c r="N34" s="117"/>
      <c r="O34" s="126" t="s">
        <v>1653</v>
      </c>
      <c r="P34" s="118">
        <v>36940</v>
      </c>
      <c r="Q34" s="117"/>
    </row>
    <row r="35" spans="1:17">
      <c r="A35" s="1">
        <v>29</v>
      </c>
      <c r="B35" s="191" t="s">
        <v>1682</v>
      </c>
      <c r="C35" s="25">
        <f t="shared" si="1"/>
        <v>106.48333333333332</v>
      </c>
      <c r="D35" s="25">
        <f t="shared" si="0"/>
        <v>90.952145244641926</v>
      </c>
      <c r="E35" s="246">
        <f>H.Marathon!$E35*(1-$K$2)+Marathon!$E35*$K$2</f>
        <v>0.99869368764212207</v>
      </c>
      <c r="F35" s="19">
        <f t="shared" si="2"/>
        <v>85.414442239450878</v>
      </c>
      <c r="G35" s="1">
        <v>29</v>
      </c>
      <c r="H35" s="191" t="s">
        <v>1682</v>
      </c>
      <c r="I35" s="171">
        <v>6389</v>
      </c>
      <c r="J35" s="116" t="s">
        <v>1683</v>
      </c>
      <c r="K35" s="116" t="s">
        <v>1684</v>
      </c>
      <c r="L35" s="116" t="s">
        <v>264</v>
      </c>
      <c r="M35" s="118">
        <v>30251</v>
      </c>
      <c r="N35" s="117"/>
      <c r="O35" s="126" t="s">
        <v>1663</v>
      </c>
      <c r="P35" s="118">
        <v>40958</v>
      </c>
      <c r="Q35" s="117"/>
    </row>
    <row r="36" spans="1:17" ht="15.75">
      <c r="A36" s="1">
        <v>30</v>
      </c>
      <c r="B36" s="191" t="s">
        <v>1572</v>
      </c>
      <c r="C36" s="25">
        <f t="shared" si="1"/>
        <v>94</v>
      </c>
      <c r="D36" s="25">
        <f t="shared" si="0"/>
        <v>91.066198838112882</v>
      </c>
      <c r="E36" s="246">
        <f>H.Marathon!$E36*(1-$K$2)+Marathon!$E36*$K$2</f>
        <v>0.99744289859738733</v>
      </c>
      <c r="F36" s="19">
        <f t="shared" si="2"/>
        <v>96.878934934162643</v>
      </c>
      <c r="G36" s="1">
        <v>30</v>
      </c>
      <c r="H36" s="191" t="s">
        <v>1572</v>
      </c>
      <c r="I36" s="171">
        <v>5640</v>
      </c>
      <c r="J36" s="116" t="s">
        <v>1154</v>
      </c>
      <c r="K36" s="116" t="s">
        <v>1155</v>
      </c>
      <c r="L36" s="116" t="s">
        <v>291</v>
      </c>
      <c r="M36" s="118">
        <v>33970</v>
      </c>
      <c r="N36" s="196" t="s">
        <v>1685</v>
      </c>
      <c r="O36" s="196" t="s">
        <v>891</v>
      </c>
      <c r="P36" s="197">
        <v>45207</v>
      </c>
      <c r="Q36" s="117"/>
    </row>
    <row r="37" spans="1:17">
      <c r="A37" s="1">
        <v>31</v>
      </c>
      <c r="B37" s="191" t="s">
        <v>1686</v>
      </c>
      <c r="C37" s="25">
        <f t="shared" si="1"/>
        <v>106.43333333333334</v>
      </c>
      <c r="D37" s="25">
        <f t="shared" si="0"/>
        <v>91.221673246459517</v>
      </c>
      <c r="E37" s="246">
        <f>H.Marathon!$E37*(1-$K$2)+Marathon!$E37*$K$2</f>
        <v>0.99574289859738729</v>
      </c>
      <c r="F37" s="19">
        <f t="shared" si="2"/>
        <v>85.707804490879596</v>
      </c>
      <c r="G37" s="1">
        <v>31</v>
      </c>
      <c r="H37" s="191" t="s">
        <v>1686</v>
      </c>
      <c r="I37" s="171">
        <v>6386</v>
      </c>
      <c r="J37" s="116" t="s">
        <v>1687</v>
      </c>
      <c r="K37" s="116" t="s">
        <v>1688</v>
      </c>
      <c r="L37" s="116" t="s">
        <v>291</v>
      </c>
      <c r="M37" s="118">
        <v>24578</v>
      </c>
      <c r="N37" s="117"/>
      <c r="O37" s="126" t="s">
        <v>1689</v>
      </c>
      <c r="P37" s="118">
        <v>36212</v>
      </c>
      <c r="Q37" s="117"/>
    </row>
    <row r="38" spans="1:17">
      <c r="A38" s="1">
        <v>32</v>
      </c>
      <c r="B38" s="191" t="s">
        <v>1660</v>
      </c>
      <c r="C38" s="25">
        <f t="shared" si="1"/>
        <v>103.43333333333332</v>
      </c>
      <c r="D38" s="25">
        <f t="shared" si="0"/>
        <v>91.414464352890192</v>
      </c>
      <c r="E38" s="246">
        <f>H.Marathon!$E38*(1-$K$2)+Marathon!$E38*$K$2</f>
        <v>0.9936428985973873</v>
      </c>
      <c r="F38" s="19">
        <f t="shared" si="2"/>
        <v>88.380081552907058</v>
      </c>
      <c r="G38" s="1">
        <v>32</v>
      </c>
      <c r="H38" s="191" t="s">
        <v>1660</v>
      </c>
      <c r="I38" s="171">
        <v>6206</v>
      </c>
      <c r="J38" s="116" t="s">
        <v>1690</v>
      </c>
      <c r="K38" s="116" t="s">
        <v>1691</v>
      </c>
      <c r="L38" s="116" t="s">
        <v>264</v>
      </c>
      <c r="M38" s="118">
        <v>21843</v>
      </c>
      <c r="N38" s="117"/>
      <c r="O38" s="126" t="s">
        <v>1692</v>
      </c>
      <c r="P38" s="118">
        <v>33580</v>
      </c>
      <c r="Q38" s="117"/>
    </row>
    <row r="39" spans="1:17">
      <c r="A39" s="1">
        <v>33</v>
      </c>
      <c r="B39" s="191" t="s">
        <v>1693</v>
      </c>
      <c r="C39" s="25">
        <f t="shared" si="1"/>
        <v>104.14999999999999</v>
      </c>
      <c r="D39" s="25">
        <f t="shared" si="0"/>
        <v>91.649593238185076</v>
      </c>
      <c r="E39" s="246">
        <f>H.Marathon!$E39*(1-$K$2)+Marathon!$E39*$K$2</f>
        <v>0.99109368764212213</v>
      </c>
      <c r="F39" s="19">
        <f t="shared" si="2"/>
        <v>87.99768913891991</v>
      </c>
      <c r="G39" s="1">
        <v>33</v>
      </c>
      <c r="H39" s="191" t="s">
        <v>1693</v>
      </c>
      <c r="I39" s="171">
        <v>6249</v>
      </c>
      <c r="J39" s="116" t="s">
        <v>1694</v>
      </c>
      <c r="K39" s="116" t="s">
        <v>1695</v>
      </c>
      <c r="L39" s="116" t="s">
        <v>1391</v>
      </c>
      <c r="M39" s="118">
        <v>25615</v>
      </c>
      <c r="N39" s="117"/>
      <c r="O39" s="126" t="s">
        <v>1696</v>
      </c>
      <c r="P39" s="118">
        <v>37836</v>
      </c>
      <c r="Q39" s="117"/>
    </row>
    <row r="40" spans="1:17">
      <c r="A40" s="1">
        <v>34</v>
      </c>
      <c r="B40" s="191" t="s">
        <v>1697</v>
      </c>
      <c r="C40" s="25">
        <f t="shared" si="1"/>
        <v>103.81666666666668</v>
      </c>
      <c r="D40" s="25">
        <f t="shared" si="0"/>
        <v>91.922983342674073</v>
      </c>
      <c r="E40" s="246">
        <f>H.Marathon!$E40*(1-$K$2)+Marathon!$E40*$K$2</f>
        <v>0.98814605477632633</v>
      </c>
      <c r="F40" s="19">
        <f t="shared" si="2"/>
        <v>88.543570405529678</v>
      </c>
      <c r="G40" s="1">
        <v>34</v>
      </c>
      <c r="H40" s="191" t="s">
        <v>1697</v>
      </c>
      <c r="I40" s="171">
        <v>6229</v>
      </c>
      <c r="J40" s="116" t="s">
        <v>1698</v>
      </c>
      <c r="K40" s="116" t="s">
        <v>1699</v>
      </c>
      <c r="L40" s="116" t="s">
        <v>264</v>
      </c>
      <c r="M40" s="118">
        <v>27713</v>
      </c>
      <c r="N40" s="117"/>
      <c r="O40" s="126" t="s">
        <v>1653</v>
      </c>
      <c r="P40" s="118">
        <v>40230</v>
      </c>
      <c r="Q40" s="117"/>
    </row>
    <row r="41" spans="1:17" ht="15.75">
      <c r="A41" s="1">
        <v>35</v>
      </c>
      <c r="B41" s="201" t="s">
        <v>1700</v>
      </c>
      <c r="C41" s="25">
        <f t="shared" si="1"/>
        <v>96.083333333333343</v>
      </c>
      <c r="D41" s="25">
        <f t="shared" si="0"/>
        <v>92.240214956386055</v>
      </c>
      <c r="E41" s="246">
        <f>H.Marathon!$E41*(1-$K$2)+Marathon!$E41*$K$2</f>
        <v>0.98474763286579581</v>
      </c>
      <c r="F41" s="19">
        <f t="shared" si="2"/>
        <v>96.000223718701875</v>
      </c>
      <c r="G41" s="1">
        <v>35</v>
      </c>
      <c r="H41" s="201" t="s">
        <v>1700</v>
      </c>
      <c r="I41" s="174">
        <v>5365</v>
      </c>
      <c r="J41" s="173" t="s">
        <v>306</v>
      </c>
      <c r="K41" s="173" t="s">
        <v>1701</v>
      </c>
      <c r="L41" s="173" t="s">
        <v>268</v>
      </c>
      <c r="M41" s="204">
        <v>29969</v>
      </c>
      <c r="N41" s="211" t="s">
        <v>1702</v>
      </c>
      <c r="O41" s="193" t="s">
        <v>1703</v>
      </c>
      <c r="P41" s="204">
        <v>42848</v>
      </c>
      <c r="Q41" s="205" t="s">
        <v>1358</v>
      </c>
    </row>
    <row r="42" spans="1:17">
      <c r="A42" s="1">
        <v>36</v>
      </c>
      <c r="B42" s="191" t="s">
        <v>1704</v>
      </c>
      <c r="C42" s="25">
        <f t="shared" si="1"/>
        <v>103.39999999999999</v>
      </c>
      <c r="D42" s="25">
        <f t="shared" si="0"/>
        <v>92.597237647148702</v>
      </c>
      <c r="E42" s="246">
        <f>H.Marathon!$E42*(1-$K$2)+Marathon!$E42*$K$2</f>
        <v>0.98095078904473476</v>
      </c>
      <c r="F42" s="19">
        <f t="shared" si="2"/>
        <v>89.552454204205716</v>
      </c>
      <c r="G42" s="1">
        <v>36</v>
      </c>
      <c r="H42" s="191" t="s">
        <v>1704</v>
      </c>
      <c r="I42" s="171">
        <v>6204</v>
      </c>
      <c r="J42" s="116" t="s">
        <v>1705</v>
      </c>
      <c r="K42" s="116" t="s">
        <v>1706</v>
      </c>
      <c r="L42" s="116" t="s">
        <v>284</v>
      </c>
      <c r="M42" s="118">
        <v>26889</v>
      </c>
      <c r="N42" s="117"/>
      <c r="O42" s="126" t="s">
        <v>1653</v>
      </c>
      <c r="P42" s="118">
        <v>40230</v>
      </c>
      <c r="Q42" s="117"/>
    </row>
    <row r="43" spans="1:17">
      <c r="A43" s="1">
        <v>37</v>
      </c>
      <c r="B43" s="191" t="s">
        <v>1707</v>
      </c>
      <c r="C43" s="25">
        <f t="shared" si="1"/>
        <v>106.11666666666667</v>
      </c>
      <c r="D43" s="25">
        <f t="shared" ref="D43:D74" si="3">E$4/E43</f>
        <v>92.994952334876757</v>
      </c>
      <c r="E43" s="246">
        <f>H.Marathon!$E43*(1-$K$2)+Marathon!$E43*$K$2</f>
        <v>0.97675552331314308</v>
      </c>
      <c r="F43" s="19">
        <f t="shared" si="2"/>
        <v>87.634633894967891</v>
      </c>
      <c r="G43" s="1">
        <v>37</v>
      </c>
      <c r="H43" s="191" t="s">
        <v>1707</v>
      </c>
      <c r="I43" s="171">
        <v>6367</v>
      </c>
      <c r="J43" s="116" t="s">
        <v>1708</v>
      </c>
      <c r="K43" s="116" t="s">
        <v>1709</v>
      </c>
      <c r="L43" s="116" t="s">
        <v>241</v>
      </c>
      <c r="M43" s="118">
        <v>28680</v>
      </c>
      <c r="N43" s="117"/>
      <c r="O43" s="126" t="s">
        <v>808</v>
      </c>
      <c r="P43" s="118">
        <v>42413</v>
      </c>
      <c r="Q43" s="117"/>
    </row>
    <row r="44" spans="1:17">
      <c r="A44" s="1">
        <v>38</v>
      </c>
      <c r="B44" s="191" t="s">
        <v>1710</v>
      </c>
      <c r="C44" s="25">
        <f t="shared" si="1"/>
        <v>107.05000000000001</v>
      </c>
      <c r="D44" s="25">
        <f t="shared" si="3"/>
        <v>93.444138493351403</v>
      </c>
      <c r="E44" s="246">
        <f>H.Marathon!$E44*(1-$K$2)+Marathon!$E44*$K$2</f>
        <v>0.97206025758155157</v>
      </c>
      <c r="F44" s="19">
        <f t="shared" ref="F44:F75" si="4">100*(D44/C44)</f>
        <v>87.290180750445018</v>
      </c>
      <c r="G44" s="1">
        <v>38</v>
      </c>
      <c r="H44" s="191" t="s">
        <v>1710</v>
      </c>
      <c r="I44" s="171">
        <v>6423</v>
      </c>
      <c r="J44" s="116" t="s">
        <v>1711</v>
      </c>
      <c r="K44" s="116" t="s">
        <v>1712</v>
      </c>
      <c r="L44" s="116" t="s">
        <v>264</v>
      </c>
      <c r="M44" s="118">
        <v>24275</v>
      </c>
      <c r="N44" s="117"/>
      <c r="O44" s="126" t="s">
        <v>1653</v>
      </c>
      <c r="P44" s="118">
        <v>38403</v>
      </c>
      <c r="Q44" s="117"/>
    </row>
    <row r="45" spans="1:17">
      <c r="A45" s="1">
        <v>39</v>
      </c>
      <c r="B45" s="191" t="s">
        <v>1713</v>
      </c>
      <c r="C45" s="25">
        <f t="shared" si="1"/>
        <v>107.25</v>
      </c>
      <c r="D45" s="25">
        <f t="shared" si="3"/>
        <v>93.936527277533102</v>
      </c>
      <c r="E45" s="246">
        <f>H.Marathon!$E45*(1-$K$2)+Marathon!$E45*$K$2</f>
        <v>0.96696499184995999</v>
      </c>
      <c r="F45" s="19">
        <f t="shared" si="4"/>
        <v>87.586505620077475</v>
      </c>
      <c r="G45" s="1">
        <v>39</v>
      </c>
      <c r="H45" s="191" t="s">
        <v>1713</v>
      </c>
      <c r="I45" s="171">
        <v>6435</v>
      </c>
      <c r="J45" s="116" t="s">
        <v>1711</v>
      </c>
      <c r="K45" s="116" t="s">
        <v>1712</v>
      </c>
      <c r="L45" s="116" t="s">
        <v>264</v>
      </c>
      <c r="M45" s="118">
        <v>24275</v>
      </c>
      <c r="N45" s="117"/>
      <c r="O45" s="126" t="s">
        <v>1653</v>
      </c>
      <c r="P45" s="118">
        <v>38767</v>
      </c>
      <c r="Q45" s="117"/>
    </row>
    <row r="46" spans="1:17" ht="15.75">
      <c r="A46" s="1">
        <v>40</v>
      </c>
      <c r="B46" s="191" t="s">
        <v>1714</v>
      </c>
      <c r="C46" s="25">
        <f t="shared" si="1"/>
        <v>103.78333333333335</v>
      </c>
      <c r="D46" s="25">
        <f t="shared" si="3"/>
        <v>94.473265021852612</v>
      </c>
      <c r="E46" s="246">
        <f>H.Marathon!$E46*(1-$K$2)+Marathon!$E46*$K$2</f>
        <v>0.96147130420783788</v>
      </c>
      <c r="F46" s="19">
        <f t="shared" si="4"/>
        <v>91.029322327142381</v>
      </c>
      <c r="G46" s="1">
        <v>40</v>
      </c>
      <c r="H46" s="191" t="s">
        <v>1714</v>
      </c>
      <c r="I46" s="171">
        <v>6227</v>
      </c>
      <c r="J46" s="116" t="s">
        <v>1715</v>
      </c>
      <c r="K46" s="116" t="s">
        <v>1716</v>
      </c>
      <c r="L46" s="116"/>
      <c r="M46" s="118">
        <v>30585</v>
      </c>
      <c r="N46" s="196" t="s">
        <v>1685</v>
      </c>
      <c r="O46" s="196" t="s">
        <v>891</v>
      </c>
      <c r="P46" s="197">
        <v>45207</v>
      </c>
      <c r="Q46" s="117"/>
    </row>
    <row r="47" spans="1:17">
      <c r="A47" s="1">
        <v>41</v>
      </c>
      <c r="B47" s="191" t="s">
        <v>1717</v>
      </c>
      <c r="C47" s="25">
        <f t="shared" si="1"/>
        <v>113.21666666666667</v>
      </c>
      <c r="D47" s="25">
        <f t="shared" si="3"/>
        <v>95.060840473186559</v>
      </c>
      <c r="E47" s="246">
        <f>H.Marathon!$E47*(1-$K$2)+Marathon!$E47*$K$2</f>
        <v>0.9555284056104506</v>
      </c>
      <c r="F47" s="19">
        <f t="shared" si="4"/>
        <v>83.963645346550763</v>
      </c>
      <c r="G47" s="1">
        <v>41</v>
      </c>
      <c r="H47" s="191" t="s">
        <v>1717</v>
      </c>
      <c r="I47" s="171">
        <v>6793</v>
      </c>
      <c r="J47" s="116" t="s">
        <v>1718</v>
      </c>
      <c r="K47" s="116" t="s">
        <v>1719</v>
      </c>
      <c r="L47" s="116" t="s">
        <v>264</v>
      </c>
      <c r="M47" s="118">
        <v>23187</v>
      </c>
      <c r="N47" s="117"/>
      <c r="O47" s="126" t="s">
        <v>1653</v>
      </c>
      <c r="P47" s="118">
        <v>38403</v>
      </c>
      <c r="Q47" s="117"/>
    </row>
    <row r="48" spans="1:17">
      <c r="A48" s="1">
        <v>42</v>
      </c>
      <c r="B48" s="191" t="s">
        <v>1720</v>
      </c>
      <c r="C48" s="25">
        <f t="shared" si="1"/>
        <v>105.06666666666668</v>
      </c>
      <c r="D48" s="25">
        <f t="shared" si="3"/>
        <v>95.701042843484316</v>
      </c>
      <c r="E48" s="246">
        <f>H.Marathon!$E48*(1-$K$2)+Marathon!$E48*$K$2</f>
        <v>0.94913629605779803</v>
      </c>
      <c r="F48" s="19">
        <f t="shared" si="4"/>
        <v>91.086017934788373</v>
      </c>
      <c r="G48" s="1">
        <v>42</v>
      </c>
      <c r="H48" s="191" t="s">
        <v>1720</v>
      </c>
      <c r="I48" s="171">
        <v>6304</v>
      </c>
      <c r="J48" s="116" t="s">
        <v>316</v>
      </c>
      <c r="K48" s="116" t="s">
        <v>317</v>
      </c>
      <c r="L48" s="116" t="s">
        <v>241</v>
      </c>
      <c r="M48" s="118">
        <v>26709</v>
      </c>
      <c r="N48" s="117" t="s">
        <v>1721</v>
      </c>
      <c r="O48" s="126" t="s">
        <v>891</v>
      </c>
      <c r="P48" s="118">
        <v>42288</v>
      </c>
      <c r="Q48" s="117"/>
    </row>
    <row r="49" spans="1:17">
      <c r="A49" s="1">
        <v>43</v>
      </c>
      <c r="B49" s="191" t="s">
        <v>1722</v>
      </c>
      <c r="C49" s="25">
        <f t="shared" si="1"/>
        <v>111.61666666666667</v>
      </c>
      <c r="D49" s="25">
        <f t="shared" si="3"/>
        <v>96.38562990038524</v>
      </c>
      <c r="E49" s="246">
        <f>H.Marathon!$E49*(1-$K$2)+Marathon!$E49*$K$2</f>
        <v>0.94239497554988017</v>
      </c>
      <c r="F49" s="19">
        <f t="shared" si="4"/>
        <v>86.354155502808922</v>
      </c>
      <c r="G49" s="1">
        <v>43</v>
      </c>
      <c r="H49" s="191" t="s">
        <v>1722</v>
      </c>
      <c r="I49" s="171">
        <v>6697</v>
      </c>
      <c r="J49" s="116" t="s">
        <v>1723</v>
      </c>
      <c r="K49" s="116" t="s">
        <v>1724</v>
      </c>
      <c r="L49" s="116" t="s">
        <v>291</v>
      </c>
      <c r="M49" s="118">
        <v>21015</v>
      </c>
      <c r="N49" s="117"/>
      <c r="O49" s="126" t="s">
        <v>1689</v>
      </c>
      <c r="P49" s="118">
        <v>36940</v>
      </c>
      <c r="Q49" s="117"/>
    </row>
    <row r="50" spans="1:17">
      <c r="A50" s="1">
        <v>44</v>
      </c>
      <c r="B50" s="191" t="s">
        <v>1725</v>
      </c>
      <c r="C50" s="25">
        <f t="shared" si="1"/>
        <v>113.33333333333334</v>
      </c>
      <c r="D50" s="25">
        <f t="shared" si="3"/>
        <v>97.126712675151438</v>
      </c>
      <c r="E50" s="246">
        <f>H.Marathon!$E50*(1-$K$2)+Marathon!$E50*$K$2</f>
        <v>0.9352044440866969</v>
      </c>
      <c r="F50" s="19">
        <f t="shared" si="4"/>
        <v>85.700040595721845</v>
      </c>
      <c r="G50" s="1">
        <v>44</v>
      </c>
      <c r="H50" s="191" t="s">
        <v>1725</v>
      </c>
      <c r="I50" s="171">
        <v>6800</v>
      </c>
      <c r="J50" s="116" t="s">
        <v>1723</v>
      </c>
      <c r="K50" s="116" t="s">
        <v>1724</v>
      </c>
      <c r="L50" s="116" t="s">
        <v>291</v>
      </c>
      <c r="M50" s="118">
        <v>21015</v>
      </c>
      <c r="N50" s="117"/>
      <c r="O50" s="126" t="s">
        <v>1689</v>
      </c>
      <c r="P50" s="118">
        <v>37304</v>
      </c>
      <c r="Q50" s="117"/>
    </row>
    <row r="51" spans="1:17">
      <c r="A51" s="1">
        <v>45</v>
      </c>
      <c r="B51" s="191" t="s">
        <v>1726</v>
      </c>
      <c r="C51" s="25">
        <f t="shared" si="1"/>
        <v>113.4</v>
      </c>
      <c r="D51" s="25">
        <f t="shared" si="3"/>
        <v>97.932044034150678</v>
      </c>
      <c r="E51" s="246">
        <f>H.Marathon!$E51*(1-$K$2)+Marathon!$E51*$K$2</f>
        <v>0.9275139126235139</v>
      </c>
      <c r="F51" s="19">
        <f t="shared" si="4"/>
        <v>86.359827190609067</v>
      </c>
      <c r="G51" s="1">
        <v>45</v>
      </c>
      <c r="H51" s="191" t="s">
        <v>1726</v>
      </c>
      <c r="I51" s="171">
        <v>6804</v>
      </c>
      <c r="J51" s="116" t="s">
        <v>1711</v>
      </c>
      <c r="K51" s="116" t="s">
        <v>1712</v>
      </c>
      <c r="L51" s="116" t="s">
        <v>264</v>
      </c>
      <c r="M51" s="118">
        <v>24275</v>
      </c>
      <c r="N51" s="117"/>
      <c r="O51" s="126" t="s">
        <v>1653</v>
      </c>
      <c r="P51" s="118">
        <v>40958</v>
      </c>
      <c r="Q51" s="117"/>
    </row>
    <row r="52" spans="1:17">
      <c r="A52" s="1">
        <v>46</v>
      </c>
      <c r="B52" s="191" t="s">
        <v>1727</v>
      </c>
      <c r="C52" s="25">
        <f t="shared" si="1"/>
        <v>113.08333333333334</v>
      </c>
      <c r="D52" s="25">
        <f t="shared" si="3"/>
        <v>98.788346945162431</v>
      </c>
      <c r="E52" s="246">
        <f>H.Marathon!$E52*(1-$K$2)+Marathon!$E52*$K$2</f>
        <v>0.9194741702050655</v>
      </c>
      <c r="F52" s="19">
        <f t="shared" si="4"/>
        <v>87.358891919082467</v>
      </c>
      <c r="G52" s="1">
        <v>46</v>
      </c>
      <c r="H52" s="191" t="s">
        <v>1727</v>
      </c>
      <c r="I52" s="171">
        <v>6785</v>
      </c>
      <c r="J52" s="116" t="s">
        <v>1711</v>
      </c>
      <c r="K52" s="116" t="s">
        <v>1712</v>
      </c>
      <c r="L52" s="116" t="s">
        <v>264</v>
      </c>
      <c r="M52" s="118">
        <v>24275</v>
      </c>
      <c r="N52" s="117"/>
      <c r="O52" s="126" t="s">
        <v>1653</v>
      </c>
      <c r="P52" s="118">
        <v>41322</v>
      </c>
      <c r="Q52" s="117"/>
    </row>
    <row r="53" spans="1:17">
      <c r="A53" s="1">
        <v>47</v>
      </c>
      <c r="B53" s="191" t="s">
        <v>1728</v>
      </c>
      <c r="C53" s="25">
        <f t="shared" si="1"/>
        <v>120.38333333333334</v>
      </c>
      <c r="D53" s="25">
        <f t="shared" si="3"/>
        <v>99.703340754336708</v>
      </c>
      <c r="E53" s="246">
        <f>H.Marathon!$E53*(1-$K$2)+Marathon!$E53*$K$2</f>
        <v>0.91103600587608646</v>
      </c>
      <c r="F53" s="19">
        <f t="shared" si="4"/>
        <v>82.821548459922496</v>
      </c>
      <c r="G53" s="1">
        <v>47</v>
      </c>
      <c r="H53" s="191" t="s">
        <v>1728</v>
      </c>
      <c r="I53" s="171">
        <v>7223</v>
      </c>
      <c r="J53" s="116" t="s">
        <v>1729</v>
      </c>
      <c r="K53" s="116" t="s">
        <v>1730</v>
      </c>
      <c r="L53" s="116" t="s">
        <v>791</v>
      </c>
      <c r="M53" s="118">
        <v>25449</v>
      </c>
      <c r="N53" s="117"/>
      <c r="O53" s="126" t="s">
        <v>1731</v>
      </c>
      <c r="P53" s="118">
        <v>42624</v>
      </c>
      <c r="Q53" s="117"/>
    </row>
    <row r="54" spans="1:17">
      <c r="A54" s="1">
        <v>48</v>
      </c>
      <c r="B54" s="191" t="s">
        <v>1732</v>
      </c>
      <c r="C54" s="25">
        <f t="shared" si="1"/>
        <v>119.41666666666667</v>
      </c>
      <c r="D54" s="25">
        <f t="shared" si="3"/>
        <v>100.69122122890037</v>
      </c>
      <c r="E54" s="246">
        <f>H.Marathon!$E54*(1-$K$2)+Marathon!$E54*$K$2</f>
        <v>0.9020978415471077</v>
      </c>
      <c r="F54" s="19">
        <f t="shared" si="4"/>
        <v>84.319236200056139</v>
      </c>
      <c r="G54" s="1">
        <v>48</v>
      </c>
      <c r="H54" s="191" t="s">
        <v>1732</v>
      </c>
      <c r="I54" s="171">
        <v>7165</v>
      </c>
      <c r="J54" s="116" t="s">
        <v>1264</v>
      </c>
      <c r="K54" s="116" t="s">
        <v>1265</v>
      </c>
      <c r="L54" s="116" t="s">
        <v>241</v>
      </c>
      <c r="M54" s="118">
        <v>14922</v>
      </c>
      <c r="N54" s="117" t="s">
        <v>1733</v>
      </c>
      <c r="O54" s="126" t="s">
        <v>1734</v>
      </c>
      <c r="P54" s="118">
        <v>32460</v>
      </c>
      <c r="Q54" s="117"/>
    </row>
    <row r="55" spans="1:17">
      <c r="A55" s="1">
        <v>49</v>
      </c>
      <c r="B55" s="191" t="s">
        <v>1735</v>
      </c>
      <c r="C55" s="25">
        <f t="shared" si="1"/>
        <v>123.91666666666666</v>
      </c>
      <c r="D55" s="25">
        <f t="shared" si="3"/>
        <v>101.74426006204423</v>
      </c>
      <c r="E55" s="246">
        <f>H.Marathon!$E55*(1-$K$2)+Marathon!$E55*$K$2</f>
        <v>0.8927612553075982</v>
      </c>
      <c r="F55" s="19">
        <f t="shared" si="4"/>
        <v>82.107002067554191</v>
      </c>
      <c r="G55" s="1">
        <v>49</v>
      </c>
      <c r="H55" s="191" t="s">
        <v>1735</v>
      </c>
      <c r="I55" s="171">
        <v>7435</v>
      </c>
      <c r="J55" s="116" t="s">
        <v>1736</v>
      </c>
      <c r="K55" s="116" t="s">
        <v>1737</v>
      </c>
      <c r="L55" s="116" t="s">
        <v>791</v>
      </c>
      <c r="M55" s="118">
        <v>24030</v>
      </c>
      <c r="N55" s="117"/>
      <c r="O55" s="126" t="s">
        <v>1738</v>
      </c>
      <c r="P55" s="118">
        <v>42274</v>
      </c>
      <c r="Q55" s="117"/>
    </row>
    <row r="56" spans="1:17">
      <c r="A56" s="1">
        <v>50</v>
      </c>
      <c r="B56" s="191" t="s">
        <v>1739</v>
      </c>
      <c r="C56" s="25">
        <f t="shared" si="1"/>
        <v>120.68333333333332</v>
      </c>
      <c r="D56" s="25">
        <f t="shared" si="3"/>
        <v>102.84893800953154</v>
      </c>
      <c r="E56" s="246">
        <f>H.Marathon!$E56*(1-$K$2)+Marathon!$E56*$K$2</f>
        <v>0.88317230193388441</v>
      </c>
      <c r="F56" s="19">
        <f t="shared" si="4"/>
        <v>85.2221555112815</v>
      </c>
      <c r="G56" s="1">
        <v>50</v>
      </c>
      <c r="H56" s="191" t="s">
        <v>1739</v>
      </c>
      <c r="I56" s="171">
        <v>7241</v>
      </c>
      <c r="J56" s="116" t="s">
        <v>1264</v>
      </c>
      <c r="K56" s="116" t="s">
        <v>1265</v>
      </c>
      <c r="L56" s="116" t="s">
        <v>241</v>
      </c>
      <c r="M56" s="118">
        <v>14922</v>
      </c>
      <c r="N56" s="117" t="s">
        <v>1733</v>
      </c>
      <c r="O56" s="126" t="s">
        <v>1734</v>
      </c>
      <c r="P56" s="118">
        <v>33188</v>
      </c>
      <c r="Q56" s="117"/>
    </row>
    <row r="57" spans="1:17">
      <c r="A57" s="1">
        <v>51</v>
      </c>
      <c r="B57" s="191" t="s">
        <v>1740</v>
      </c>
      <c r="C57" s="25">
        <f t="shared" si="1"/>
        <v>116.71666666666667</v>
      </c>
      <c r="D57" s="25">
        <f t="shared" si="3"/>
        <v>104.00791368356305</v>
      </c>
      <c r="E57" s="246">
        <f>H.Marathon!$E57*(1-$K$2)+Marathon!$E57*$K$2</f>
        <v>0.87333098142596666</v>
      </c>
      <c r="F57" s="19">
        <f t="shared" si="4"/>
        <v>89.111449678905942</v>
      </c>
      <c r="G57" s="1">
        <v>51</v>
      </c>
      <c r="H57" s="191" t="s">
        <v>1740</v>
      </c>
      <c r="I57" s="171">
        <v>7003</v>
      </c>
      <c r="J57" s="116" t="s">
        <v>304</v>
      </c>
      <c r="K57" s="116" t="s">
        <v>305</v>
      </c>
      <c r="L57" s="117" t="s">
        <v>241</v>
      </c>
      <c r="M57" s="118">
        <v>23483</v>
      </c>
      <c r="N57" s="117"/>
      <c r="O57" s="126" t="s">
        <v>808</v>
      </c>
      <c r="P57" s="118">
        <v>42413</v>
      </c>
      <c r="Q57" s="117"/>
    </row>
    <row r="58" spans="1:17">
      <c r="A58" s="1">
        <v>52</v>
      </c>
      <c r="B58" s="191" t="s">
        <v>1741</v>
      </c>
      <c r="C58" s="25">
        <f t="shared" si="1"/>
        <v>122.11666666666666</v>
      </c>
      <c r="D58" s="25">
        <f t="shared" si="3"/>
        <v>105.2120648805508</v>
      </c>
      <c r="E58" s="246">
        <f>H.Marathon!$E58*(1-$K$2)+Marathon!$E58*$K$2</f>
        <v>0.86333571569437506</v>
      </c>
      <c r="F58" s="19">
        <f t="shared" si="4"/>
        <v>86.157006862741198</v>
      </c>
      <c r="G58" s="1">
        <v>52</v>
      </c>
      <c r="H58" s="191" t="s">
        <v>1741</v>
      </c>
      <c r="I58" s="171">
        <v>7327</v>
      </c>
      <c r="J58" s="116" t="s">
        <v>1742</v>
      </c>
      <c r="K58" s="116" t="s">
        <v>1743</v>
      </c>
      <c r="L58" s="116" t="s">
        <v>291</v>
      </c>
      <c r="M58" s="118">
        <v>23195</v>
      </c>
      <c r="N58" s="117"/>
      <c r="O58" s="126" t="s">
        <v>1689</v>
      </c>
      <c r="P58" s="118">
        <v>42414</v>
      </c>
      <c r="Q58" s="117"/>
    </row>
    <row r="59" spans="1:17">
      <c r="A59" s="1">
        <v>53</v>
      </c>
      <c r="B59" s="191" t="s">
        <v>1744</v>
      </c>
      <c r="C59" s="25">
        <f t="shared" si="1"/>
        <v>117.01666666666667</v>
      </c>
      <c r="D59" s="25">
        <f t="shared" si="3"/>
        <v>106.47591399021516</v>
      </c>
      <c r="E59" s="246">
        <f>H.Marathon!$E59*(1-$K$2)+Marathon!$E59*$K$2</f>
        <v>0.85308808282857918</v>
      </c>
      <c r="F59" s="19">
        <f t="shared" si="4"/>
        <v>90.992092855902428</v>
      </c>
      <c r="G59" s="1">
        <v>53</v>
      </c>
      <c r="H59" s="191" t="s">
        <v>1744</v>
      </c>
      <c r="I59" s="171">
        <v>7021</v>
      </c>
      <c r="J59" s="116" t="s">
        <v>341</v>
      </c>
      <c r="K59" s="116" t="s">
        <v>342</v>
      </c>
      <c r="L59" s="116" t="s">
        <v>241</v>
      </c>
      <c r="M59" s="118">
        <v>20956</v>
      </c>
      <c r="N59" s="117" t="s">
        <v>1745</v>
      </c>
      <c r="O59" s="126" t="s">
        <v>1746</v>
      </c>
      <c r="P59" s="118">
        <v>40461</v>
      </c>
      <c r="Q59" s="117"/>
    </row>
    <row r="60" spans="1:17">
      <c r="A60" s="1">
        <v>54</v>
      </c>
      <c r="B60" s="191" t="s">
        <v>1747</v>
      </c>
      <c r="C60" s="25">
        <f t="shared" si="1"/>
        <v>122.18333333333334</v>
      </c>
      <c r="D60" s="25">
        <f t="shared" si="3"/>
        <v>107.78368775576151</v>
      </c>
      <c r="E60" s="246">
        <f>H.Marathon!$E60*(1-$K$2)+Marathon!$E60*$K$2</f>
        <v>0.84273729378384443</v>
      </c>
      <c r="F60" s="19">
        <f t="shared" si="4"/>
        <v>88.214721938967273</v>
      </c>
      <c r="G60" s="1">
        <v>54</v>
      </c>
      <c r="H60" s="191" t="s">
        <v>1747</v>
      </c>
      <c r="I60" s="171">
        <v>7331</v>
      </c>
      <c r="J60" s="116" t="s">
        <v>1748</v>
      </c>
      <c r="K60" s="116" t="s">
        <v>1749</v>
      </c>
      <c r="L60" s="116" t="s">
        <v>291</v>
      </c>
      <c r="M60" s="118">
        <v>16420</v>
      </c>
      <c r="N60" s="117"/>
      <c r="O60" s="126" t="s">
        <v>1689</v>
      </c>
      <c r="P60" s="118">
        <v>36212</v>
      </c>
      <c r="Q60" s="117"/>
    </row>
    <row r="61" spans="1:17">
      <c r="A61" s="1">
        <v>55</v>
      </c>
      <c r="B61" s="191" t="s">
        <v>1750</v>
      </c>
      <c r="C61" s="25">
        <f t="shared" si="1"/>
        <v>134.81666666666666</v>
      </c>
      <c r="D61" s="25">
        <f t="shared" si="3"/>
        <v>109.15708084609395</v>
      </c>
      <c r="E61" s="246">
        <f>H.Marathon!$E61*(1-$K$2)+Marathon!$E61*$K$2</f>
        <v>0.83213413760490562</v>
      </c>
      <c r="F61" s="19">
        <f t="shared" si="4"/>
        <v>80.967052179078209</v>
      </c>
      <c r="G61" s="1">
        <v>55</v>
      </c>
      <c r="H61" s="191" t="s">
        <v>1750</v>
      </c>
      <c r="I61" s="171">
        <v>8089</v>
      </c>
      <c r="J61" s="117" t="s">
        <v>1280</v>
      </c>
      <c r="K61" s="117" t="s">
        <v>1281</v>
      </c>
      <c r="L61" s="117" t="s">
        <v>241</v>
      </c>
      <c r="M61" s="118">
        <v>14464</v>
      </c>
      <c r="N61" s="117" t="s">
        <v>1733</v>
      </c>
      <c r="O61" s="171" t="s">
        <v>1734</v>
      </c>
      <c r="P61" s="118">
        <v>34651</v>
      </c>
      <c r="Q61" s="117"/>
    </row>
    <row r="62" spans="1:17">
      <c r="A62" s="1">
        <v>56</v>
      </c>
      <c r="B62" s="191" t="s">
        <v>1751</v>
      </c>
      <c r="C62" s="25">
        <f t="shared" si="1"/>
        <v>133.46666666666667</v>
      </c>
      <c r="D62" s="25">
        <f t="shared" si="3"/>
        <v>110.57297384624586</v>
      </c>
      <c r="E62" s="246">
        <f>H.Marathon!$E62*(1-$K$2)+Marathon!$E62*$K$2</f>
        <v>0.8214786142917625</v>
      </c>
      <c r="F62" s="19">
        <f t="shared" si="4"/>
        <v>82.846883501183214</v>
      </c>
      <c r="G62" s="1">
        <v>56</v>
      </c>
      <c r="H62" s="191" t="s">
        <v>1751</v>
      </c>
      <c r="I62" s="171">
        <v>8008</v>
      </c>
      <c r="J62" s="116" t="s">
        <v>1280</v>
      </c>
      <c r="K62" s="116" t="s">
        <v>1281</v>
      </c>
      <c r="L62" s="116" t="s">
        <v>241</v>
      </c>
      <c r="M62" s="118">
        <v>14464</v>
      </c>
      <c r="N62" s="117" t="s">
        <v>1733</v>
      </c>
      <c r="O62" s="126" t="s">
        <v>1734</v>
      </c>
      <c r="P62" s="118">
        <v>35015</v>
      </c>
      <c r="Q62" s="117"/>
    </row>
    <row r="63" spans="1:17">
      <c r="A63" s="1">
        <v>57</v>
      </c>
      <c r="B63" s="191" t="s">
        <v>1752</v>
      </c>
      <c r="C63" s="25">
        <f t="shared" si="1"/>
        <v>131.94999999999999</v>
      </c>
      <c r="D63" s="25">
        <f t="shared" si="3"/>
        <v>112.03288064819866</v>
      </c>
      <c r="E63" s="246">
        <f>H.Marathon!$E63*(1-$K$2)+Marathon!$E63*$K$2</f>
        <v>0.81077388002335393</v>
      </c>
      <c r="F63" s="19">
        <f t="shared" si="4"/>
        <v>84.905555625766326</v>
      </c>
      <c r="G63" s="1">
        <v>57</v>
      </c>
      <c r="H63" s="191" t="s">
        <v>1752</v>
      </c>
      <c r="I63" s="171">
        <v>7917</v>
      </c>
      <c r="J63" s="116" t="s">
        <v>1328</v>
      </c>
      <c r="K63" s="116" t="s">
        <v>1753</v>
      </c>
      <c r="L63" s="116" t="s">
        <v>241</v>
      </c>
      <c r="M63" s="118">
        <v>19118</v>
      </c>
      <c r="N63" s="117" t="s">
        <v>1733</v>
      </c>
      <c r="O63" s="126" t="s">
        <v>1734</v>
      </c>
      <c r="P63" s="118">
        <v>40125</v>
      </c>
      <c r="Q63" s="117"/>
    </row>
    <row r="64" spans="1:17">
      <c r="A64" s="1">
        <v>58</v>
      </c>
      <c r="B64" s="191" t="s">
        <v>1754</v>
      </c>
      <c r="C64" s="25">
        <f t="shared" si="1"/>
        <v>133.63333333333333</v>
      </c>
      <c r="D64" s="25">
        <f t="shared" si="3"/>
        <v>113.52487112882429</v>
      </c>
      <c r="E64" s="246">
        <f>H.Marathon!$E64*(1-$K$2)+Marathon!$E64*$K$2</f>
        <v>0.80011835671021081</v>
      </c>
      <c r="F64" s="19">
        <f t="shared" si="4"/>
        <v>84.952510198671206</v>
      </c>
      <c r="G64" s="1">
        <v>58</v>
      </c>
      <c r="H64" s="191" t="s">
        <v>1754</v>
      </c>
      <c r="I64" s="171">
        <v>8018</v>
      </c>
      <c r="J64" s="116" t="s">
        <v>1280</v>
      </c>
      <c r="K64" s="116" t="s">
        <v>1281</v>
      </c>
      <c r="L64" s="116" t="s">
        <v>241</v>
      </c>
      <c r="M64" s="118">
        <v>14464</v>
      </c>
      <c r="N64" s="117" t="s">
        <v>1733</v>
      </c>
      <c r="O64" s="126" t="s">
        <v>1734</v>
      </c>
      <c r="P64" s="118">
        <v>35750</v>
      </c>
      <c r="Q64" s="117"/>
    </row>
    <row r="65" spans="1:17">
      <c r="A65" s="1">
        <v>59</v>
      </c>
      <c r="B65" s="191" t="s">
        <v>1755</v>
      </c>
      <c r="C65" s="25">
        <f t="shared" si="1"/>
        <v>136.13333333333333</v>
      </c>
      <c r="D65" s="25">
        <f t="shared" si="3"/>
        <v>115.06430944574916</v>
      </c>
      <c r="E65" s="246">
        <f>H.Marathon!$E65*(1-$K$2)+Marathon!$E65*$K$2</f>
        <v>0.78941362244180235</v>
      </c>
      <c r="F65" s="19">
        <f t="shared" si="4"/>
        <v>84.523243961128173</v>
      </c>
      <c r="G65" s="1">
        <v>59</v>
      </c>
      <c r="H65" s="191" t="s">
        <v>1755</v>
      </c>
      <c r="I65" s="171">
        <v>8168</v>
      </c>
      <c r="J65" s="117" t="s">
        <v>1280</v>
      </c>
      <c r="K65" s="117" t="s">
        <v>1281</v>
      </c>
      <c r="L65" s="117" t="s">
        <v>241</v>
      </c>
      <c r="M65" s="118">
        <v>14464</v>
      </c>
      <c r="N65" s="117" t="s">
        <v>1733</v>
      </c>
      <c r="O65" s="171" t="s">
        <v>1734</v>
      </c>
      <c r="P65" s="118">
        <v>36114</v>
      </c>
      <c r="Q65" s="117"/>
    </row>
    <row r="66" spans="1:17" ht="15.75">
      <c r="A66" s="1">
        <v>60</v>
      </c>
      <c r="B66" s="191" t="s">
        <v>1756</v>
      </c>
      <c r="C66" s="25">
        <f t="shared" si="1"/>
        <v>119.51666666666667</v>
      </c>
      <c r="D66" s="25">
        <f t="shared" si="3"/>
        <v>116.63870133095938</v>
      </c>
      <c r="E66" s="246">
        <f>H.Marathon!$E66*(1-$K$2)+Marathon!$E66*$K$2</f>
        <v>0.77875809912865923</v>
      </c>
      <c r="F66" s="19">
        <f t="shared" si="4"/>
        <v>97.591996651200148</v>
      </c>
      <c r="G66" s="1">
        <v>60</v>
      </c>
      <c r="H66" s="191" t="s">
        <v>1756</v>
      </c>
      <c r="I66" s="171">
        <v>7171</v>
      </c>
      <c r="J66" s="126" t="s">
        <v>1055</v>
      </c>
      <c r="K66" s="126" t="s">
        <v>1056</v>
      </c>
      <c r="L66" s="126" t="s">
        <v>241</v>
      </c>
      <c r="M66" s="170">
        <v>23193</v>
      </c>
      <c r="N66" s="196" t="s">
        <v>1685</v>
      </c>
      <c r="O66" s="196" t="s">
        <v>891</v>
      </c>
      <c r="P66" s="197">
        <v>45207</v>
      </c>
      <c r="Q66" s="117"/>
    </row>
    <row r="67" spans="1:17">
      <c r="A67" s="1">
        <v>61</v>
      </c>
      <c r="B67" s="191" t="s">
        <v>1757</v>
      </c>
      <c r="C67" s="25">
        <f t="shared" si="1"/>
        <v>144.69999999999999</v>
      </c>
      <c r="D67" s="25">
        <f t="shared" si="3"/>
        <v>118.26435178740567</v>
      </c>
      <c r="E67" s="246">
        <f>H.Marathon!$E67*(1-$K$2)+Marathon!$E67*$K$2</f>
        <v>0.76805336486025078</v>
      </c>
      <c r="F67" s="19">
        <f t="shared" si="4"/>
        <v>81.730719963652859</v>
      </c>
      <c r="G67" s="1">
        <v>61</v>
      </c>
      <c r="H67" s="191" t="s">
        <v>1757</v>
      </c>
      <c r="I67" s="171">
        <v>8682</v>
      </c>
      <c r="J67" s="116" t="s">
        <v>847</v>
      </c>
      <c r="K67" s="116" t="s">
        <v>1778</v>
      </c>
      <c r="L67" s="116" t="s">
        <v>288</v>
      </c>
      <c r="M67" s="118">
        <v>19618</v>
      </c>
      <c r="N67" s="117"/>
      <c r="O67" s="126" t="s">
        <v>1779</v>
      </c>
      <c r="P67" s="118">
        <v>42085</v>
      </c>
      <c r="Q67" s="117"/>
    </row>
    <row r="68" spans="1:17">
      <c r="A68" s="1">
        <v>62</v>
      </c>
      <c r="B68" s="191" t="s">
        <v>1758</v>
      </c>
      <c r="C68" s="25">
        <f t="shared" si="1"/>
        <v>140.33333333333334</v>
      </c>
      <c r="D68" s="25">
        <f t="shared" si="3"/>
        <v>119.92816502855561</v>
      </c>
      <c r="E68" s="246">
        <f>H.Marathon!$E68*(1-$K$2)+Marathon!$E68*$K$2</f>
        <v>0.75739784154710765</v>
      </c>
      <c r="F68" s="19">
        <f t="shared" si="4"/>
        <v>85.459500020348415</v>
      </c>
      <c r="G68" s="1">
        <v>62</v>
      </c>
      <c r="H68" s="191" t="s">
        <v>1758</v>
      </c>
      <c r="I68" s="171">
        <v>8420</v>
      </c>
      <c r="J68" s="116" t="s">
        <v>847</v>
      </c>
      <c r="K68" s="116" t="s">
        <v>1778</v>
      </c>
      <c r="L68" s="116" t="s">
        <v>288</v>
      </c>
      <c r="M68" s="118">
        <v>19618</v>
      </c>
      <c r="N68" s="117"/>
      <c r="O68" s="126" t="s">
        <v>1779</v>
      </c>
      <c r="P68" s="118">
        <v>42434</v>
      </c>
      <c r="Q68" s="117"/>
    </row>
    <row r="69" spans="1:17">
      <c r="A69" s="1">
        <v>63</v>
      </c>
      <c r="B69" s="191" t="s">
        <v>1759</v>
      </c>
      <c r="C69" s="25">
        <f t="shared" si="1"/>
        <v>143.5</v>
      </c>
      <c r="D69" s="25">
        <f t="shared" si="3"/>
        <v>121.64747799048627</v>
      </c>
      <c r="E69" s="246">
        <f>H.Marathon!$E69*(1-$K$2)+Marathon!$E69*$K$2</f>
        <v>0.74669310727869909</v>
      </c>
      <c r="F69" s="19">
        <f t="shared" si="4"/>
        <v>84.771761665844096</v>
      </c>
      <c r="G69" s="1">
        <v>63</v>
      </c>
      <c r="H69" s="191" t="s">
        <v>1759</v>
      </c>
      <c r="I69" s="171">
        <v>8610</v>
      </c>
      <c r="J69" s="116" t="s">
        <v>898</v>
      </c>
      <c r="K69" s="116" t="s">
        <v>1780</v>
      </c>
      <c r="L69" s="116" t="s">
        <v>288</v>
      </c>
      <c r="M69" s="118">
        <v>19269</v>
      </c>
      <c r="N69" s="117"/>
      <c r="O69" s="126" t="s">
        <v>1781</v>
      </c>
      <c r="P69" s="118">
        <v>42379</v>
      </c>
      <c r="Q69" s="117"/>
    </row>
    <row r="70" spans="1:17">
      <c r="A70" s="1">
        <v>64</v>
      </c>
      <c r="B70" s="191" t="s">
        <v>1760</v>
      </c>
      <c r="C70" s="25">
        <f t="shared" si="1"/>
        <v>166.16666666666666</v>
      </c>
      <c r="D70" s="25">
        <f t="shared" si="3"/>
        <v>123.40855319364238</v>
      </c>
      <c r="E70" s="246">
        <f>H.Marathon!$E70*(1-$K$2)+Marathon!$E70*$K$2</f>
        <v>0.73603758396555607</v>
      </c>
      <c r="F70" s="19">
        <f t="shared" si="4"/>
        <v>74.267935723355492</v>
      </c>
      <c r="G70" s="1">
        <v>64</v>
      </c>
      <c r="H70" s="191" t="s">
        <v>1760</v>
      </c>
      <c r="I70" s="171">
        <v>9970</v>
      </c>
      <c r="J70" s="117" t="s">
        <v>306</v>
      </c>
      <c r="K70" s="117" t="s">
        <v>1782</v>
      </c>
      <c r="L70" s="117" t="s">
        <v>241</v>
      </c>
      <c r="M70" s="118">
        <v>8891</v>
      </c>
      <c r="N70" s="117" t="s">
        <v>1733</v>
      </c>
      <c r="O70" s="126" t="s">
        <v>1734</v>
      </c>
      <c r="P70" s="118">
        <v>32460</v>
      </c>
      <c r="Q70" s="117"/>
    </row>
    <row r="71" spans="1:17">
      <c r="A71" s="1">
        <v>65</v>
      </c>
      <c r="B71" s="191" t="s">
        <v>1761</v>
      </c>
      <c r="C71" s="25">
        <f t="shared" si="1"/>
        <v>147.9</v>
      </c>
      <c r="D71" s="25">
        <f t="shared" si="3"/>
        <v>125.22986291226091</v>
      </c>
      <c r="E71" s="246">
        <f>H.Marathon!$E71*(1-$K$2)+Marathon!$E71*$K$2</f>
        <v>0.72533284969714762</v>
      </c>
      <c r="F71" s="19">
        <f t="shared" si="4"/>
        <v>84.671983037363702</v>
      </c>
      <c r="G71" s="1">
        <v>65</v>
      </c>
      <c r="H71" s="191" t="s">
        <v>1761</v>
      </c>
      <c r="I71" s="171">
        <v>8874</v>
      </c>
      <c r="J71" s="116" t="s">
        <v>1280</v>
      </c>
      <c r="K71" s="116" t="s">
        <v>1281</v>
      </c>
      <c r="L71" s="116" t="s">
        <v>241</v>
      </c>
      <c r="M71" s="118">
        <v>14464</v>
      </c>
      <c r="N71" s="117" t="s">
        <v>1733</v>
      </c>
      <c r="O71" s="126" t="s">
        <v>1734</v>
      </c>
      <c r="P71" s="118">
        <v>38305</v>
      </c>
      <c r="Q71" s="117"/>
    </row>
    <row r="72" spans="1:17">
      <c r="A72" s="1">
        <v>66</v>
      </c>
      <c r="B72" s="191" t="s">
        <v>1762</v>
      </c>
      <c r="C72" s="25">
        <f t="shared" si="1"/>
        <v>152.53333333333333</v>
      </c>
      <c r="D72" s="25">
        <f t="shared" si="3"/>
        <v>127.09698486296672</v>
      </c>
      <c r="E72" s="246">
        <f>H.Marathon!$E72*(1-$K$2)+Marathon!$E72*$K$2</f>
        <v>0.7146773263840045</v>
      </c>
      <c r="F72" s="19">
        <f t="shared" si="4"/>
        <v>83.324072244077826</v>
      </c>
      <c r="G72" s="1">
        <v>66</v>
      </c>
      <c r="H72" s="191" t="s">
        <v>1762</v>
      </c>
      <c r="I72" s="171">
        <v>9152</v>
      </c>
      <c r="J72" s="116" t="s">
        <v>1280</v>
      </c>
      <c r="K72" s="116" t="s">
        <v>1281</v>
      </c>
      <c r="L72" s="116" t="s">
        <v>241</v>
      </c>
      <c r="M72" s="118">
        <v>14464</v>
      </c>
      <c r="N72" s="117" t="s">
        <v>1733</v>
      </c>
      <c r="O72" s="126" t="s">
        <v>1734</v>
      </c>
      <c r="P72" s="118">
        <v>38669</v>
      </c>
      <c r="Q72" s="117"/>
    </row>
    <row r="73" spans="1:17">
      <c r="A73" s="1">
        <v>67</v>
      </c>
      <c r="B73" s="191" t="s">
        <v>1763</v>
      </c>
      <c r="C73" s="25">
        <f t="shared" si="1"/>
        <v>178.1</v>
      </c>
      <c r="D73" s="25">
        <f t="shared" si="3"/>
        <v>129.02964454959638</v>
      </c>
      <c r="E73" s="246">
        <f>H.Marathon!$E73*(1-$K$2)+Marathon!$E73*$K$2</f>
        <v>0.70397259211559593</v>
      </c>
      <c r="F73" s="19">
        <f t="shared" si="4"/>
        <v>72.447863306904196</v>
      </c>
      <c r="G73" s="1">
        <v>67</v>
      </c>
      <c r="H73" s="191" t="s">
        <v>1763</v>
      </c>
      <c r="I73" s="171">
        <v>10686</v>
      </c>
      <c r="J73" s="117" t="s">
        <v>1458</v>
      </c>
      <c r="K73" s="117" t="s">
        <v>1783</v>
      </c>
      <c r="L73" s="117" t="s">
        <v>241</v>
      </c>
      <c r="M73" s="118">
        <v>7758</v>
      </c>
      <c r="N73" s="117" t="s">
        <v>1733</v>
      </c>
      <c r="O73" s="126" t="s">
        <v>1734</v>
      </c>
      <c r="P73" s="118">
        <v>32460</v>
      </c>
      <c r="Q73" s="117"/>
    </row>
    <row r="74" spans="1:17">
      <c r="A74" s="1">
        <v>68</v>
      </c>
      <c r="B74" s="191" t="s">
        <v>1764</v>
      </c>
      <c r="C74" s="25">
        <f t="shared" si="1"/>
        <v>158.76666666666668</v>
      </c>
      <c r="D74" s="25">
        <f t="shared" si="3"/>
        <v>131.01268874027178</v>
      </c>
      <c r="E74" s="246">
        <f>H.Marathon!$E74*(1-$K$2)+Marathon!$E74*$K$2</f>
        <v>0.69331706880245281</v>
      </c>
      <c r="F74" s="19">
        <f t="shared" si="4"/>
        <v>82.519014533028624</v>
      </c>
      <c r="G74" s="1">
        <v>68</v>
      </c>
      <c r="H74" s="191" t="s">
        <v>1764</v>
      </c>
      <c r="I74" s="171">
        <v>9526</v>
      </c>
      <c r="J74" s="116" t="s">
        <v>1784</v>
      </c>
      <c r="K74" s="116" t="s">
        <v>1785</v>
      </c>
      <c r="L74" s="116" t="s">
        <v>241</v>
      </c>
      <c r="M74" s="118">
        <v>11886</v>
      </c>
      <c r="N74" s="117" t="s">
        <v>1733</v>
      </c>
      <c r="O74" s="126" t="s">
        <v>1734</v>
      </c>
      <c r="P74" s="118">
        <v>36842</v>
      </c>
      <c r="Q74" s="117"/>
    </row>
    <row r="75" spans="1:17">
      <c r="A75" s="1">
        <v>69</v>
      </c>
      <c r="B75" s="191" t="s">
        <v>1765</v>
      </c>
      <c r="C75" s="25">
        <f t="shared" si="1"/>
        <v>165.63333333333333</v>
      </c>
      <c r="D75" s="25">
        <f t="shared" ref="D75:D106" si="5">E$4/E75</f>
        <v>133.06723119109293</v>
      </c>
      <c r="E75" s="246">
        <f>H.Marathon!$E75*(1-$K$2)+Marathon!$E75*$K$2</f>
        <v>0.68261233453404435</v>
      </c>
      <c r="F75" s="19">
        <f t="shared" si="4"/>
        <v>80.338437024205831</v>
      </c>
      <c r="G75" s="1">
        <v>69</v>
      </c>
      <c r="H75" s="191" t="s">
        <v>1765</v>
      </c>
      <c r="I75" s="171">
        <v>9938</v>
      </c>
      <c r="J75" s="116" t="s">
        <v>1784</v>
      </c>
      <c r="K75" s="116" t="s">
        <v>1785</v>
      </c>
      <c r="L75" s="116" t="s">
        <v>241</v>
      </c>
      <c r="M75" s="118">
        <v>11886</v>
      </c>
      <c r="N75" s="117" t="s">
        <v>1733</v>
      </c>
      <c r="O75" s="126" t="s">
        <v>1734</v>
      </c>
      <c r="P75" s="118">
        <v>37206</v>
      </c>
      <c r="Q75" s="117"/>
    </row>
    <row r="76" spans="1:17">
      <c r="A76" s="1">
        <v>70</v>
      </c>
      <c r="B76" s="191" t="s">
        <v>1766</v>
      </c>
      <c r="C76" s="25">
        <f t="shared" si="1"/>
        <v>142.48333333333335</v>
      </c>
      <c r="D76" s="25">
        <f t="shared" si="5"/>
        <v>135.17733850825201</v>
      </c>
      <c r="E76" s="246">
        <f>H.Marathon!$E76*(1-$K$2)+Marathon!$E76*$K$2</f>
        <v>0.67195681122090112</v>
      </c>
      <c r="F76" s="19">
        <f t="shared" ref="F76:F81" si="6">100*(D76/C76)</f>
        <v>94.872386366769447</v>
      </c>
      <c r="G76" s="1">
        <v>70</v>
      </c>
      <c r="H76" s="191" t="s">
        <v>1766</v>
      </c>
      <c r="I76" s="171">
        <v>8549</v>
      </c>
      <c r="J76" s="116" t="s">
        <v>382</v>
      </c>
      <c r="K76" s="116" t="s">
        <v>383</v>
      </c>
      <c r="L76" s="116" t="s">
        <v>241</v>
      </c>
      <c r="M76" s="118">
        <v>17637</v>
      </c>
      <c r="N76" s="117" t="s">
        <v>1786</v>
      </c>
      <c r="O76" s="126" t="s">
        <v>891</v>
      </c>
      <c r="P76" s="118">
        <v>43380</v>
      </c>
      <c r="Q76" s="117"/>
    </row>
    <row r="77" spans="1:17">
      <c r="A77" s="1">
        <v>71</v>
      </c>
      <c r="B77" s="191" t="s">
        <v>1767</v>
      </c>
      <c r="C77" s="25">
        <f t="shared" ref="C77:C89" si="7">B77*1440</f>
        <v>194.79999999999998</v>
      </c>
      <c r="D77" s="25">
        <f t="shared" si="5"/>
        <v>137.3656681003653</v>
      </c>
      <c r="E77" s="246">
        <f>H.Marathon!$E77*(1-$K$2)+Marathon!$E77*$K$2</f>
        <v>0.66125207695249277</v>
      </c>
      <c r="F77" s="19">
        <f t="shared" si="6"/>
        <v>70.516256725033514</v>
      </c>
      <c r="G77" s="1">
        <v>71</v>
      </c>
      <c r="H77" s="191" t="s">
        <v>1767</v>
      </c>
      <c r="I77" s="171">
        <v>11688</v>
      </c>
      <c r="J77" s="116" t="s">
        <v>1469</v>
      </c>
      <c r="K77" s="116" t="s">
        <v>1470</v>
      </c>
      <c r="L77" s="116" t="s">
        <v>241</v>
      </c>
      <c r="M77" s="118">
        <v>8453</v>
      </c>
      <c r="N77" s="117" t="s">
        <v>1787</v>
      </c>
      <c r="O77" s="126" t="s">
        <v>1788</v>
      </c>
      <c r="P77" s="118">
        <v>34420</v>
      </c>
      <c r="Q77" s="117"/>
    </row>
    <row r="78" spans="1:17">
      <c r="A78" s="1">
        <v>72</v>
      </c>
      <c r="B78" s="191" t="s">
        <v>1768</v>
      </c>
      <c r="C78" s="25">
        <f t="shared" si="7"/>
        <v>171.41666666666666</v>
      </c>
      <c r="D78" s="25">
        <f t="shared" si="5"/>
        <v>139.61545419388392</v>
      </c>
      <c r="E78" s="246">
        <f>H.Marathon!$E78*(1-$K$2)+Marathon!$E78*$K$2</f>
        <v>0.65059655363934954</v>
      </c>
      <c r="F78" s="19">
        <f t="shared" si="6"/>
        <v>81.448004391181684</v>
      </c>
      <c r="G78" s="1">
        <v>72</v>
      </c>
      <c r="H78" s="191" t="s">
        <v>1768</v>
      </c>
      <c r="I78" s="171">
        <v>10285</v>
      </c>
      <c r="J78" s="116" t="s">
        <v>1784</v>
      </c>
      <c r="K78" s="116" t="s">
        <v>1785</v>
      </c>
      <c r="L78" s="116" t="s">
        <v>241</v>
      </c>
      <c r="M78" s="118">
        <v>11886</v>
      </c>
      <c r="N78" s="117" t="s">
        <v>1733</v>
      </c>
      <c r="O78" s="126" t="s">
        <v>1734</v>
      </c>
      <c r="P78" s="118">
        <v>38305</v>
      </c>
      <c r="Q78" s="117"/>
    </row>
    <row r="79" spans="1:17">
      <c r="A79" s="1">
        <v>73</v>
      </c>
      <c r="B79" s="191" t="s">
        <v>1769</v>
      </c>
      <c r="C79" s="25">
        <f t="shared" si="7"/>
        <v>273.28333333333336</v>
      </c>
      <c r="D79" s="25">
        <f t="shared" si="5"/>
        <v>141.95107764095022</v>
      </c>
      <c r="E79" s="246">
        <f>H.Marathon!$E79*(1-$K$2)+Marathon!$E79*$K$2</f>
        <v>0.63989181937094108</v>
      </c>
      <c r="F79" s="19">
        <f t="shared" si="6"/>
        <v>51.942822824034963</v>
      </c>
      <c r="G79" s="1">
        <v>73</v>
      </c>
      <c r="H79" s="191" t="s">
        <v>1769</v>
      </c>
      <c r="I79" s="171">
        <v>16397</v>
      </c>
      <c r="J79" s="116" t="s">
        <v>1789</v>
      </c>
      <c r="K79" s="116" t="s">
        <v>1790</v>
      </c>
      <c r="L79" s="116" t="s">
        <v>241</v>
      </c>
      <c r="M79" s="118"/>
      <c r="N79" s="117" t="s">
        <v>1733</v>
      </c>
      <c r="O79" s="126" t="s">
        <v>1734</v>
      </c>
      <c r="P79" s="118">
        <v>33923</v>
      </c>
      <c r="Q79" s="117"/>
    </row>
    <row r="80" spans="1:17">
      <c r="A80" s="1">
        <v>74</v>
      </c>
      <c r="B80" s="191" t="s">
        <v>1770</v>
      </c>
      <c r="C80" s="25">
        <f t="shared" si="7"/>
        <v>212.23333333333335</v>
      </c>
      <c r="D80" s="25">
        <f t="shared" si="5"/>
        <v>144.35488528301605</v>
      </c>
      <c r="E80" s="246">
        <f>H.Marathon!$E80*(1-$K$2)+Marathon!$E80*$K$2</f>
        <v>0.62923629605779796</v>
      </c>
      <c r="F80" s="19">
        <f t="shared" si="6"/>
        <v>68.017065470244717</v>
      </c>
      <c r="G80" s="1">
        <v>74</v>
      </c>
      <c r="H80" s="191" t="s">
        <v>1770</v>
      </c>
      <c r="I80" s="171">
        <v>12734</v>
      </c>
      <c r="J80" s="116" t="s">
        <v>309</v>
      </c>
      <c r="K80" s="116" t="s">
        <v>1791</v>
      </c>
      <c r="L80" s="116" t="s">
        <v>241</v>
      </c>
      <c r="M80" s="118">
        <v>8805</v>
      </c>
      <c r="N80" s="117" t="s">
        <v>1792</v>
      </c>
      <c r="O80" s="126" t="s">
        <v>800</v>
      </c>
      <c r="P80" s="118">
        <v>36037</v>
      </c>
      <c r="Q80" s="117"/>
    </row>
    <row r="81" spans="1:17" ht="15.75">
      <c r="A81" s="1">
        <v>75</v>
      </c>
      <c r="B81" s="191" t="s">
        <v>1771</v>
      </c>
      <c r="C81" s="25">
        <f t="shared" si="7"/>
        <v>146.85</v>
      </c>
      <c r="D81" s="25">
        <f t="shared" si="5"/>
        <v>146.85319059637922</v>
      </c>
      <c r="E81" s="246">
        <f>H.Marathon!$E81*(1-$K$2)+Marathon!$E81*$K$2</f>
        <v>0.61853156178938962</v>
      </c>
      <c r="F81" s="19">
        <f t="shared" si="6"/>
        <v>100.00217269075875</v>
      </c>
      <c r="G81" s="1">
        <v>75</v>
      </c>
      <c r="H81" s="191" t="s">
        <v>1771</v>
      </c>
      <c r="I81" s="171">
        <v>8811</v>
      </c>
      <c r="J81" s="198" t="s">
        <v>382</v>
      </c>
      <c r="K81" s="198" t="s">
        <v>925</v>
      </c>
      <c r="L81" s="198" t="s">
        <v>241</v>
      </c>
      <c r="M81" s="199">
        <v>17637</v>
      </c>
      <c r="N81" s="196" t="s">
        <v>1685</v>
      </c>
      <c r="O81" s="196" t="s">
        <v>891</v>
      </c>
      <c r="P81" s="197">
        <v>45207</v>
      </c>
      <c r="Q81" s="117"/>
    </row>
    <row r="82" spans="1:17" ht="15.75">
      <c r="A82" s="1">
        <v>76</v>
      </c>
      <c r="B82" s="191"/>
      <c r="C82" s="25"/>
      <c r="D82" s="25">
        <f t="shared" si="5"/>
        <v>149.47618746709324</v>
      </c>
      <c r="E82" s="246">
        <f>H.Marathon!$E82*(1-$K$2)+Marathon!$E82*$K$2</f>
        <v>0.60767761656571584</v>
      </c>
      <c r="F82" s="19"/>
      <c r="G82" s="1">
        <v>76</v>
      </c>
      <c r="H82" s="191"/>
      <c r="I82" s="171"/>
      <c r="J82" s="198"/>
      <c r="K82" s="198"/>
      <c r="L82" s="198"/>
      <c r="M82" s="199"/>
      <c r="N82" s="196"/>
      <c r="O82" s="196"/>
      <c r="P82" s="197"/>
      <c r="Q82" s="117"/>
    </row>
    <row r="83" spans="1:17">
      <c r="A83" s="1">
        <v>77</v>
      </c>
      <c r="B83" s="191" t="s">
        <v>1772</v>
      </c>
      <c r="C83" s="25">
        <f t="shared" si="7"/>
        <v>217.86666666666665</v>
      </c>
      <c r="D83" s="25">
        <f t="shared" si="5"/>
        <v>152.42484606932501</v>
      </c>
      <c r="E83" s="246">
        <f>H.Marathon!$E83*(1-$K$2)+Marathon!$E83*$K$2</f>
        <v>0.59592209325257273</v>
      </c>
      <c r="F83" s="19">
        <f>100*(D83/C83)</f>
        <v>69.962444646263023</v>
      </c>
      <c r="G83" s="1">
        <v>77</v>
      </c>
      <c r="H83" s="191" t="s">
        <v>1772</v>
      </c>
      <c r="I83" s="171">
        <v>13072</v>
      </c>
      <c r="J83" s="116" t="s">
        <v>1620</v>
      </c>
      <c r="K83" s="116" t="s">
        <v>1793</v>
      </c>
      <c r="L83" s="116" t="s">
        <v>241</v>
      </c>
      <c r="M83" s="118">
        <v>7742</v>
      </c>
      <c r="N83" s="117" t="s">
        <v>1794</v>
      </c>
      <c r="O83" s="126" t="s">
        <v>1513</v>
      </c>
      <c r="P83" s="118">
        <v>35938</v>
      </c>
      <c r="Q83" s="117"/>
    </row>
    <row r="84" spans="1:17">
      <c r="A84" s="1">
        <v>78</v>
      </c>
      <c r="B84" s="191" t="s">
        <v>1773</v>
      </c>
      <c r="C84" s="25">
        <f t="shared" si="7"/>
        <v>234.7</v>
      </c>
      <c r="D84" s="25">
        <f t="shared" si="5"/>
        <v>155.75923555559294</v>
      </c>
      <c r="E84" s="246">
        <f>H.Marathon!$E84*(1-$K$2)+Marathon!$E84*$K$2</f>
        <v>0.58316499184995996</v>
      </c>
      <c r="F84" s="19"/>
      <c r="G84" s="1">
        <v>78</v>
      </c>
      <c r="H84" s="191" t="s">
        <v>1773</v>
      </c>
      <c r="I84" s="171">
        <v>14082</v>
      </c>
      <c r="J84" s="116" t="s">
        <v>1620</v>
      </c>
      <c r="K84" s="116" t="s">
        <v>1793</v>
      </c>
      <c r="L84" s="116" t="s">
        <v>241</v>
      </c>
      <c r="M84" s="118">
        <v>7742</v>
      </c>
      <c r="N84" s="117" t="s">
        <v>1794</v>
      </c>
      <c r="O84" s="126" t="s">
        <v>1513</v>
      </c>
      <c r="P84" s="118">
        <v>36267</v>
      </c>
      <c r="Q84" s="117"/>
    </row>
    <row r="85" spans="1:17">
      <c r="A85" s="1">
        <v>79</v>
      </c>
      <c r="B85" s="191" t="s">
        <v>1774</v>
      </c>
      <c r="C85" s="25">
        <f t="shared" si="7"/>
        <v>244.4</v>
      </c>
      <c r="D85" s="25">
        <f t="shared" si="5"/>
        <v>159.49530858600986</v>
      </c>
      <c r="E85" s="246">
        <f>H.Marathon!$E85*(1-$K$2)+Marathon!$E85*$K$2</f>
        <v>0.56950473426840842</v>
      </c>
      <c r="F85" s="19"/>
      <c r="G85" s="1">
        <v>79</v>
      </c>
      <c r="H85" s="191" t="s">
        <v>1774</v>
      </c>
      <c r="I85" s="171">
        <v>14664</v>
      </c>
      <c r="J85" s="116" t="s">
        <v>1795</v>
      </c>
      <c r="K85" s="116" t="s">
        <v>391</v>
      </c>
      <c r="L85" s="116" t="s">
        <v>241</v>
      </c>
      <c r="M85" s="118">
        <v>3536</v>
      </c>
      <c r="N85" s="118" t="s">
        <v>1796</v>
      </c>
      <c r="O85" s="171" t="s">
        <v>1600</v>
      </c>
      <c r="P85" s="118">
        <v>32551</v>
      </c>
      <c r="Q85" s="117"/>
    </row>
    <row r="86" spans="1:17">
      <c r="A86" s="1">
        <v>80</v>
      </c>
      <c r="B86" s="191"/>
      <c r="C86" s="25"/>
      <c r="D86" s="25">
        <f t="shared" si="5"/>
        <v>163.69548560811592</v>
      </c>
      <c r="E86" s="246">
        <f>H.Marathon!$E86*(1-$K$2)+Marathon!$E86*$K$2</f>
        <v>0.55489210955265267</v>
      </c>
      <c r="F86" s="19"/>
      <c r="G86" s="1">
        <v>80</v>
      </c>
      <c r="H86" s="191"/>
      <c r="I86" s="171"/>
      <c r="J86" s="116"/>
      <c r="K86" s="116"/>
      <c r="L86" s="116"/>
      <c r="M86" s="118"/>
      <c r="N86" s="118"/>
      <c r="O86" s="171"/>
      <c r="P86" s="118"/>
      <c r="Q86" s="117"/>
    </row>
    <row r="87" spans="1:17">
      <c r="A87" s="1">
        <v>81</v>
      </c>
      <c r="B87" s="191" t="s">
        <v>1775</v>
      </c>
      <c r="C87" s="25">
        <f t="shared" si="7"/>
        <v>253.53333333333333</v>
      </c>
      <c r="D87" s="25">
        <f t="shared" si="5"/>
        <v>168.43510961014658</v>
      </c>
      <c r="E87" s="246">
        <f>H.Marathon!$E87*(1-$K$2)+Marathon!$E87*$K$2</f>
        <v>0.53927790674742737</v>
      </c>
      <c r="F87" s="19"/>
      <c r="G87" s="1">
        <v>81</v>
      </c>
      <c r="H87" s="191" t="s">
        <v>1775</v>
      </c>
      <c r="I87" s="171">
        <v>15212</v>
      </c>
      <c r="J87" s="116" t="s">
        <v>947</v>
      </c>
      <c r="K87" s="116" t="s">
        <v>1797</v>
      </c>
      <c r="L87" s="116" t="s">
        <v>241</v>
      </c>
      <c r="M87" s="118">
        <v>2649</v>
      </c>
      <c r="N87" s="117" t="s">
        <v>1798</v>
      </c>
      <c r="O87" s="126" t="s">
        <v>1734</v>
      </c>
      <c r="P87" s="118">
        <v>32460</v>
      </c>
      <c r="Q87" s="117"/>
    </row>
    <row r="88" spans="1:17">
      <c r="A88" s="1">
        <v>82</v>
      </c>
      <c r="B88" s="192" t="s">
        <v>1776</v>
      </c>
      <c r="C88" s="25">
        <f t="shared" si="7"/>
        <v>257.88333333333333</v>
      </c>
      <c r="D88" s="25">
        <f t="shared" si="5"/>
        <v>173.75705516030649</v>
      </c>
      <c r="E88" s="246">
        <f>H.Marathon!$E88*(1-$K$2)+Marathon!$E88*$K$2</f>
        <v>0.52276054776326308</v>
      </c>
      <c r="F88" s="19"/>
      <c r="G88" s="1">
        <v>82</v>
      </c>
      <c r="H88" s="192" t="s">
        <v>1776</v>
      </c>
      <c r="I88" s="171">
        <v>15473</v>
      </c>
      <c r="J88" s="116" t="s">
        <v>947</v>
      </c>
      <c r="K88" s="116" t="s">
        <v>1797</v>
      </c>
      <c r="L88" s="116" t="s">
        <v>241</v>
      </c>
      <c r="M88" s="118">
        <v>2649</v>
      </c>
      <c r="N88" s="117" t="s">
        <v>1798</v>
      </c>
      <c r="O88" s="126" t="s">
        <v>1734</v>
      </c>
      <c r="P88" s="118">
        <v>32824</v>
      </c>
      <c r="Q88" s="117"/>
    </row>
    <row r="89" spans="1:17">
      <c r="A89" s="1">
        <v>83</v>
      </c>
      <c r="B89" s="192" t="s">
        <v>1777</v>
      </c>
      <c r="C89" s="25">
        <f t="shared" si="7"/>
        <v>273.40000000000003</v>
      </c>
      <c r="D89" s="25">
        <f t="shared" si="5"/>
        <v>179.76446324047555</v>
      </c>
      <c r="E89" s="246">
        <f>H.Marathon!$E89*(1-$K$2)+Marathon!$E89*$K$2</f>
        <v>0.50529082164489458</v>
      </c>
      <c r="F89" s="19"/>
      <c r="G89" s="1">
        <v>83</v>
      </c>
      <c r="H89" s="192" t="s">
        <v>1777</v>
      </c>
      <c r="I89" s="171">
        <v>16404</v>
      </c>
      <c r="J89" s="116" t="s">
        <v>1799</v>
      </c>
      <c r="K89" s="116" t="s">
        <v>1800</v>
      </c>
      <c r="L89" s="116" t="s">
        <v>241</v>
      </c>
      <c r="M89" s="118">
        <v>8952</v>
      </c>
      <c r="N89" s="117" t="s">
        <v>1798</v>
      </c>
      <c r="O89" s="126" t="s">
        <v>1734</v>
      </c>
      <c r="P89" s="118">
        <v>39397</v>
      </c>
      <c r="Q89" s="117"/>
    </row>
    <row r="90" spans="1:17">
      <c r="A90" s="1">
        <v>84</v>
      </c>
      <c r="B90" s="216"/>
      <c r="C90" s="25"/>
      <c r="D90" s="25">
        <f t="shared" si="5"/>
        <v>186.56637412978242</v>
      </c>
      <c r="E90" s="246">
        <f>H.Marathon!$E90*(1-$K$2)+Marathon!$E90*$K$2</f>
        <v>0.48686872839232187</v>
      </c>
      <c r="F90" s="19"/>
      <c r="G90" s="1">
        <v>84</v>
      </c>
      <c r="H90" s="172"/>
    </row>
    <row r="91" spans="1:17">
      <c r="A91" s="1">
        <v>85</v>
      </c>
      <c r="B91" s="216"/>
      <c r="C91" s="25"/>
      <c r="D91" s="25">
        <f t="shared" si="5"/>
        <v>194.31873749295642</v>
      </c>
      <c r="E91" s="246">
        <f>H.Marathon!$E91*(1-$K$2)+Marathon!$E91*$K$2</f>
        <v>0.46744505705027972</v>
      </c>
      <c r="F91" s="19"/>
      <c r="G91" s="1">
        <v>85</v>
      </c>
      <c r="H91" s="172"/>
    </row>
    <row r="92" spans="1:17">
      <c r="A92" s="1">
        <v>86</v>
      </c>
      <c r="B92" s="216"/>
      <c r="C92" s="25"/>
      <c r="D92" s="25">
        <f t="shared" si="5"/>
        <v>203.15282923927671</v>
      </c>
      <c r="E92" s="246">
        <f>H.Marathon!$E92*(1-$K$2)+Marathon!$E92*$K$2</f>
        <v>0.44711822952929864</v>
      </c>
      <c r="F92" s="19"/>
      <c r="G92" s="1">
        <v>86</v>
      </c>
      <c r="H92" s="172"/>
    </row>
    <row r="93" spans="1:17">
      <c r="A93" s="1">
        <v>87</v>
      </c>
      <c r="B93" s="216"/>
      <c r="C93" s="25"/>
      <c r="D93" s="25">
        <f t="shared" si="5"/>
        <v>213.30438474290062</v>
      </c>
      <c r="E93" s="246">
        <f>H.Marathon!$E93*(1-$K$2)+Marathon!$E93*$K$2</f>
        <v>0.42583903487411334</v>
      </c>
      <c r="F93" s="19"/>
      <c r="G93" s="1">
        <v>87</v>
      </c>
      <c r="H93" s="172"/>
    </row>
    <row r="94" spans="1:17">
      <c r="A94" s="1">
        <v>88</v>
      </c>
      <c r="B94" s="216"/>
      <c r="C94" s="25"/>
      <c r="D94" s="25">
        <f t="shared" si="5"/>
        <v>225.0810895409067</v>
      </c>
      <c r="E94" s="246">
        <f>H.Marathon!$E94*(1-$K$2)+Marathon!$E94*$K$2</f>
        <v>0.4035582621294585</v>
      </c>
      <c r="F94" s="19"/>
      <c r="G94" s="1">
        <v>88</v>
      </c>
      <c r="H94" s="172"/>
    </row>
    <row r="95" spans="1:17">
      <c r="A95" s="1">
        <v>89</v>
      </c>
      <c r="B95" s="216"/>
      <c r="C95" s="25"/>
      <c r="D95" s="25">
        <f t="shared" si="5"/>
        <v>238.79984900078122</v>
      </c>
      <c r="E95" s="246">
        <f>H.Marathon!$E95*(1-$K$2)+Marathon!$E95*$K$2</f>
        <v>0.38037433320586472</v>
      </c>
      <c r="F95" s="19"/>
      <c r="G95" s="1">
        <v>89</v>
      </c>
      <c r="H95" s="172"/>
    </row>
    <row r="96" spans="1:17">
      <c r="A96" s="1">
        <v>90</v>
      </c>
      <c r="B96" s="216"/>
      <c r="C96" s="25"/>
      <c r="D96" s="25">
        <f t="shared" si="5"/>
        <v>254.97932242305555</v>
      </c>
      <c r="E96" s="246">
        <f>H.Marathon!$E96*(1-$K$2)+Marathon!$E96*$K$2</f>
        <v>0.35623803714806673</v>
      </c>
      <c r="F96" s="19"/>
      <c r="G96" s="1">
        <v>90</v>
      </c>
      <c r="H96" s="172"/>
    </row>
    <row r="97" spans="1:8">
      <c r="A97" s="1">
        <v>91</v>
      </c>
      <c r="B97" s="216"/>
      <c r="C97" s="25"/>
      <c r="D97" s="25">
        <f t="shared" si="5"/>
        <v>274.33792997895341</v>
      </c>
      <c r="E97" s="246">
        <f>H.Marathon!$E97*(1-$K$2)+Marathon!$E97*$K$2</f>
        <v>0.33110016300079931</v>
      </c>
      <c r="F97" s="19"/>
      <c r="G97" s="1">
        <v>91</v>
      </c>
      <c r="H97" s="172"/>
    </row>
    <row r="98" spans="1:8">
      <c r="A98" s="1">
        <v>92</v>
      </c>
      <c r="B98" s="216"/>
      <c r="C98" s="25"/>
      <c r="D98" s="25">
        <f t="shared" si="5"/>
        <v>297.75647933223956</v>
      </c>
      <c r="E98" s="246">
        <f>H.Marathon!$E98*(1-$K$2)+Marathon!$E98*$K$2</f>
        <v>0.30505913267459289</v>
      </c>
      <c r="F98" s="19"/>
      <c r="G98" s="1">
        <v>92</v>
      </c>
      <c r="H98" s="172"/>
    </row>
    <row r="99" spans="1:8">
      <c r="A99" s="1">
        <v>93</v>
      </c>
      <c r="B99" s="216"/>
      <c r="C99" s="25"/>
      <c r="D99" s="25">
        <f t="shared" si="5"/>
        <v>326.66136754810259</v>
      </c>
      <c r="E99" s="246">
        <f>H.Marathon!$E99*(1-$K$2)+Marathon!$E99*$K$2</f>
        <v>0.27806573521418221</v>
      </c>
      <c r="F99" s="19"/>
      <c r="G99" s="1">
        <v>93</v>
      </c>
      <c r="H99" s="172"/>
    </row>
    <row r="100" spans="1:8">
      <c r="A100" s="1">
        <v>94</v>
      </c>
      <c r="B100" s="216"/>
      <c r="C100" s="25"/>
      <c r="D100" s="25">
        <f t="shared" si="5"/>
        <v>363.15905966377591</v>
      </c>
      <c r="E100" s="246">
        <f>H.Marathon!$E100*(1-$K$2)+Marathon!$E100*$K$2</f>
        <v>0.25011997061956737</v>
      </c>
      <c r="F100" s="19"/>
      <c r="G100" s="1">
        <v>94</v>
      </c>
      <c r="H100" s="172"/>
    </row>
    <row r="101" spans="1:8">
      <c r="A101" s="1">
        <v>95</v>
      </c>
      <c r="B101" s="216"/>
      <c r="C101" s="25"/>
      <c r="D101" s="25">
        <f t="shared" si="5"/>
        <v>410.68975931248497</v>
      </c>
      <c r="E101" s="246">
        <f>H.Marathon!$E101*(1-$K$2)+Marathon!$E101*$K$2</f>
        <v>0.22117262793548309</v>
      </c>
      <c r="F101" s="19"/>
      <c r="G101" s="1">
        <v>95</v>
      </c>
    </row>
    <row r="102" spans="1:8">
      <c r="A102" s="1">
        <v>96</v>
      </c>
      <c r="B102" s="216"/>
      <c r="C102" s="25"/>
      <c r="D102" s="25">
        <f t="shared" si="5"/>
        <v>474.76647773939339</v>
      </c>
      <c r="E102" s="246">
        <f>H.Marathon!$E102*(1-$K$2)+Marathon!$E102*$K$2</f>
        <v>0.19132212907245982</v>
      </c>
      <c r="F102" s="19"/>
      <c r="G102" s="1">
        <v>96</v>
      </c>
    </row>
    <row r="103" spans="1:8">
      <c r="A103" s="1">
        <v>97</v>
      </c>
      <c r="B103" s="216"/>
      <c r="C103" s="25"/>
      <c r="D103" s="25">
        <f t="shared" si="5"/>
        <v>565.87185608222921</v>
      </c>
      <c r="E103" s="246">
        <f>H.Marathon!$E103*(1-$K$2)+Marathon!$E103*$K$2</f>
        <v>0.16051926307523229</v>
      </c>
      <c r="G103" s="1">
        <v>97</v>
      </c>
    </row>
    <row r="104" spans="1:8">
      <c r="A104" s="1">
        <v>98</v>
      </c>
      <c r="B104" s="216"/>
      <c r="C104" s="25"/>
      <c r="D104" s="25">
        <f t="shared" si="5"/>
        <v>705.6944495367228</v>
      </c>
      <c r="E104" s="246">
        <f>H.Marathon!$E104*(1-$K$2)+Marathon!$E104*$K$2</f>
        <v>0.12871481898853532</v>
      </c>
      <c r="G104" s="1">
        <v>98</v>
      </c>
    </row>
    <row r="105" spans="1:8">
      <c r="A105" s="1">
        <v>99</v>
      </c>
      <c r="B105" s="216"/>
      <c r="C105" s="25"/>
      <c r="D105" s="25">
        <f t="shared" si="5"/>
        <v>946.10941282968338</v>
      </c>
      <c r="E105" s="246">
        <f>H.Marathon!$E105*(1-$K$2)+Marathon!$E105*$K$2</f>
        <v>9.6007218722899412E-2</v>
      </c>
      <c r="G105" s="1">
        <v>99</v>
      </c>
    </row>
    <row r="106" spans="1:8">
      <c r="A106" s="1">
        <v>100</v>
      </c>
      <c r="B106" s="216"/>
      <c r="D106" s="25">
        <f t="shared" si="5"/>
        <v>1456.8939513094208</v>
      </c>
      <c r="E106" s="246">
        <f>H.Marathon!$E106*(1-$K$2)+Marathon!$E106*$K$2</f>
        <v>6.2347251323059273E-2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5" zoomScale="87" zoomScaleNormal="87" workbookViewId="0">
      <selection activeCell="G18" sqref="G18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30" t="s">
        <v>91</v>
      </c>
      <c r="B1" s="31"/>
      <c r="C1" s="32"/>
      <c r="D1" s="33" t="s">
        <v>32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</row>
    <row r="2" spans="1:21" ht="15.95" customHeight="1">
      <c r="A2" s="30"/>
      <c r="B2" s="31"/>
      <c r="C2" s="32"/>
      <c r="D2" s="33"/>
      <c r="E2" s="33"/>
      <c r="F2" s="83">
        <f>(+H$3-H$4)*F$4/2</f>
        <v>6.0899999999999996E-2</v>
      </c>
      <c r="G2" s="84">
        <f>(+I$4-I$3)*G$4/2</f>
        <v>0.1595</v>
      </c>
      <c r="H2" s="85"/>
      <c r="I2" s="85"/>
    </row>
    <row r="3" spans="1:21" ht="15.95" customHeight="1">
      <c r="A3" s="30"/>
      <c r="B3" s="31"/>
      <c r="C3" s="32"/>
      <c r="D3" s="33"/>
      <c r="E3" s="33"/>
      <c r="F3" s="83">
        <f>F4/(2*(+H3-H4))</f>
        <v>1.2428571428571428E-3</v>
      </c>
      <c r="G3" s="84">
        <f>G4/(2*(+I4-I3))</f>
        <v>1.8965517241379309E-4</v>
      </c>
      <c r="H3" s="86">
        <v>26</v>
      </c>
      <c r="I3" s="31">
        <v>26</v>
      </c>
      <c r="J3" s="7"/>
    </row>
    <row r="4" spans="1:21" ht="15.75">
      <c r="A4" s="31"/>
      <c r="B4" s="31"/>
      <c r="C4" s="31"/>
      <c r="D4" s="35">
        <f>Parameters!G26</f>
        <v>9.0231481481481482E-2</v>
      </c>
      <c r="E4" s="36">
        <f>D4*1440</f>
        <v>129.93333333333334</v>
      </c>
      <c r="F4" s="34">
        <v>1.7399999999999999E-2</v>
      </c>
      <c r="G4" s="34">
        <v>1.0999999999999999E-2</v>
      </c>
      <c r="H4" s="86">
        <v>19</v>
      </c>
      <c r="I4" s="31">
        <v>55</v>
      </c>
    </row>
    <row r="5" spans="1:21" ht="15.75">
      <c r="A5" s="31"/>
      <c r="B5" s="31"/>
      <c r="C5" s="31"/>
      <c r="D5" s="35"/>
      <c r="E5" s="31">
        <f>E4*60</f>
        <v>7796</v>
      </c>
      <c r="F5" s="34">
        <v>1.5499999999999999E-3</v>
      </c>
      <c r="G5" s="34">
        <v>5.5000000000000003E-4</v>
      </c>
      <c r="H5" s="86">
        <v>15</v>
      </c>
      <c r="I5" s="31">
        <v>75.5</v>
      </c>
    </row>
    <row r="6" spans="1:21" ht="63">
      <c r="A6" s="37" t="s">
        <v>70</v>
      </c>
      <c r="B6" s="37" t="s">
        <v>989</v>
      </c>
      <c r="C6" s="37" t="s">
        <v>989</v>
      </c>
      <c r="D6" s="37" t="s">
        <v>1066</v>
      </c>
      <c r="E6" s="37" t="s">
        <v>1025</v>
      </c>
      <c r="F6" s="37" t="s">
        <v>959</v>
      </c>
      <c r="G6" s="37" t="s">
        <v>1069</v>
      </c>
      <c r="H6" s="37" t="s">
        <v>958</v>
      </c>
      <c r="I6" s="410" t="s">
        <v>70</v>
      </c>
      <c r="J6" s="111" t="s">
        <v>1067</v>
      </c>
      <c r="K6" s="113" t="s">
        <v>992</v>
      </c>
      <c r="L6" s="37" t="s">
        <v>952</v>
      </c>
      <c r="M6" s="135" t="s">
        <v>428</v>
      </c>
      <c r="N6" s="135" t="s">
        <v>429</v>
      </c>
      <c r="O6" s="135" t="s">
        <v>430</v>
      </c>
      <c r="P6" s="136" t="s">
        <v>431</v>
      </c>
      <c r="Q6" s="127" t="s">
        <v>432</v>
      </c>
      <c r="R6" s="137" t="s">
        <v>433</v>
      </c>
      <c r="S6" s="136" t="s">
        <v>434</v>
      </c>
      <c r="T6" s="134" t="s">
        <v>435</v>
      </c>
    </row>
    <row r="7" spans="1:21">
      <c r="A7" s="1">
        <v>1</v>
      </c>
      <c r="B7" s="3"/>
      <c r="F7" s="25"/>
      <c r="G7" s="25"/>
      <c r="I7" s="1">
        <v>1</v>
      </c>
      <c r="J7" s="130"/>
      <c r="K7" s="114"/>
      <c r="L7" s="3"/>
      <c r="S7" s="139"/>
    </row>
    <row r="8" spans="1:21">
      <c r="A8" s="1">
        <v>2</v>
      </c>
      <c r="B8" s="3"/>
      <c r="F8" s="25"/>
      <c r="G8" s="25"/>
      <c r="I8" s="1">
        <v>2</v>
      </c>
      <c r="J8" s="130"/>
      <c r="K8" s="114"/>
      <c r="L8" s="3"/>
      <c r="S8" s="139"/>
    </row>
    <row r="9" spans="1:21">
      <c r="A9" s="1">
        <v>3</v>
      </c>
      <c r="B9" s="3"/>
      <c r="C9" s="25"/>
      <c r="D9" s="25"/>
      <c r="E9" s="4">
        <f t="shared" ref="E9:E31" si="0">ROUND(1-IF(A9&gt;=H$3,0,IF(A9&gt;=H$4,F$3*(A9-H$3)^2,F$2+F$4*(H$4-A9)+(A9&lt;H$5)*F$5*(H$5-A9)^2)),4)</f>
        <v>0.4375</v>
      </c>
      <c r="F9" s="25"/>
      <c r="G9" s="25"/>
      <c r="H9" s="153"/>
      <c r="I9" s="1">
        <v>3</v>
      </c>
      <c r="J9" s="131"/>
      <c r="K9" s="114"/>
      <c r="L9" s="3"/>
      <c r="P9" s="39"/>
      <c r="S9" s="139"/>
    </row>
    <row r="10" spans="1:21">
      <c r="A10" s="1">
        <v>4</v>
      </c>
      <c r="B10" s="42"/>
      <c r="C10" s="25"/>
      <c r="D10" s="25">
        <f t="shared" ref="D10:D41" si="1">E$4/E10</f>
        <v>264.84576708791957</v>
      </c>
      <c r="E10" s="4">
        <f t="shared" si="0"/>
        <v>0.49059999999999998</v>
      </c>
      <c r="F10" s="25">
        <v>208.85911616555012</v>
      </c>
      <c r="G10" s="25"/>
      <c r="H10" s="153"/>
      <c r="I10" s="1">
        <v>4</v>
      </c>
      <c r="J10" s="131"/>
      <c r="K10" s="115"/>
      <c r="L10" s="42"/>
      <c r="P10" s="39"/>
      <c r="S10" s="139"/>
    </row>
    <row r="11" spans="1:21">
      <c r="A11" s="1">
        <v>5</v>
      </c>
      <c r="B11" s="87"/>
      <c r="C11" s="25"/>
      <c r="D11" s="25">
        <f t="shared" si="1"/>
        <v>240.39469626888686</v>
      </c>
      <c r="E11" s="4">
        <f t="shared" si="0"/>
        <v>0.54049999999999998</v>
      </c>
      <c r="F11" s="25">
        <v>198.03052683407182</v>
      </c>
      <c r="G11" s="25"/>
      <c r="H11" s="153">
        <f t="shared" ref="H11:H74" si="2">((F11-D11)/F11)</f>
        <v>-0.21392746922453848</v>
      </c>
      <c r="I11" s="1">
        <v>5</v>
      </c>
      <c r="J11" s="131"/>
      <c r="K11" s="115"/>
      <c r="L11" s="87"/>
      <c r="M11" s="23"/>
      <c r="N11" s="23"/>
      <c r="O11" s="23"/>
      <c r="P11" s="39"/>
      <c r="S11" s="139"/>
    </row>
    <row r="12" spans="1:21" ht="15.75">
      <c r="A12" s="1">
        <v>6</v>
      </c>
      <c r="B12" s="87">
        <v>0.18578703703703703</v>
      </c>
      <c r="C12" s="25">
        <f t="shared" ref="C12:C43" si="3">B12*1440</f>
        <v>267.5333333333333</v>
      </c>
      <c r="D12" s="25">
        <f t="shared" si="1"/>
        <v>221.2007717625695</v>
      </c>
      <c r="E12" s="4">
        <f t="shared" si="0"/>
        <v>0.58740000000000003</v>
      </c>
      <c r="F12" s="25">
        <v>188.74653902107084</v>
      </c>
      <c r="G12" s="25">
        <v>267.5333333333333</v>
      </c>
      <c r="H12" s="153">
        <f t="shared" si="2"/>
        <v>-0.17194610777936228</v>
      </c>
      <c r="I12" s="1">
        <v>6</v>
      </c>
      <c r="J12" s="131">
        <f t="shared" ref="J12:J43" si="4">100*(F12/C12)</f>
        <v>70.550662479842089</v>
      </c>
      <c r="K12" s="115">
        <f t="shared" ref="K12:K43" si="5">100*(D12/C12)</f>
        <v>82.681574294506419</v>
      </c>
      <c r="L12" s="191" t="s">
        <v>1070</v>
      </c>
      <c r="M12" s="126" t="s">
        <v>306</v>
      </c>
      <c r="N12" s="126" t="s">
        <v>855</v>
      </c>
      <c r="O12" s="126" t="s">
        <v>241</v>
      </c>
      <c r="P12" s="170">
        <v>23074</v>
      </c>
      <c r="Q12" s="171"/>
      <c r="R12" s="126" t="s">
        <v>856</v>
      </c>
      <c r="S12" s="200">
        <v>25551</v>
      </c>
      <c r="T12" s="168"/>
      <c r="U12" s="117"/>
    </row>
    <row r="13" spans="1:21" ht="15.75">
      <c r="A13" s="1">
        <v>7</v>
      </c>
      <c r="B13" s="87">
        <v>0.16506944444444444</v>
      </c>
      <c r="C13" s="25">
        <f t="shared" si="3"/>
        <v>237.7</v>
      </c>
      <c r="D13" s="25">
        <f t="shared" si="1"/>
        <v>205.88390640680294</v>
      </c>
      <c r="E13" s="4">
        <f t="shared" si="0"/>
        <v>0.63109999999999999</v>
      </c>
      <c r="F13" s="25">
        <v>180.73155387795447</v>
      </c>
      <c r="G13" s="25">
        <v>237.70000000000002</v>
      </c>
      <c r="H13" s="153">
        <f t="shared" si="2"/>
        <v>-0.13916968005395175</v>
      </c>
      <c r="I13" s="1">
        <v>7</v>
      </c>
      <c r="J13" s="131">
        <f t="shared" si="4"/>
        <v>76.033468185929522</v>
      </c>
      <c r="K13" s="115">
        <f t="shared" si="5"/>
        <v>86.615021626757667</v>
      </c>
      <c r="L13" s="191" t="s">
        <v>1071</v>
      </c>
      <c r="M13" s="126" t="s">
        <v>306</v>
      </c>
      <c r="N13" s="126" t="s">
        <v>855</v>
      </c>
      <c r="O13" s="126" t="s">
        <v>241</v>
      </c>
      <c r="P13" s="170">
        <v>23074</v>
      </c>
      <c r="Q13" s="171"/>
      <c r="R13" s="126" t="s">
        <v>856</v>
      </c>
      <c r="S13" s="200">
        <v>25915</v>
      </c>
      <c r="T13" s="168"/>
      <c r="U13" s="117"/>
    </row>
    <row r="14" spans="1:21" ht="15.75">
      <c r="A14" s="1">
        <v>8</v>
      </c>
      <c r="B14" s="87">
        <v>0.13430555555555557</v>
      </c>
      <c r="C14" s="25">
        <f t="shared" si="3"/>
        <v>193.4</v>
      </c>
      <c r="D14" s="25">
        <f t="shared" si="1"/>
        <v>193.41073732261589</v>
      </c>
      <c r="E14" s="4">
        <f t="shared" si="0"/>
        <v>0.67179999999999995</v>
      </c>
      <c r="F14" s="25">
        <v>173.79656036643328</v>
      </c>
      <c r="G14" s="25">
        <v>193.39999999999998</v>
      </c>
      <c r="H14" s="153">
        <f t="shared" si="2"/>
        <v>-0.11285710669318198</v>
      </c>
      <c r="I14" s="1">
        <v>8</v>
      </c>
      <c r="J14" s="131">
        <f t="shared" si="4"/>
        <v>89.863785091227129</v>
      </c>
      <c r="K14" s="115">
        <f t="shared" si="5"/>
        <v>100.00555187312092</v>
      </c>
      <c r="L14" s="191" t="s">
        <v>1072</v>
      </c>
      <c r="M14" s="126" t="s">
        <v>743</v>
      </c>
      <c r="N14" s="126" t="s">
        <v>744</v>
      </c>
      <c r="O14" s="126" t="s">
        <v>241</v>
      </c>
      <c r="P14" s="170">
        <v>27357</v>
      </c>
      <c r="Q14" s="171"/>
      <c r="R14" s="126" t="s">
        <v>245</v>
      </c>
      <c r="S14" s="200">
        <v>30633</v>
      </c>
      <c r="T14" s="168"/>
      <c r="U14" s="117"/>
    </row>
    <row r="15" spans="1:21" ht="15.75">
      <c r="A15" s="1">
        <v>9</v>
      </c>
      <c r="B15" s="87">
        <v>0.13265046296296296</v>
      </c>
      <c r="C15" s="25">
        <f t="shared" si="3"/>
        <v>191.01666666666665</v>
      </c>
      <c r="D15" s="25">
        <f t="shared" si="1"/>
        <v>183.1853000610931</v>
      </c>
      <c r="E15" s="4">
        <f t="shared" si="0"/>
        <v>0.70930000000000004</v>
      </c>
      <c r="F15" s="25">
        <v>167.75108441775103</v>
      </c>
      <c r="G15" s="25">
        <v>191.01666666666665</v>
      </c>
      <c r="H15" s="153">
        <f t="shared" si="2"/>
        <v>-9.2006651980300752E-2</v>
      </c>
      <c r="I15" s="1">
        <v>9</v>
      </c>
      <c r="J15" s="131">
        <f t="shared" si="4"/>
        <v>87.820129701291876</v>
      </c>
      <c r="K15" s="115">
        <f t="shared" si="5"/>
        <v>95.90016581158352</v>
      </c>
      <c r="L15" s="191" t="s">
        <v>1138</v>
      </c>
      <c r="M15" s="126" t="s">
        <v>347</v>
      </c>
      <c r="N15" s="126" t="s">
        <v>857</v>
      </c>
      <c r="O15" s="126" t="s">
        <v>241</v>
      </c>
      <c r="P15" s="170">
        <v>24349</v>
      </c>
      <c r="Q15" s="171"/>
      <c r="R15" s="126" t="s">
        <v>858</v>
      </c>
      <c r="S15" s="200">
        <v>27818</v>
      </c>
      <c r="T15" s="168"/>
      <c r="U15" s="117"/>
    </row>
    <row r="16" spans="1:21" ht="15.75">
      <c r="A16" s="1">
        <v>10</v>
      </c>
      <c r="B16" s="87">
        <v>0.12362268518518518</v>
      </c>
      <c r="C16" s="25">
        <f t="shared" si="3"/>
        <v>178.01666666666665</v>
      </c>
      <c r="D16" s="25">
        <f t="shared" si="1"/>
        <v>174.6885363448956</v>
      </c>
      <c r="E16" s="4">
        <f t="shared" si="0"/>
        <v>0.74380000000000002</v>
      </c>
      <c r="F16" s="25">
        <v>162.44597923987232</v>
      </c>
      <c r="G16" s="25">
        <v>178.01666666666668</v>
      </c>
      <c r="H16" s="153">
        <f t="shared" si="2"/>
        <v>-7.5363866574657254E-2</v>
      </c>
      <c r="I16" s="1">
        <v>10</v>
      </c>
      <c r="J16" s="131">
        <f t="shared" si="4"/>
        <v>91.253241778787938</v>
      </c>
      <c r="K16" s="115">
        <f t="shared" si="5"/>
        <v>98.130438916709451</v>
      </c>
      <c r="L16" s="191" t="s">
        <v>1139</v>
      </c>
      <c r="M16" s="126" t="s">
        <v>347</v>
      </c>
      <c r="N16" s="126" t="s">
        <v>857</v>
      </c>
      <c r="O16" s="126" t="s">
        <v>241</v>
      </c>
      <c r="P16" s="170">
        <v>24349</v>
      </c>
      <c r="Q16" s="171"/>
      <c r="R16" s="126" t="s">
        <v>858</v>
      </c>
      <c r="S16" s="200">
        <v>28182</v>
      </c>
      <c r="T16" s="168"/>
      <c r="U16" s="117"/>
    </row>
    <row r="17" spans="1:21" ht="15.75">
      <c r="A17" s="1">
        <v>11</v>
      </c>
      <c r="B17" s="87">
        <v>0.11760416666666666</v>
      </c>
      <c r="C17" s="25">
        <f t="shared" si="3"/>
        <v>169.35</v>
      </c>
      <c r="D17" s="25">
        <f t="shared" si="1"/>
        <v>167.63428374833356</v>
      </c>
      <c r="E17" s="4">
        <f t="shared" si="0"/>
        <v>0.77510000000000001</v>
      </c>
      <c r="F17" s="25">
        <v>157.83690448159481</v>
      </c>
      <c r="G17" s="25">
        <v>169.35</v>
      </c>
      <c r="H17" s="153">
        <f t="shared" si="2"/>
        <v>-6.207280419568293E-2</v>
      </c>
      <c r="I17" s="1">
        <v>11</v>
      </c>
      <c r="J17" s="131">
        <f t="shared" si="4"/>
        <v>93.201596977617257</v>
      </c>
      <c r="K17" s="115">
        <f t="shared" si="5"/>
        <v>98.986881457533855</v>
      </c>
      <c r="L17" s="191" t="s">
        <v>1073</v>
      </c>
      <c r="M17" s="126" t="s">
        <v>516</v>
      </c>
      <c r="N17" s="126" t="s">
        <v>517</v>
      </c>
      <c r="O17" s="126" t="s">
        <v>241</v>
      </c>
      <c r="P17" s="170">
        <v>28075</v>
      </c>
      <c r="Q17" s="171" t="s">
        <v>859</v>
      </c>
      <c r="R17" s="126" t="s">
        <v>808</v>
      </c>
      <c r="S17" s="200">
        <v>32208</v>
      </c>
      <c r="T17" s="168"/>
      <c r="U17" s="117" t="s">
        <v>860</v>
      </c>
    </row>
    <row r="18" spans="1:21" ht="15.75">
      <c r="A18" s="1">
        <v>12</v>
      </c>
      <c r="B18" s="87">
        <v>0.12086805555555556</v>
      </c>
      <c r="C18" s="25">
        <f t="shared" si="3"/>
        <v>174.05</v>
      </c>
      <c r="D18" s="25">
        <f t="shared" si="1"/>
        <v>161.72931706912289</v>
      </c>
      <c r="E18" s="4">
        <f t="shared" si="0"/>
        <v>0.8034</v>
      </c>
      <c r="F18" s="25">
        <v>153.78144834442145</v>
      </c>
      <c r="G18" s="25">
        <v>174.05</v>
      </c>
      <c r="H18" s="153">
        <f t="shared" si="2"/>
        <v>-5.1682883795584646E-2</v>
      </c>
      <c r="I18" s="1">
        <v>12</v>
      </c>
      <c r="J18" s="131">
        <f t="shared" si="4"/>
        <v>88.354753429716425</v>
      </c>
      <c r="K18" s="115">
        <f t="shared" si="5"/>
        <v>92.921181884012</v>
      </c>
      <c r="L18" s="191" t="s">
        <v>1140</v>
      </c>
      <c r="M18" s="126" t="s">
        <v>861</v>
      </c>
      <c r="N18" s="126" t="s">
        <v>862</v>
      </c>
      <c r="O18" s="126" t="s">
        <v>345</v>
      </c>
      <c r="P18" s="170">
        <v>27160</v>
      </c>
      <c r="Q18" s="171"/>
      <c r="R18" s="126" t="s">
        <v>863</v>
      </c>
      <c r="S18" s="200">
        <v>31704</v>
      </c>
      <c r="T18" s="168"/>
      <c r="U18" s="117"/>
    </row>
    <row r="19" spans="1:21" ht="15.75">
      <c r="A19" s="1">
        <v>13</v>
      </c>
      <c r="B19" s="87">
        <v>0.11392361111111111</v>
      </c>
      <c r="C19" s="25">
        <f t="shared" si="3"/>
        <v>164.05</v>
      </c>
      <c r="D19" s="25">
        <f t="shared" si="1"/>
        <v>156.8296117481392</v>
      </c>
      <c r="E19" s="4">
        <f t="shared" si="0"/>
        <v>0.82850000000000001</v>
      </c>
      <c r="F19" s="25">
        <v>150.23158523830864</v>
      </c>
      <c r="G19" s="25">
        <v>164.05</v>
      </c>
      <c r="H19" s="153">
        <f t="shared" si="2"/>
        <v>-4.391903672829036E-2</v>
      </c>
      <c r="I19" s="1">
        <v>13</v>
      </c>
      <c r="J19" s="131">
        <f t="shared" si="4"/>
        <v>91.576705418048547</v>
      </c>
      <c r="K19" s="115">
        <f t="shared" si="5"/>
        <v>95.598666106759651</v>
      </c>
      <c r="L19" s="191" t="s">
        <v>1141</v>
      </c>
      <c r="M19" s="126" t="s">
        <v>864</v>
      </c>
      <c r="N19" s="126" t="s">
        <v>865</v>
      </c>
      <c r="O19" s="126" t="s">
        <v>866</v>
      </c>
      <c r="P19" s="170">
        <v>26799</v>
      </c>
      <c r="Q19" s="171"/>
      <c r="R19" s="126" t="s">
        <v>867</v>
      </c>
      <c r="S19" s="200">
        <v>31851</v>
      </c>
      <c r="T19" s="168"/>
      <c r="U19" s="117"/>
    </row>
    <row r="20" spans="1:21" ht="15.75">
      <c r="A20" s="1">
        <v>14</v>
      </c>
      <c r="B20" s="87">
        <v>0.10634259259259259</v>
      </c>
      <c r="C20" s="25">
        <f t="shared" si="3"/>
        <v>153.13333333333333</v>
      </c>
      <c r="D20" s="25">
        <f t="shared" si="1"/>
        <v>152.75491809702956</v>
      </c>
      <c r="E20" s="4">
        <f t="shared" si="0"/>
        <v>0.85060000000000002</v>
      </c>
      <c r="F20" s="25">
        <v>147.14813595287742</v>
      </c>
      <c r="G20" s="25">
        <v>153.13333333333335</v>
      </c>
      <c r="H20" s="153">
        <f t="shared" si="2"/>
        <v>-3.8102977709127385E-2</v>
      </c>
      <c r="I20" s="1">
        <v>14</v>
      </c>
      <c r="J20" s="131">
        <f t="shared" si="4"/>
        <v>96.091512376715784</v>
      </c>
      <c r="K20" s="115">
        <f t="shared" si="5"/>
        <v>99.752885130842117</v>
      </c>
      <c r="L20" s="191" t="s">
        <v>1142</v>
      </c>
      <c r="M20" s="126" t="s">
        <v>868</v>
      </c>
      <c r="N20" s="126" t="s">
        <v>869</v>
      </c>
      <c r="O20" s="126" t="s">
        <v>528</v>
      </c>
      <c r="P20" s="170">
        <v>32331</v>
      </c>
      <c r="Q20" s="171"/>
      <c r="R20" s="126" t="s">
        <v>529</v>
      </c>
      <c r="S20" s="200">
        <v>37549</v>
      </c>
      <c r="T20" s="168"/>
      <c r="U20" s="117"/>
    </row>
    <row r="21" spans="1:21" ht="15.75">
      <c r="A21" s="1">
        <v>15</v>
      </c>
      <c r="B21" s="87">
        <v>0.10394675925925925</v>
      </c>
      <c r="C21" s="25">
        <f t="shared" si="3"/>
        <v>149.68333333333334</v>
      </c>
      <c r="D21" s="25">
        <f t="shared" si="1"/>
        <v>149.43454092390263</v>
      </c>
      <c r="E21" s="4">
        <f t="shared" si="0"/>
        <v>0.86950000000000005</v>
      </c>
      <c r="F21" s="25">
        <v>144.46839080459765</v>
      </c>
      <c r="G21" s="25">
        <v>149.68333333333334</v>
      </c>
      <c r="H21" s="153">
        <f t="shared" si="2"/>
        <v>-3.4375340457844558E-2</v>
      </c>
      <c r="I21" s="1">
        <v>15</v>
      </c>
      <c r="J21" s="131">
        <f t="shared" si="4"/>
        <v>96.516016571382451</v>
      </c>
      <c r="K21" s="115">
        <f t="shared" si="5"/>
        <v>99.833787500658701</v>
      </c>
      <c r="L21" s="191" t="s">
        <v>1074</v>
      </c>
      <c r="M21" s="126" t="s">
        <v>870</v>
      </c>
      <c r="N21" s="126" t="s">
        <v>871</v>
      </c>
      <c r="O21" s="126" t="s">
        <v>528</v>
      </c>
      <c r="P21" s="170">
        <v>31857</v>
      </c>
      <c r="Q21" s="171"/>
      <c r="R21" s="126" t="s">
        <v>529</v>
      </c>
      <c r="S21" s="200">
        <v>37549</v>
      </c>
      <c r="T21" s="168"/>
      <c r="U21" s="117"/>
    </row>
    <row r="22" spans="1:21" ht="15.75">
      <c r="A22" s="1">
        <v>16</v>
      </c>
      <c r="B22" s="87">
        <v>0.10545138888888889</v>
      </c>
      <c r="C22" s="25">
        <f t="shared" si="3"/>
        <v>151.85</v>
      </c>
      <c r="D22" s="25">
        <f t="shared" si="1"/>
        <v>146.50280001503364</v>
      </c>
      <c r="E22" s="4">
        <f t="shared" si="0"/>
        <v>0.88690000000000002</v>
      </c>
      <c r="F22" s="25">
        <v>142.0197740112994</v>
      </c>
      <c r="G22" s="25">
        <v>151.85</v>
      </c>
      <c r="H22" s="153">
        <f t="shared" si="2"/>
        <v>-3.156620995170404E-2</v>
      </c>
      <c r="I22" s="1">
        <v>16</v>
      </c>
      <c r="J22" s="131">
        <f t="shared" si="4"/>
        <v>93.526357597167859</v>
      </c>
      <c r="K22" s="115">
        <f t="shared" si="5"/>
        <v>96.478630237098216</v>
      </c>
      <c r="L22" s="191" t="s">
        <v>1075</v>
      </c>
      <c r="M22" s="126" t="s">
        <v>872</v>
      </c>
      <c r="N22" s="126" t="s">
        <v>873</v>
      </c>
      <c r="O22" s="126" t="s">
        <v>528</v>
      </c>
      <c r="P22" s="170">
        <v>31377</v>
      </c>
      <c r="Q22" s="171"/>
      <c r="R22" s="126" t="s">
        <v>529</v>
      </c>
      <c r="S22" s="200">
        <v>37549</v>
      </c>
      <c r="T22" s="168"/>
      <c r="U22" s="117"/>
    </row>
    <row r="23" spans="1:21" ht="15.75">
      <c r="A23" s="1">
        <v>17</v>
      </c>
      <c r="B23" s="87">
        <v>9.9733796296296293E-2</v>
      </c>
      <c r="C23" s="25">
        <f t="shared" si="3"/>
        <v>143.61666666666667</v>
      </c>
      <c r="D23" s="25">
        <f t="shared" si="1"/>
        <v>143.6838807180508</v>
      </c>
      <c r="E23" s="4">
        <f t="shared" si="0"/>
        <v>0.90429999999999999</v>
      </c>
      <c r="F23" s="25">
        <v>139.65277777777774</v>
      </c>
      <c r="G23" s="25">
        <v>143.61666666666667</v>
      </c>
      <c r="H23" s="153">
        <f t="shared" si="2"/>
        <v>-2.8865182665306841E-2</v>
      </c>
      <c r="I23" s="1">
        <v>17</v>
      </c>
      <c r="J23" s="131">
        <f t="shared" si="4"/>
        <v>97.239952032803345</v>
      </c>
      <c r="K23" s="115">
        <f t="shared" si="5"/>
        <v>100.04680101059589</v>
      </c>
      <c r="L23" s="191" t="s">
        <v>1076</v>
      </c>
      <c r="M23" s="126" t="s">
        <v>874</v>
      </c>
      <c r="N23" s="126" t="s">
        <v>761</v>
      </c>
      <c r="O23" s="126" t="s">
        <v>528</v>
      </c>
      <c r="P23" s="170">
        <v>30649</v>
      </c>
      <c r="Q23" s="171"/>
      <c r="R23" s="126" t="s">
        <v>529</v>
      </c>
      <c r="S23" s="200">
        <v>37178</v>
      </c>
      <c r="T23" s="168"/>
      <c r="U23" s="117"/>
    </row>
    <row r="24" spans="1:21" ht="15.75">
      <c r="A24" s="1">
        <v>18</v>
      </c>
      <c r="B24" s="87">
        <v>9.9050925925925931E-2</v>
      </c>
      <c r="C24" s="25">
        <f t="shared" si="3"/>
        <v>142.63333333333335</v>
      </c>
      <c r="D24" s="25">
        <f t="shared" si="1"/>
        <v>140.97139343965861</v>
      </c>
      <c r="E24" s="4">
        <f t="shared" si="0"/>
        <v>0.92169999999999996</v>
      </c>
      <c r="F24" s="25">
        <v>137.58894362342633</v>
      </c>
      <c r="G24" s="25">
        <v>142.63333333333333</v>
      </c>
      <c r="H24" s="153">
        <f t="shared" si="2"/>
        <v>-2.4583732727026873E-2</v>
      </c>
      <c r="I24" s="1">
        <v>18</v>
      </c>
      <c r="J24" s="131">
        <f t="shared" si="4"/>
        <v>96.463386508595221</v>
      </c>
      <c r="K24" s="115">
        <f t="shared" si="5"/>
        <v>98.834816620466412</v>
      </c>
      <c r="L24" s="191" t="s">
        <v>1077</v>
      </c>
      <c r="M24" s="126" t="s">
        <v>875</v>
      </c>
      <c r="N24" s="126" t="s">
        <v>876</v>
      </c>
      <c r="O24" s="126" t="s">
        <v>528</v>
      </c>
      <c r="P24" s="170">
        <v>32877</v>
      </c>
      <c r="Q24" s="171"/>
      <c r="R24" s="126" t="s">
        <v>877</v>
      </c>
      <c r="S24" s="200">
        <v>39452</v>
      </c>
      <c r="T24" s="168"/>
      <c r="U24" s="117"/>
    </row>
    <row r="25" spans="1:21" ht="15.75">
      <c r="A25" s="1">
        <v>19</v>
      </c>
      <c r="B25" s="87">
        <v>9.7905092592592599E-2</v>
      </c>
      <c r="C25" s="25">
        <f t="shared" si="3"/>
        <v>140.98333333333335</v>
      </c>
      <c r="D25" s="25">
        <f t="shared" si="1"/>
        <v>138.35942214176694</v>
      </c>
      <c r="E25" s="4">
        <f t="shared" si="0"/>
        <v>0.93910000000000005</v>
      </c>
      <c r="F25" s="25">
        <v>136.02543290043286</v>
      </c>
      <c r="G25" s="25">
        <v>140.98333333333335</v>
      </c>
      <c r="H25" s="153">
        <f t="shared" si="2"/>
        <v>-1.7158476849270542E-2</v>
      </c>
      <c r="I25" s="1">
        <v>19</v>
      </c>
      <c r="J25" s="131">
        <f t="shared" si="4"/>
        <v>96.4833428777157</v>
      </c>
      <c r="K25" s="115">
        <f t="shared" si="5"/>
        <v>98.138850082823211</v>
      </c>
      <c r="L25" s="191" t="s">
        <v>1078</v>
      </c>
      <c r="M25" s="126" t="s">
        <v>878</v>
      </c>
      <c r="N25" s="126" t="s">
        <v>879</v>
      </c>
      <c r="O25" s="126" t="s">
        <v>272</v>
      </c>
      <c r="P25" s="170">
        <v>35085</v>
      </c>
      <c r="Q25" s="171" t="s">
        <v>880</v>
      </c>
      <c r="R25" s="126" t="s">
        <v>881</v>
      </c>
      <c r="S25" s="200">
        <v>42027</v>
      </c>
      <c r="T25" s="168"/>
      <c r="U25" s="117"/>
    </row>
    <row r="26" spans="1:21" ht="15.75">
      <c r="A26" s="1">
        <v>20</v>
      </c>
      <c r="B26" s="87">
        <v>9.6724537037037039E-2</v>
      </c>
      <c r="C26" s="25">
        <f t="shared" si="3"/>
        <v>139.28333333333333</v>
      </c>
      <c r="D26" s="25">
        <f t="shared" si="1"/>
        <v>136.01311978785023</v>
      </c>
      <c r="E26" s="4">
        <f t="shared" si="0"/>
        <v>0.95530000000000004</v>
      </c>
      <c r="F26" s="25">
        <v>134.93022007514756</v>
      </c>
      <c r="G26" s="25">
        <v>139.28333333333333</v>
      </c>
      <c r="H26" s="153">
        <f t="shared" si="2"/>
        <v>-8.0256277066735916E-3</v>
      </c>
      <c r="I26" s="1">
        <v>20</v>
      </c>
      <c r="J26" s="131">
        <f t="shared" si="4"/>
        <v>96.87463449214853</v>
      </c>
      <c r="K26" s="115">
        <f t="shared" si="5"/>
        <v>97.652114242802611</v>
      </c>
      <c r="L26" s="191" t="s">
        <v>1079</v>
      </c>
      <c r="M26" s="126" t="s">
        <v>882</v>
      </c>
      <c r="N26" s="126" t="s">
        <v>883</v>
      </c>
      <c r="O26" s="126" t="s">
        <v>272</v>
      </c>
      <c r="P26" s="170">
        <v>35556</v>
      </c>
      <c r="Q26" s="171" t="s">
        <v>880</v>
      </c>
      <c r="R26" s="126" t="s">
        <v>881</v>
      </c>
      <c r="S26" s="200">
        <v>43126</v>
      </c>
      <c r="T26" s="168"/>
      <c r="U26" s="117"/>
    </row>
    <row r="27" spans="1:21" ht="15.75">
      <c r="A27" s="1">
        <v>21</v>
      </c>
      <c r="B27" s="87">
        <v>9.7812499999999997E-2</v>
      </c>
      <c r="C27" s="25">
        <f t="shared" si="3"/>
        <v>140.85</v>
      </c>
      <c r="D27" s="25">
        <f t="shared" si="1"/>
        <v>134.10396669762963</v>
      </c>
      <c r="E27" s="4">
        <f t="shared" si="0"/>
        <v>0.96889999999999998</v>
      </c>
      <c r="F27" s="25">
        <v>134.28151709401706</v>
      </c>
      <c r="G27" s="25">
        <v>140.85000000000002</v>
      </c>
      <c r="H27" s="153">
        <f t="shared" si="2"/>
        <v>1.3222251299344473E-3</v>
      </c>
      <c r="I27" s="1">
        <v>21</v>
      </c>
      <c r="J27" s="131">
        <f t="shared" si="4"/>
        <v>95.336540357839596</v>
      </c>
      <c r="K27" s="115">
        <f t="shared" si="5"/>
        <v>95.210483988377447</v>
      </c>
      <c r="L27" s="191" t="s">
        <v>1080</v>
      </c>
      <c r="M27" s="126" t="s">
        <v>882</v>
      </c>
      <c r="N27" s="126" t="s">
        <v>883</v>
      </c>
      <c r="O27" s="126" t="s">
        <v>272</v>
      </c>
      <c r="P27" s="170">
        <v>35556</v>
      </c>
      <c r="Q27" s="171" t="s">
        <v>884</v>
      </c>
      <c r="R27" s="126" t="s">
        <v>285</v>
      </c>
      <c r="S27" s="200">
        <v>43583</v>
      </c>
      <c r="T27" s="168"/>
      <c r="U27" s="117"/>
    </row>
    <row r="28" spans="1:21" ht="15.75">
      <c r="A28" s="1">
        <v>22</v>
      </c>
      <c r="B28" s="87">
        <v>9.7129629629629635E-2</v>
      </c>
      <c r="C28" s="25">
        <f t="shared" si="3"/>
        <v>139.86666666666667</v>
      </c>
      <c r="D28" s="25">
        <f t="shared" si="1"/>
        <v>132.57150630888006</v>
      </c>
      <c r="E28" s="4">
        <f t="shared" si="0"/>
        <v>0.98009999999999997</v>
      </c>
      <c r="F28" s="25">
        <v>134.06666666666663</v>
      </c>
      <c r="G28" s="25">
        <v>139.86666666666667</v>
      </c>
      <c r="H28" s="153">
        <f t="shared" si="2"/>
        <v>1.1152364677672111E-2</v>
      </c>
      <c r="I28" s="1">
        <v>22</v>
      </c>
      <c r="J28" s="131">
        <f t="shared" si="4"/>
        <v>95.853193517635816</v>
      </c>
      <c r="K28" s="115">
        <f t="shared" si="5"/>
        <v>94.78420374800767</v>
      </c>
      <c r="L28" s="191" t="s">
        <v>1081</v>
      </c>
      <c r="M28" s="126" t="s">
        <v>772</v>
      </c>
      <c r="N28" s="126" t="s">
        <v>773</v>
      </c>
      <c r="O28" s="126" t="s">
        <v>272</v>
      </c>
      <c r="P28" s="170">
        <v>32801</v>
      </c>
      <c r="Q28" s="171" t="s">
        <v>880</v>
      </c>
      <c r="R28" s="126" t="s">
        <v>881</v>
      </c>
      <c r="S28" s="200">
        <v>40935</v>
      </c>
      <c r="T28" s="168"/>
      <c r="U28" s="117"/>
    </row>
    <row r="29" spans="1:21" ht="15.75">
      <c r="A29" s="1">
        <v>23</v>
      </c>
      <c r="B29" s="87">
        <v>9.7372685185185187E-2</v>
      </c>
      <c r="C29" s="25">
        <f t="shared" si="3"/>
        <v>140.21666666666667</v>
      </c>
      <c r="D29" s="25">
        <f t="shared" si="1"/>
        <v>131.40507011866237</v>
      </c>
      <c r="E29" s="4">
        <f t="shared" si="0"/>
        <v>0.98880000000000001</v>
      </c>
      <c r="F29" s="25">
        <v>134.06666666666663</v>
      </c>
      <c r="G29" s="25">
        <v>140.21666666666664</v>
      </c>
      <c r="H29" s="153">
        <f t="shared" si="2"/>
        <v>1.9852783799136769E-2</v>
      </c>
      <c r="I29" s="1">
        <v>23</v>
      </c>
      <c r="J29" s="131">
        <f t="shared" si="4"/>
        <v>95.613930821347893</v>
      </c>
      <c r="K29" s="115">
        <f t="shared" si="5"/>
        <v>93.715728124566056</v>
      </c>
      <c r="L29" s="191" t="s">
        <v>1082</v>
      </c>
      <c r="M29" s="126" t="s">
        <v>885</v>
      </c>
      <c r="N29" s="126" t="s">
        <v>886</v>
      </c>
      <c r="O29" s="126" t="s">
        <v>272</v>
      </c>
      <c r="P29" s="170">
        <v>34452</v>
      </c>
      <c r="Q29" s="171" t="s">
        <v>880</v>
      </c>
      <c r="R29" s="126" t="s">
        <v>881</v>
      </c>
      <c r="S29" s="200">
        <v>43126</v>
      </c>
      <c r="T29" s="168"/>
      <c r="U29" s="117"/>
    </row>
    <row r="30" spans="1:21" ht="15.75">
      <c r="A30" s="1">
        <v>24</v>
      </c>
      <c r="B30" s="87">
        <v>9.5231481481481486E-2</v>
      </c>
      <c r="C30" s="25">
        <f t="shared" si="3"/>
        <v>137.13333333333335</v>
      </c>
      <c r="D30" s="25">
        <f t="shared" si="1"/>
        <v>130.58626465661641</v>
      </c>
      <c r="E30" s="4">
        <f t="shared" si="0"/>
        <v>0.995</v>
      </c>
      <c r="F30" s="25">
        <v>134.06666666666663</v>
      </c>
      <c r="G30" s="25">
        <v>137.13333333333335</v>
      </c>
      <c r="H30" s="153">
        <f t="shared" si="2"/>
        <v>2.5960233789534271E-2</v>
      </c>
      <c r="I30" s="1">
        <v>24</v>
      </c>
      <c r="J30" s="131">
        <f t="shared" si="4"/>
        <v>97.763733592610564</v>
      </c>
      <c r="K30" s="115">
        <f t="shared" si="5"/>
        <v>95.225764212408649</v>
      </c>
      <c r="L30" s="191" t="s">
        <v>1143</v>
      </c>
      <c r="M30" s="126" t="s">
        <v>665</v>
      </c>
      <c r="N30" s="126" t="s">
        <v>887</v>
      </c>
      <c r="O30" s="126" t="s">
        <v>268</v>
      </c>
      <c r="P30" s="170">
        <v>34554</v>
      </c>
      <c r="Q30" s="171" t="s">
        <v>880</v>
      </c>
      <c r="R30" s="126" t="s">
        <v>881</v>
      </c>
      <c r="S30" s="200">
        <v>43490</v>
      </c>
      <c r="T30" s="168"/>
      <c r="U30" s="117"/>
    </row>
    <row r="31" spans="1:21" ht="15.75">
      <c r="A31" s="1">
        <v>25</v>
      </c>
      <c r="B31" s="87">
        <v>9.3101851851851852E-2</v>
      </c>
      <c r="C31" s="25">
        <f t="shared" si="3"/>
        <v>134.06666666666666</v>
      </c>
      <c r="D31" s="25">
        <f t="shared" si="1"/>
        <v>130.08944066212788</v>
      </c>
      <c r="E31" s="4">
        <f t="shared" si="0"/>
        <v>0.99880000000000002</v>
      </c>
      <c r="F31" s="25">
        <v>134.06666666666663</v>
      </c>
      <c r="G31" s="25">
        <v>134.06666666666663</v>
      </c>
      <c r="H31" s="153">
        <f t="shared" si="2"/>
        <v>2.9666031858817134E-2</v>
      </c>
      <c r="I31" s="1">
        <v>25</v>
      </c>
      <c r="J31" s="131">
        <f t="shared" si="4"/>
        <v>99.999999999999972</v>
      </c>
      <c r="K31" s="115">
        <f t="shared" si="5"/>
        <v>97.033396814118262</v>
      </c>
      <c r="L31" s="191" t="s">
        <v>1083</v>
      </c>
      <c r="M31" s="126" t="s">
        <v>888</v>
      </c>
      <c r="N31" s="126" t="s">
        <v>889</v>
      </c>
      <c r="O31" s="126" t="s">
        <v>268</v>
      </c>
      <c r="P31" s="170">
        <v>34385</v>
      </c>
      <c r="Q31" s="171" t="s">
        <v>890</v>
      </c>
      <c r="R31" s="126" t="s">
        <v>891</v>
      </c>
      <c r="S31" s="200">
        <v>43751</v>
      </c>
      <c r="T31" s="168"/>
      <c r="U31" s="117"/>
    </row>
    <row r="32" spans="1:21" ht="15.75">
      <c r="A32" s="1">
        <v>26</v>
      </c>
      <c r="B32" s="87">
        <v>9.1585648148148152E-2</v>
      </c>
      <c r="C32" s="25">
        <f t="shared" si="3"/>
        <v>131.88333333333333</v>
      </c>
      <c r="D32" s="25">
        <f t="shared" si="1"/>
        <v>129.93333333333334</v>
      </c>
      <c r="E32" s="4">
        <f>1-IF(A32&gt;=H$3,0,IF(A32&gt;=H$4,F$3*(A32-H$3)^2,F$2+F$4*(H$4-A32)+(A32&lt;H$5)*F$5*(H$5-A32)^2))</f>
        <v>1</v>
      </c>
      <c r="F32" s="25">
        <v>134.06666666666663</v>
      </c>
      <c r="G32" s="25">
        <v>140.71666666666664</v>
      </c>
      <c r="H32" s="153">
        <f t="shared" si="2"/>
        <v>3.0830432620586511E-2</v>
      </c>
      <c r="I32" s="1">
        <v>26</v>
      </c>
      <c r="J32" s="131">
        <f t="shared" si="4"/>
        <v>101.65550360166813</v>
      </c>
      <c r="K32" s="115">
        <f t="shared" si="5"/>
        <v>98.521420447365102</v>
      </c>
      <c r="L32" s="201" t="s">
        <v>1173</v>
      </c>
      <c r="M32" s="193" t="s">
        <v>665</v>
      </c>
      <c r="N32" s="193" t="s">
        <v>1174</v>
      </c>
      <c r="O32" s="193" t="s">
        <v>268</v>
      </c>
      <c r="P32" s="194">
        <v>34550</v>
      </c>
      <c r="Q32" s="174" t="s">
        <v>890</v>
      </c>
      <c r="R32" s="193" t="s">
        <v>891</v>
      </c>
      <c r="S32" s="350">
        <v>45577</v>
      </c>
      <c r="T32" s="195" t="s">
        <v>976</v>
      </c>
      <c r="U32" s="117"/>
    </row>
    <row r="33" spans="1:21" ht="15.75">
      <c r="A33" s="1">
        <v>27</v>
      </c>
      <c r="B33" s="87">
        <v>9.6666666666666665E-2</v>
      </c>
      <c r="C33" s="25">
        <f t="shared" si="3"/>
        <v>139.19999999999999</v>
      </c>
      <c r="D33" s="25">
        <f t="shared" si="1"/>
        <v>129.93333333333334</v>
      </c>
      <c r="E33" s="4">
        <f>1-IF(A33&gt;=H$3,0,IF(A33&gt;=H$4,F$3*(A33-H$3)^2,F$2+F$4*(H$4-A33)+(A33&lt;H$5)*F$5*(H$5-A33)^2))</f>
        <v>1</v>
      </c>
      <c r="F33" s="25">
        <v>134.06666666666663</v>
      </c>
      <c r="G33" s="25">
        <v>139.19999999999999</v>
      </c>
      <c r="H33" s="153">
        <f t="shared" si="2"/>
        <v>3.0830432620586511E-2</v>
      </c>
      <c r="I33" s="1">
        <v>27</v>
      </c>
      <c r="J33" s="131">
        <f t="shared" si="4"/>
        <v>96.312260536398455</v>
      </c>
      <c r="K33" s="115">
        <f t="shared" si="5"/>
        <v>93.342911877394641</v>
      </c>
      <c r="L33" s="191" t="s">
        <v>1084</v>
      </c>
      <c r="M33" s="126" t="s">
        <v>893</v>
      </c>
      <c r="N33" s="126" t="s">
        <v>894</v>
      </c>
      <c r="O33" s="126" t="s">
        <v>264</v>
      </c>
      <c r="P33" s="170">
        <v>28674</v>
      </c>
      <c r="Q33" s="171" t="s">
        <v>892</v>
      </c>
      <c r="R33" s="126" t="s">
        <v>545</v>
      </c>
      <c r="S33" s="200">
        <v>38620</v>
      </c>
      <c r="T33" s="168"/>
      <c r="U33" s="117"/>
    </row>
    <row r="34" spans="1:21" ht="15.75">
      <c r="A34" s="1">
        <v>28</v>
      </c>
      <c r="B34" s="87">
        <v>9.5347222222222222E-2</v>
      </c>
      <c r="C34" s="25">
        <f t="shared" si="3"/>
        <v>137.30000000000001</v>
      </c>
      <c r="D34" s="25">
        <f t="shared" si="1"/>
        <v>130.03736322391248</v>
      </c>
      <c r="E34" s="4">
        <f t="shared" ref="E34:E65" si="6">ROUND(1-IF(A34&lt;I$3,0,IF(A34&lt;I$4,G$3*(A34-I$3)^2,G$2+G$4*(A34-I$4)+(A34&gt;I$5)*G$5*(A34-I$5)^2)),4)</f>
        <v>0.99919999999999998</v>
      </c>
      <c r="F34" s="25">
        <v>134.06666666666663</v>
      </c>
      <c r="G34" s="25">
        <v>137.29999999999998</v>
      </c>
      <c r="H34" s="153">
        <f t="shared" si="2"/>
        <v>3.0054476201547664E-2</v>
      </c>
      <c r="I34" s="1">
        <v>28</v>
      </c>
      <c r="J34" s="131">
        <f t="shared" si="4"/>
        <v>97.645059480456382</v>
      </c>
      <c r="K34" s="115">
        <f t="shared" si="5"/>
        <v>94.7103883641023</v>
      </c>
      <c r="L34" s="191" t="s">
        <v>1085</v>
      </c>
      <c r="M34" s="126" t="s">
        <v>282</v>
      </c>
      <c r="N34" s="126" t="s">
        <v>554</v>
      </c>
      <c r="O34" s="126" t="s">
        <v>284</v>
      </c>
      <c r="P34" s="170">
        <v>27015</v>
      </c>
      <c r="Q34" s="171" t="s">
        <v>890</v>
      </c>
      <c r="R34" s="126" t="s">
        <v>895</v>
      </c>
      <c r="S34" s="200">
        <v>37542</v>
      </c>
      <c r="T34" s="168"/>
      <c r="U34" s="117"/>
    </row>
    <row r="35" spans="1:21" ht="15.75">
      <c r="A35" s="1">
        <v>29</v>
      </c>
      <c r="B35" s="87">
        <v>9.4039351851851846E-2</v>
      </c>
      <c r="C35" s="25">
        <f t="shared" si="3"/>
        <v>135.41666666666666</v>
      </c>
      <c r="D35" s="25">
        <f t="shared" si="1"/>
        <v>130.15459614678286</v>
      </c>
      <c r="E35" s="4">
        <f t="shared" si="6"/>
        <v>0.99829999999999997</v>
      </c>
      <c r="F35" s="25">
        <v>134.06666666666663</v>
      </c>
      <c r="G35" s="25">
        <v>135.41666666666669</v>
      </c>
      <c r="H35" s="153">
        <f t="shared" si="2"/>
        <v>2.9180038686353337E-2</v>
      </c>
      <c r="I35" s="1">
        <v>29</v>
      </c>
      <c r="J35" s="131">
        <f t="shared" si="4"/>
        <v>99.003076923076904</v>
      </c>
      <c r="K35" s="115">
        <f t="shared" si="5"/>
        <v>96.114163308393501</v>
      </c>
      <c r="L35" s="191" t="s">
        <v>1086</v>
      </c>
      <c r="M35" s="126" t="s">
        <v>282</v>
      </c>
      <c r="N35" s="126" t="s">
        <v>554</v>
      </c>
      <c r="O35" s="126" t="s">
        <v>284</v>
      </c>
      <c r="P35" s="170">
        <v>27015</v>
      </c>
      <c r="Q35" s="171" t="s">
        <v>884</v>
      </c>
      <c r="R35" s="126" t="s">
        <v>285</v>
      </c>
      <c r="S35" s="200">
        <v>37724</v>
      </c>
      <c r="T35" s="168"/>
      <c r="U35" s="117"/>
    </row>
    <row r="36" spans="1:21" ht="15.75">
      <c r="A36" s="1">
        <v>30</v>
      </c>
      <c r="B36" s="87">
        <v>9.2870370370370367E-2</v>
      </c>
      <c r="C36" s="25">
        <f t="shared" si="3"/>
        <v>133.73333333333332</v>
      </c>
      <c r="D36" s="25">
        <f t="shared" si="1"/>
        <v>130.3243062520896</v>
      </c>
      <c r="E36" s="4">
        <f t="shared" si="6"/>
        <v>0.997</v>
      </c>
      <c r="F36" s="25">
        <v>134.06666666666663</v>
      </c>
      <c r="G36" s="25">
        <v>138.61666666666667</v>
      </c>
      <c r="H36" s="153">
        <f t="shared" si="2"/>
        <v>2.7914175146024636E-2</v>
      </c>
      <c r="I36" s="1">
        <v>30</v>
      </c>
      <c r="J36" s="131">
        <f t="shared" si="4"/>
        <v>100.24925224327018</v>
      </c>
      <c r="K36" s="115">
        <f t="shared" si="5"/>
        <v>97.450877057893521</v>
      </c>
      <c r="L36" s="191" t="s">
        <v>1087</v>
      </c>
      <c r="M36" s="116" t="s">
        <v>1154</v>
      </c>
      <c r="N36" s="116" t="s">
        <v>1155</v>
      </c>
      <c r="O36" s="116" t="s">
        <v>291</v>
      </c>
      <c r="P36" s="118">
        <v>33970</v>
      </c>
      <c r="Q36" s="196" t="s">
        <v>890</v>
      </c>
      <c r="R36" s="196" t="s">
        <v>891</v>
      </c>
      <c r="S36" s="352">
        <v>45207</v>
      </c>
      <c r="T36" s="168"/>
      <c r="U36" s="117"/>
    </row>
    <row r="37" spans="1:21" ht="15.75">
      <c r="A37" s="1">
        <v>31</v>
      </c>
      <c r="B37" s="87">
        <v>9.5625000000000002E-2</v>
      </c>
      <c r="C37" s="25">
        <f t="shared" si="3"/>
        <v>137.69999999999999</v>
      </c>
      <c r="D37" s="25">
        <f t="shared" si="1"/>
        <v>130.54690378110453</v>
      </c>
      <c r="E37" s="4">
        <f t="shared" si="6"/>
        <v>0.99529999999999996</v>
      </c>
      <c r="F37" s="25">
        <v>134.06666666666663</v>
      </c>
      <c r="G37" s="25">
        <v>137.69999999999999</v>
      </c>
      <c r="H37" s="153">
        <f t="shared" si="2"/>
        <v>2.625382560091076E-2</v>
      </c>
      <c r="I37" s="1">
        <v>31</v>
      </c>
      <c r="J37" s="131">
        <f t="shared" si="4"/>
        <v>97.361413701282956</v>
      </c>
      <c r="K37" s="115">
        <f t="shared" si="5"/>
        <v>94.805304125711359</v>
      </c>
      <c r="L37" s="191" t="s">
        <v>1088</v>
      </c>
      <c r="M37" s="126" t="s">
        <v>282</v>
      </c>
      <c r="N37" s="126" t="s">
        <v>554</v>
      </c>
      <c r="O37" s="126" t="s">
        <v>284</v>
      </c>
      <c r="P37" s="170">
        <v>27015</v>
      </c>
      <c r="Q37" s="171" t="s">
        <v>884</v>
      </c>
      <c r="R37" s="126" t="s">
        <v>285</v>
      </c>
      <c r="S37" s="200">
        <v>38459</v>
      </c>
      <c r="T37" s="168"/>
      <c r="U37" s="117"/>
    </row>
    <row r="38" spans="1:21" ht="15.75">
      <c r="A38" s="1">
        <v>32</v>
      </c>
      <c r="B38" s="87">
        <v>9.6192129629629627E-2</v>
      </c>
      <c r="C38" s="25">
        <f t="shared" si="3"/>
        <v>138.51666666666665</v>
      </c>
      <c r="D38" s="25">
        <f t="shared" si="1"/>
        <v>130.82292925224863</v>
      </c>
      <c r="E38" s="4">
        <f t="shared" si="6"/>
        <v>0.99319999999999997</v>
      </c>
      <c r="F38" s="25">
        <v>134.08007467413404</v>
      </c>
      <c r="G38" s="25">
        <v>138.51666666666665</v>
      </c>
      <c r="H38" s="153">
        <f t="shared" si="2"/>
        <v>2.4292538841446224E-2</v>
      </c>
      <c r="I38" s="1">
        <v>32</v>
      </c>
      <c r="J38" s="131">
        <f t="shared" si="4"/>
        <v>96.797069912742671</v>
      </c>
      <c r="K38" s="115">
        <f t="shared" si="5"/>
        <v>94.445623332149182</v>
      </c>
      <c r="L38" s="191" t="s">
        <v>1089</v>
      </c>
      <c r="M38" s="126" t="s">
        <v>270</v>
      </c>
      <c r="N38" s="126" t="s">
        <v>556</v>
      </c>
      <c r="O38" s="126" t="s">
        <v>272</v>
      </c>
      <c r="P38" s="170">
        <v>31199</v>
      </c>
      <c r="Q38" s="171" t="s">
        <v>890</v>
      </c>
      <c r="R38" s="126" t="s">
        <v>895</v>
      </c>
      <c r="S38" s="200">
        <v>43016</v>
      </c>
      <c r="T38" s="168"/>
      <c r="U38" s="117"/>
    </row>
    <row r="39" spans="1:21" ht="15.75">
      <c r="A39" s="1">
        <v>33</v>
      </c>
      <c r="B39" s="87">
        <v>9.6238425925925922E-2</v>
      </c>
      <c r="C39" s="25">
        <f t="shared" si="3"/>
        <v>138.58333333333331</v>
      </c>
      <c r="D39" s="25">
        <f t="shared" si="1"/>
        <v>131.15305676121261</v>
      </c>
      <c r="E39" s="4">
        <f t="shared" si="6"/>
        <v>0.99070000000000003</v>
      </c>
      <c r="F39" s="25">
        <v>134.16057907201704</v>
      </c>
      <c r="G39" s="25">
        <v>138.58333333333331</v>
      </c>
      <c r="H39" s="153">
        <f t="shared" si="2"/>
        <v>2.2417332510095998E-2</v>
      </c>
      <c r="I39" s="1">
        <v>33</v>
      </c>
      <c r="J39" s="131">
        <f t="shared" si="4"/>
        <v>96.808595842706239</v>
      </c>
      <c r="K39" s="115">
        <f t="shared" si="5"/>
        <v>94.638405359864791</v>
      </c>
      <c r="L39" s="191" t="s">
        <v>1090</v>
      </c>
      <c r="M39" s="126" t="s">
        <v>270</v>
      </c>
      <c r="N39" s="126" t="s">
        <v>556</v>
      </c>
      <c r="O39" s="126" t="s">
        <v>272</v>
      </c>
      <c r="P39" s="170">
        <v>31199</v>
      </c>
      <c r="Q39" s="171" t="s">
        <v>892</v>
      </c>
      <c r="R39" s="126" t="s">
        <v>545</v>
      </c>
      <c r="S39" s="200">
        <v>43359</v>
      </c>
      <c r="T39" s="168"/>
      <c r="U39" s="117"/>
    </row>
    <row r="40" spans="1:21" ht="15.75">
      <c r="A40" s="1">
        <v>34</v>
      </c>
      <c r="B40" s="87">
        <v>9.6192129629629627E-2</v>
      </c>
      <c r="C40" s="25">
        <f t="shared" si="3"/>
        <v>138.51666666666665</v>
      </c>
      <c r="D40" s="25">
        <f t="shared" si="1"/>
        <v>131.52478321017648</v>
      </c>
      <c r="E40" s="4">
        <f t="shared" si="6"/>
        <v>0.9879</v>
      </c>
      <c r="F40" s="25">
        <v>134.32187823531373</v>
      </c>
      <c r="G40" s="25">
        <v>138.51666666666665</v>
      </c>
      <c r="H40" s="153">
        <f t="shared" si="2"/>
        <v>2.0823823057604371E-2</v>
      </c>
      <c r="I40" s="1">
        <v>34</v>
      </c>
      <c r="J40" s="131">
        <f t="shared" si="4"/>
        <v>96.971636314749432</v>
      </c>
      <c r="K40" s="115">
        <f t="shared" si="5"/>
        <v>94.95231611852472</v>
      </c>
      <c r="L40" s="191" t="s">
        <v>1089</v>
      </c>
      <c r="M40" s="126" t="s">
        <v>896</v>
      </c>
      <c r="N40" s="126" t="s">
        <v>897</v>
      </c>
      <c r="O40" s="126" t="s">
        <v>268</v>
      </c>
      <c r="P40" s="170">
        <v>30570</v>
      </c>
      <c r="Q40" s="171" t="s">
        <v>884</v>
      </c>
      <c r="R40" s="126" t="s">
        <v>285</v>
      </c>
      <c r="S40" s="200">
        <v>43212</v>
      </c>
      <c r="T40" s="168"/>
      <c r="U40" s="117"/>
    </row>
    <row r="41" spans="1:21" ht="15.75">
      <c r="A41" s="1">
        <v>35</v>
      </c>
      <c r="B41" s="87">
        <v>9.5150462962962964E-2</v>
      </c>
      <c r="C41" s="25">
        <f t="shared" si="3"/>
        <v>137.01666666666668</v>
      </c>
      <c r="D41" s="25">
        <f t="shared" si="1"/>
        <v>131.96560362922338</v>
      </c>
      <c r="E41" s="4">
        <f t="shared" si="6"/>
        <v>0.98460000000000003</v>
      </c>
      <c r="F41" s="25">
        <v>134.59157380450421</v>
      </c>
      <c r="G41" s="25">
        <v>137.01666666666668</v>
      </c>
      <c r="H41" s="153">
        <f t="shared" si="2"/>
        <v>1.9510658067607399E-2</v>
      </c>
      <c r="I41" s="1">
        <v>35</v>
      </c>
      <c r="J41" s="131">
        <f t="shared" si="4"/>
        <v>98.230074544097462</v>
      </c>
      <c r="K41" s="115">
        <f t="shared" si="5"/>
        <v>96.313541147711973</v>
      </c>
      <c r="L41" s="191" t="s">
        <v>1144</v>
      </c>
      <c r="M41" s="126" t="s">
        <v>306</v>
      </c>
      <c r="N41" s="126" t="s">
        <v>784</v>
      </c>
      <c r="O41" s="126" t="s">
        <v>268</v>
      </c>
      <c r="P41" s="170">
        <v>29969</v>
      </c>
      <c r="Q41" s="171" t="s">
        <v>884</v>
      </c>
      <c r="R41" s="126" t="s">
        <v>285</v>
      </c>
      <c r="S41" s="200">
        <v>42848</v>
      </c>
      <c r="T41" s="168"/>
      <c r="U41" s="117"/>
    </row>
    <row r="42" spans="1:21" ht="15.75">
      <c r="A42" s="1">
        <v>36</v>
      </c>
      <c r="B42" s="87">
        <v>9.6747685185185187E-2</v>
      </c>
      <c r="C42" s="25">
        <f t="shared" si="3"/>
        <v>139.31666666666666</v>
      </c>
      <c r="D42" s="25">
        <f t="shared" ref="D42:D73" si="7">E$4/E42</f>
        <v>132.4498810737343</v>
      </c>
      <c r="E42" s="4">
        <f t="shared" si="6"/>
        <v>0.98099999999999998</v>
      </c>
      <c r="F42" s="25">
        <v>134.94380137560807</v>
      </c>
      <c r="G42" s="25">
        <v>139.31666666666666</v>
      </c>
      <c r="H42" s="153">
        <f t="shared" si="2"/>
        <v>1.8481177174875133E-2</v>
      </c>
      <c r="I42" s="1">
        <v>36</v>
      </c>
      <c r="J42" s="131">
        <f t="shared" si="4"/>
        <v>96.861204480637454</v>
      </c>
      <c r="K42" s="115">
        <f t="shared" si="5"/>
        <v>95.071095399258994</v>
      </c>
      <c r="L42" s="191" t="s">
        <v>1091</v>
      </c>
      <c r="M42" s="126" t="s">
        <v>568</v>
      </c>
      <c r="N42" s="126" t="s">
        <v>569</v>
      </c>
      <c r="O42" s="126" t="s">
        <v>345</v>
      </c>
      <c r="P42" s="170">
        <v>26534</v>
      </c>
      <c r="Q42" s="171" t="s">
        <v>892</v>
      </c>
      <c r="R42" s="126" t="s">
        <v>545</v>
      </c>
      <c r="S42" s="200">
        <v>39719</v>
      </c>
      <c r="T42" s="168"/>
      <c r="U42" s="117"/>
    </row>
    <row r="43" spans="1:21" ht="15.75">
      <c r="A43" s="1">
        <v>37</v>
      </c>
      <c r="B43" s="87">
        <v>9.6666666666666665E-2</v>
      </c>
      <c r="C43" s="25">
        <f t="shared" si="3"/>
        <v>139.19999999999999</v>
      </c>
      <c r="D43" s="25">
        <f t="shared" si="7"/>
        <v>132.97854194384746</v>
      </c>
      <c r="E43" s="4">
        <f t="shared" si="6"/>
        <v>0.97709999999999997</v>
      </c>
      <c r="F43" s="25">
        <v>135.39352319396752</v>
      </c>
      <c r="G43" s="25">
        <v>141.48333333333335</v>
      </c>
      <c r="H43" s="153">
        <f t="shared" si="2"/>
        <v>1.7836756095491457E-2</v>
      </c>
      <c r="I43" s="1">
        <v>37</v>
      </c>
      <c r="J43" s="131">
        <f t="shared" si="4"/>
        <v>97.265462064631848</v>
      </c>
      <c r="K43" s="115">
        <f t="shared" si="5"/>
        <v>95.530561741269736</v>
      </c>
      <c r="L43" s="191" t="s">
        <v>1084</v>
      </c>
      <c r="M43" s="126" t="s">
        <v>1156</v>
      </c>
      <c r="N43" s="126" t="s">
        <v>1157</v>
      </c>
      <c r="O43" s="126" t="s">
        <v>241</v>
      </c>
      <c r="P43" s="170">
        <v>30976</v>
      </c>
      <c r="Q43" s="176" t="s">
        <v>1158</v>
      </c>
      <c r="R43" s="116" t="s">
        <v>378</v>
      </c>
      <c r="S43" s="200">
        <v>44577</v>
      </c>
      <c r="T43" s="168"/>
      <c r="U43" s="117"/>
    </row>
    <row r="44" spans="1:21" ht="15.75">
      <c r="A44" s="1">
        <v>38</v>
      </c>
      <c r="B44" s="87">
        <v>9.8125000000000004E-2</v>
      </c>
      <c r="C44" s="25">
        <f t="shared" ref="C44:C75" si="8">B44*1440</f>
        <v>141.30000000000001</v>
      </c>
      <c r="D44" s="25">
        <f t="shared" si="7"/>
        <v>133.58006922312464</v>
      </c>
      <c r="E44" s="4">
        <f t="shared" si="6"/>
        <v>0.97270000000000001</v>
      </c>
      <c r="F44" s="25">
        <v>135.94267558980596</v>
      </c>
      <c r="G44" s="25">
        <v>141.30000000000001</v>
      </c>
      <c r="H44" s="153">
        <f t="shared" si="2"/>
        <v>1.7379431119998394E-2</v>
      </c>
      <c r="I44" s="1">
        <v>38</v>
      </c>
      <c r="J44" s="131">
        <f t="shared" ref="J44:J75" si="9">100*(F44/C44)</f>
        <v>96.208546064972367</v>
      </c>
      <c r="K44" s="115">
        <f t="shared" ref="K44:K75" si="10">100*(D44/C44)</f>
        <v>94.536496265480991</v>
      </c>
      <c r="L44" s="191" t="s">
        <v>1092</v>
      </c>
      <c r="M44" s="126" t="s">
        <v>787</v>
      </c>
      <c r="N44" s="126" t="s">
        <v>788</v>
      </c>
      <c r="O44" s="126" t="s">
        <v>268</v>
      </c>
      <c r="P44" s="170">
        <v>29174</v>
      </c>
      <c r="Q44" s="171" t="s">
        <v>892</v>
      </c>
      <c r="R44" s="126" t="s">
        <v>545</v>
      </c>
      <c r="S44" s="200">
        <v>43359</v>
      </c>
      <c r="T44" s="168"/>
      <c r="U44" s="117"/>
    </row>
    <row r="45" spans="1:21" ht="15.75">
      <c r="A45" s="1">
        <v>39</v>
      </c>
      <c r="B45" s="87">
        <v>9.8750000000000004E-2</v>
      </c>
      <c r="C45" s="25">
        <f t="shared" si="8"/>
        <v>142.20000000000002</v>
      </c>
      <c r="D45" s="25">
        <f t="shared" si="7"/>
        <v>134.24251816647725</v>
      </c>
      <c r="E45" s="4">
        <f t="shared" si="6"/>
        <v>0.96789999999999998</v>
      </c>
      <c r="F45" s="25">
        <v>136.5936491764306</v>
      </c>
      <c r="G45" s="25">
        <v>142.20000000000002</v>
      </c>
      <c r="H45" s="153">
        <f t="shared" si="2"/>
        <v>1.7212593880675378E-2</v>
      </c>
      <c r="I45" s="1">
        <v>39</v>
      </c>
      <c r="J45" s="131">
        <f t="shared" si="9"/>
        <v>96.057418548826007</v>
      </c>
      <c r="K45" s="115">
        <f t="shared" si="10"/>
        <v>94.404021214119012</v>
      </c>
      <c r="L45" s="191" t="s">
        <v>1093</v>
      </c>
      <c r="M45" s="126" t="s">
        <v>898</v>
      </c>
      <c r="N45" s="126" t="s">
        <v>899</v>
      </c>
      <c r="O45" s="126" t="s">
        <v>268</v>
      </c>
      <c r="P45" s="170">
        <v>29043</v>
      </c>
      <c r="Q45" s="171"/>
      <c r="R45" s="126" t="s">
        <v>900</v>
      </c>
      <c r="S45" s="200">
        <v>43562</v>
      </c>
      <c r="T45" s="168"/>
      <c r="U45" s="117"/>
    </row>
    <row r="46" spans="1:21" ht="15.75">
      <c r="A46" s="1">
        <v>40</v>
      </c>
      <c r="B46" s="87">
        <v>9.9664351851851851E-2</v>
      </c>
      <c r="C46" s="25">
        <f t="shared" si="8"/>
        <v>143.51666666666665</v>
      </c>
      <c r="D46" s="25">
        <f t="shared" si="7"/>
        <v>134.95360753358261</v>
      </c>
      <c r="E46" s="4">
        <f t="shared" si="6"/>
        <v>0.96279999999999999</v>
      </c>
      <c r="F46" s="25">
        <v>137.33524550979988</v>
      </c>
      <c r="G46" s="25">
        <v>143.51666666666665</v>
      </c>
      <c r="H46" s="153">
        <f t="shared" si="2"/>
        <v>1.7341782638363695E-2</v>
      </c>
      <c r="I46" s="1">
        <v>40</v>
      </c>
      <c r="J46" s="131">
        <f t="shared" si="9"/>
        <v>95.692889682824216</v>
      </c>
      <c r="K46" s="115">
        <f t="shared" si="10"/>
        <v>94.033404389907759</v>
      </c>
      <c r="L46" s="191" t="s">
        <v>1094</v>
      </c>
      <c r="M46" s="126" t="s">
        <v>276</v>
      </c>
      <c r="N46" s="126" t="s">
        <v>277</v>
      </c>
      <c r="O46" s="126" t="s">
        <v>268</v>
      </c>
      <c r="P46" s="170">
        <v>28256</v>
      </c>
      <c r="Q46" s="171"/>
      <c r="R46" s="126" t="s">
        <v>901</v>
      </c>
      <c r="S46" s="200">
        <v>43051</v>
      </c>
      <c r="T46" s="168"/>
      <c r="U46" s="117"/>
    </row>
    <row r="47" spans="1:21" ht="15.75">
      <c r="A47" s="1">
        <v>41</v>
      </c>
      <c r="B47" s="87">
        <v>9.8738425925925924E-2</v>
      </c>
      <c r="C47" s="25">
        <f t="shared" si="8"/>
        <v>142.18333333333334</v>
      </c>
      <c r="D47" s="25">
        <f t="shared" si="7"/>
        <v>135.72895992200284</v>
      </c>
      <c r="E47" s="4">
        <f t="shared" si="6"/>
        <v>0.95730000000000004</v>
      </c>
      <c r="F47" s="25">
        <v>138.18456675599529</v>
      </c>
      <c r="G47" s="25">
        <v>142.18333333333334</v>
      </c>
      <c r="H47" s="153">
        <f t="shared" si="2"/>
        <v>1.7770485457529638E-2</v>
      </c>
      <c r="I47" s="1">
        <v>41</v>
      </c>
      <c r="J47" s="131">
        <f t="shared" si="9"/>
        <v>97.18759823420136</v>
      </c>
      <c r="K47" s="115">
        <f t="shared" si="10"/>
        <v>95.460527433128235</v>
      </c>
      <c r="L47" s="191" t="s">
        <v>1095</v>
      </c>
      <c r="M47" s="126" t="s">
        <v>276</v>
      </c>
      <c r="N47" s="126" t="s">
        <v>277</v>
      </c>
      <c r="O47" s="126" t="s">
        <v>268</v>
      </c>
      <c r="P47" s="170">
        <v>28256</v>
      </c>
      <c r="Q47" s="171" t="s">
        <v>1159</v>
      </c>
      <c r="R47" s="126" t="s">
        <v>777</v>
      </c>
      <c r="S47" s="200">
        <v>43436</v>
      </c>
      <c r="T47" s="168"/>
      <c r="U47" s="117"/>
    </row>
    <row r="48" spans="1:21" ht="15.75">
      <c r="A48" s="1">
        <v>42</v>
      </c>
      <c r="B48" s="87">
        <v>0.10012731481481481</v>
      </c>
      <c r="C48" s="25">
        <f t="shared" si="8"/>
        <v>144.18333333333334</v>
      </c>
      <c r="D48" s="25">
        <f t="shared" si="7"/>
        <v>136.57066778782146</v>
      </c>
      <c r="E48" s="4">
        <f t="shared" si="6"/>
        <v>0.95140000000000002</v>
      </c>
      <c r="F48" s="25">
        <v>139.14547656114854</v>
      </c>
      <c r="G48" s="25">
        <v>144.18333333333334</v>
      </c>
      <c r="H48" s="153">
        <f t="shared" si="2"/>
        <v>1.8504437492048536E-2</v>
      </c>
      <c r="I48" s="1">
        <v>42</v>
      </c>
      <c r="J48" s="131">
        <f t="shared" si="9"/>
        <v>96.505936812725835</v>
      </c>
      <c r="K48" s="115">
        <f t="shared" si="10"/>
        <v>94.720148737363161</v>
      </c>
      <c r="L48" s="191" t="s">
        <v>1096</v>
      </c>
      <c r="M48" s="126" t="s">
        <v>902</v>
      </c>
      <c r="N48" s="126" t="s">
        <v>903</v>
      </c>
      <c r="O48" s="126" t="s">
        <v>632</v>
      </c>
      <c r="P48" s="170">
        <v>28173</v>
      </c>
      <c r="Q48" s="171" t="s">
        <v>884</v>
      </c>
      <c r="R48" s="126" t="s">
        <v>285</v>
      </c>
      <c r="S48" s="200">
        <v>43583</v>
      </c>
      <c r="T48" s="168"/>
      <c r="U48" s="117"/>
    </row>
    <row r="49" spans="1:21" ht="15.75">
      <c r="A49" s="1">
        <v>43</v>
      </c>
      <c r="B49" s="87">
        <v>0.10376157407407408</v>
      </c>
      <c r="C49" s="25">
        <f t="shared" si="8"/>
        <v>149.41666666666666</v>
      </c>
      <c r="D49" s="25">
        <f t="shared" si="7"/>
        <v>137.46649739032304</v>
      </c>
      <c r="E49" s="4">
        <f t="shared" si="6"/>
        <v>0.94520000000000004</v>
      </c>
      <c r="F49" s="25">
        <v>140.20776685491177</v>
      </c>
      <c r="G49" s="25">
        <v>149.41666666666669</v>
      </c>
      <c r="H49" s="153">
        <f t="shared" si="2"/>
        <v>1.9551480820783739E-2</v>
      </c>
      <c r="I49" s="1">
        <v>43</v>
      </c>
      <c r="J49" s="131">
        <f t="shared" si="9"/>
        <v>93.836765323978881</v>
      </c>
      <c r="K49" s="115">
        <f t="shared" si="10"/>
        <v>92.002117606462718</v>
      </c>
      <c r="L49" s="191" t="s">
        <v>1097</v>
      </c>
      <c r="M49" s="126" t="s">
        <v>326</v>
      </c>
      <c r="N49" s="126" t="s">
        <v>580</v>
      </c>
      <c r="O49" s="126" t="s">
        <v>328</v>
      </c>
      <c r="P49" s="170">
        <v>20152</v>
      </c>
      <c r="Q49" s="171" t="s">
        <v>890</v>
      </c>
      <c r="R49" s="126" t="s">
        <v>895</v>
      </c>
      <c r="S49" s="200">
        <v>36079</v>
      </c>
      <c r="T49" s="168"/>
      <c r="U49" s="117"/>
    </row>
    <row r="50" spans="1:21" ht="15.75">
      <c r="A50" s="1">
        <v>44</v>
      </c>
      <c r="B50" s="87">
        <v>0.10396990740740741</v>
      </c>
      <c r="C50" s="25">
        <f t="shared" si="8"/>
        <v>149.71666666666667</v>
      </c>
      <c r="D50" s="25">
        <f t="shared" si="7"/>
        <v>138.43312735279494</v>
      </c>
      <c r="E50" s="4">
        <f t="shared" si="6"/>
        <v>0.93859999999999999</v>
      </c>
      <c r="F50" s="25">
        <v>141.39070519580957</v>
      </c>
      <c r="G50" s="25">
        <v>149.71666666666667</v>
      </c>
      <c r="H50" s="153">
        <f t="shared" si="2"/>
        <v>2.0917767111485398E-2</v>
      </c>
      <c r="I50" s="1">
        <v>44</v>
      </c>
      <c r="J50" s="131">
        <f t="shared" si="9"/>
        <v>94.438854633736767</v>
      </c>
      <c r="K50" s="115">
        <f t="shared" si="10"/>
        <v>92.463404666232833</v>
      </c>
      <c r="L50" s="191" t="s">
        <v>1098</v>
      </c>
      <c r="M50" s="126" t="s">
        <v>334</v>
      </c>
      <c r="N50" s="126" t="s">
        <v>904</v>
      </c>
      <c r="O50" s="126" t="s">
        <v>284</v>
      </c>
      <c r="P50" s="170">
        <v>13814</v>
      </c>
      <c r="Q50" s="171" t="s">
        <v>884</v>
      </c>
      <c r="R50" s="126" t="s">
        <v>285</v>
      </c>
      <c r="S50" s="200">
        <v>30080</v>
      </c>
      <c r="T50" s="168"/>
      <c r="U50" s="117"/>
    </row>
    <row r="51" spans="1:21" ht="15.75">
      <c r="A51" s="1">
        <v>45</v>
      </c>
      <c r="B51" s="87">
        <v>9.8310185185185181E-2</v>
      </c>
      <c r="C51" s="25">
        <f t="shared" si="8"/>
        <v>141.56666666666666</v>
      </c>
      <c r="D51" s="25">
        <f t="shared" si="7"/>
        <v>139.48828055108248</v>
      </c>
      <c r="E51" s="4">
        <f t="shared" si="6"/>
        <v>0.93149999999999999</v>
      </c>
      <c r="F51" s="25">
        <v>142.70001773993255</v>
      </c>
      <c r="G51" s="25">
        <v>148.56666666666666</v>
      </c>
      <c r="H51" s="153">
        <f t="shared" si="2"/>
        <v>2.2506915133699436E-2</v>
      </c>
      <c r="I51" s="1">
        <v>45</v>
      </c>
      <c r="J51" s="131">
        <f t="shared" si="9"/>
        <v>100.80057763593069</v>
      </c>
      <c r="K51" s="115">
        <f t="shared" si="10"/>
        <v>98.531867589650929</v>
      </c>
      <c r="L51" s="191" t="s">
        <v>1099</v>
      </c>
      <c r="M51" s="126" t="s">
        <v>902</v>
      </c>
      <c r="N51" s="126" t="s">
        <v>903</v>
      </c>
      <c r="O51" s="126" t="s">
        <v>632</v>
      </c>
      <c r="P51" s="170">
        <v>28173</v>
      </c>
      <c r="Q51" s="171" t="s">
        <v>1159</v>
      </c>
      <c r="R51" s="126" t="s">
        <v>1160</v>
      </c>
      <c r="S51" s="200">
        <v>44899</v>
      </c>
      <c r="T51" s="168"/>
      <c r="U51" s="117"/>
    </row>
    <row r="52" spans="1:21" ht="15.75">
      <c r="A52" s="1">
        <v>46</v>
      </c>
      <c r="B52" s="87">
        <v>0.1044675925925926</v>
      </c>
      <c r="C52" s="25">
        <f t="shared" si="8"/>
        <v>150.43333333333334</v>
      </c>
      <c r="D52" s="25">
        <f t="shared" si="7"/>
        <v>140.60527359953829</v>
      </c>
      <c r="E52" s="4">
        <f t="shared" si="6"/>
        <v>0.92410000000000003</v>
      </c>
      <c r="F52" s="25">
        <v>144.14220693115431</v>
      </c>
      <c r="G52" s="25">
        <v>150.43333333333334</v>
      </c>
      <c r="H52" s="153">
        <f t="shared" si="2"/>
        <v>2.4537804761830338E-2</v>
      </c>
      <c r="I52" s="1">
        <v>46</v>
      </c>
      <c r="J52" s="131">
        <f t="shared" si="9"/>
        <v>95.817997073667826</v>
      </c>
      <c r="K52" s="115">
        <f t="shared" si="10"/>
        <v>93.466833768804534</v>
      </c>
      <c r="L52" s="191" t="s">
        <v>1100</v>
      </c>
      <c r="M52" s="126" t="s">
        <v>326</v>
      </c>
      <c r="N52" s="126" t="s">
        <v>580</v>
      </c>
      <c r="O52" s="126" t="s">
        <v>328</v>
      </c>
      <c r="P52" s="170">
        <v>20152</v>
      </c>
      <c r="Q52" s="171" t="s">
        <v>859</v>
      </c>
      <c r="R52" s="126" t="s">
        <v>808</v>
      </c>
      <c r="S52" s="200">
        <v>37318</v>
      </c>
      <c r="T52" s="168"/>
      <c r="U52" s="117" t="s">
        <v>860</v>
      </c>
    </row>
    <row r="53" spans="1:21" ht="15.75">
      <c r="A53" s="1">
        <v>47</v>
      </c>
      <c r="B53" s="87">
        <v>0.10347222222222222</v>
      </c>
      <c r="C53" s="25">
        <f t="shared" si="8"/>
        <v>149</v>
      </c>
      <c r="D53" s="25">
        <f t="shared" si="7"/>
        <v>141.78670158591592</v>
      </c>
      <c r="E53" s="4">
        <f t="shared" si="6"/>
        <v>0.91639999999999999</v>
      </c>
      <c r="F53" s="25">
        <v>145.72463768115938</v>
      </c>
      <c r="G53" s="25">
        <v>149</v>
      </c>
      <c r="H53" s="153">
        <f t="shared" si="2"/>
        <v>2.7023131832103302E-2</v>
      </c>
      <c r="I53" s="1">
        <v>47</v>
      </c>
      <c r="J53" s="131">
        <f t="shared" si="9"/>
        <v>97.801770255811661</v>
      </c>
      <c r="K53" s="115">
        <f t="shared" si="10"/>
        <v>95.158860124775785</v>
      </c>
      <c r="L53" s="191" t="s">
        <v>1101</v>
      </c>
      <c r="M53" s="126" t="s">
        <v>326</v>
      </c>
      <c r="N53" s="126" t="s">
        <v>580</v>
      </c>
      <c r="O53" s="126" t="s">
        <v>328</v>
      </c>
      <c r="P53" s="170">
        <v>20152</v>
      </c>
      <c r="Q53" s="171"/>
      <c r="R53" s="126" t="s">
        <v>289</v>
      </c>
      <c r="S53" s="200">
        <v>37542</v>
      </c>
      <c r="T53" s="168"/>
      <c r="U53" s="117"/>
    </row>
    <row r="54" spans="1:21" ht="15.75">
      <c r="A54" s="1">
        <v>48</v>
      </c>
      <c r="B54" s="87">
        <v>0.10956018518518519</v>
      </c>
      <c r="C54" s="25">
        <f t="shared" si="8"/>
        <v>157.76666666666668</v>
      </c>
      <c r="D54" s="25">
        <f t="shared" si="7"/>
        <v>143.06687220142408</v>
      </c>
      <c r="E54" s="4">
        <f t="shared" si="6"/>
        <v>0.90820000000000001</v>
      </c>
      <c r="F54" s="25">
        <v>147.43942226621206</v>
      </c>
      <c r="G54" s="25">
        <v>157.76666666666665</v>
      </c>
      <c r="H54" s="153">
        <f t="shared" si="2"/>
        <v>2.9656587075423055E-2</v>
      </c>
      <c r="I54" s="1">
        <v>48</v>
      </c>
      <c r="J54" s="131">
        <f t="shared" si="9"/>
        <v>93.45410242946042</v>
      </c>
      <c r="K54" s="115">
        <f t="shared" si="10"/>
        <v>90.682572703205622</v>
      </c>
      <c r="L54" s="191" t="s">
        <v>1102</v>
      </c>
      <c r="M54" s="126" t="s">
        <v>905</v>
      </c>
      <c r="N54" s="126" t="s">
        <v>906</v>
      </c>
      <c r="O54" s="126" t="s">
        <v>320</v>
      </c>
      <c r="P54" s="170">
        <v>22473</v>
      </c>
      <c r="Q54" s="171"/>
      <c r="R54" s="126" t="s">
        <v>907</v>
      </c>
      <c r="S54" s="200">
        <v>40230</v>
      </c>
      <c r="T54" s="168"/>
      <c r="U54" s="117"/>
    </row>
    <row r="55" spans="1:21" ht="15.75">
      <c r="A55" s="1">
        <v>49</v>
      </c>
      <c r="B55" s="87">
        <v>0.10436342592592593</v>
      </c>
      <c r="C55" s="25">
        <f t="shared" si="8"/>
        <v>150.28333333333333</v>
      </c>
      <c r="D55" s="25">
        <f t="shared" si="7"/>
        <v>144.41850987366158</v>
      </c>
      <c r="E55" s="4">
        <f t="shared" si="6"/>
        <v>0.89970000000000006</v>
      </c>
      <c r="F55" s="25">
        <v>149.26148593483259</v>
      </c>
      <c r="G55" s="25">
        <v>150.28333333333333</v>
      </c>
      <c r="H55" s="153">
        <f t="shared" si="2"/>
        <v>3.2446253839958777E-2</v>
      </c>
      <c r="I55" s="1">
        <v>49</v>
      </c>
      <c r="J55" s="131">
        <f t="shared" si="9"/>
        <v>99.320052745812973</v>
      </c>
      <c r="K55" s="115">
        <f t="shared" si="10"/>
        <v>96.09748910302423</v>
      </c>
      <c r="L55" s="191" t="s">
        <v>1103</v>
      </c>
      <c r="M55" s="126" t="s">
        <v>326</v>
      </c>
      <c r="N55" s="126" t="s">
        <v>580</v>
      </c>
      <c r="O55" s="126" t="s">
        <v>328</v>
      </c>
      <c r="P55" s="170">
        <v>20152</v>
      </c>
      <c r="Q55" s="171" t="s">
        <v>859</v>
      </c>
      <c r="R55" s="126" t="s">
        <v>808</v>
      </c>
      <c r="S55" s="200">
        <v>38053</v>
      </c>
      <c r="T55" s="168"/>
      <c r="U55" s="117" t="s">
        <v>860</v>
      </c>
    </row>
    <row r="56" spans="1:21" ht="15.75">
      <c r="A56" s="1">
        <v>50</v>
      </c>
      <c r="B56" s="87">
        <v>0.10491898148148149</v>
      </c>
      <c r="C56" s="25">
        <f t="shared" si="8"/>
        <v>151.08333333333334</v>
      </c>
      <c r="D56" s="25">
        <f t="shared" si="7"/>
        <v>145.86139799431223</v>
      </c>
      <c r="E56" s="4">
        <f t="shared" si="6"/>
        <v>0.89080000000000004</v>
      </c>
      <c r="F56" s="25">
        <v>151.11211301472795</v>
      </c>
      <c r="G56" s="25">
        <v>151.08333333333334</v>
      </c>
      <c r="H56" s="153">
        <f t="shared" si="2"/>
        <v>3.4747148429484086E-2</v>
      </c>
      <c r="I56" s="1">
        <v>50</v>
      </c>
      <c r="J56" s="131">
        <f t="shared" si="9"/>
        <v>100.01904887902566</v>
      </c>
      <c r="K56" s="115">
        <f t="shared" si="10"/>
        <v>96.543672141850337</v>
      </c>
      <c r="L56" s="191" t="s">
        <v>1145</v>
      </c>
      <c r="M56" s="126" t="s">
        <v>326</v>
      </c>
      <c r="N56" s="126" t="s">
        <v>580</v>
      </c>
      <c r="O56" s="126" t="s">
        <v>328</v>
      </c>
      <c r="P56" s="170">
        <v>20152</v>
      </c>
      <c r="Q56" s="171" t="s">
        <v>859</v>
      </c>
      <c r="R56" s="126" t="s">
        <v>808</v>
      </c>
      <c r="S56" s="200">
        <v>38417</v>
      </c>
      <c r="T56" s="168"/>
      <c r="U56" s="117" t="s">
        <v>860</v>
      </c>
    </row>
    <row r="57" spans="1:21" ht="15.75">
      <c r="A57" s="1">
        <v>51</v>
      </c>
      <c r="B57" s="87">
        <v>0.10817129629629629</v>
      </c>
      <c r="C57" s="25">
        <f t="shared" si="8"/>
        <v>155.76666666666665</v>
      </c>
      <c r="D57" s="25">
        <f t="shared" si="7"/>
        <v>147.40026470032143</v>
      </c>
      <c r="E57" s="4">
        <f t="shared" si="6"/>
        <v>0.88149999999999995</v>
      </c>
      <c r="F57" s="25">
        <v>153.02667123235548</v>
      </c>
      <c r="G57" s="25">
        <v>155.76666666666665</v>
      </c>
      <c r="H57" s="153">
        <f t="shared" si="2"/>
        <v>3.6767489527958989E-2</v>
      </c>
      <c r="I57" s="1">
        <v>51</v>
      </c>
      <c r="J57" s="131">
        <f t="shared" si="9"/>
        <v>98.240961630016372</v>
      </c>
      <c r="K57" s="115">
        <f t="shared" si="10"/>
        <v>94.628888102068117</v>
      </c>
      <c r="L57" s="191" t="s">
        <v>1104</v>
      </c>
      <c r="M57" s="126" t="s">
        <v>326</v>
      </c>
      <c r="N57" s="126" t="s">
        <v>580</v>
      </c>
      <c r="O57" s="126" t="s">
        <v>328</v>
      </c>
      <c r="P57" s="170">
        <v>20152</v>
      </c>
      <c r="Q57" s="171" t="s">
        <v>859</v>
      </c>
      <c r="R57" s="126" t="s">
        <v>808</v>
      </c>
      <c r="S57" s="200">
        <v>38795</v>
      </c>
      <c r="T57" s="168"/>
      <c r="U57" s="117" t="s">
        <v>860</v>
      </c>
    </row>
    <row r="58" spans="1:21" ht="15.75">
      <c r="A58" s="1">
        <v>52</v>
      </c>
      <c r="B58" s="87">
        <v>0.11721064814814815</v>
      </c>
      <c r="C58" s="25">
        <f t="shared" si="8"/>
        <v>168.78333333333333</v>
      </c>
      <c r="D58" s="25">
        <f t="shared" si="7"/>
        <v>149.04029976294257</v>
      </c>
      <c r="E58" s="4">
        <f t="shared" si="6"/>
        <v>0.87180000000000002</v>
      </c>
      <c r="F58" s="25">
        <v>154.97245019843561</v>
      </c>
      <c r="G58" s="25">
        <v>168.78333333333333</v>
      </c>
      <c r="H58" s="153">
        <f t="shared" si="2"/>
        <v>3.827874198218572E-2</v>
      </c>
      <c r="I58" s="1">
        <v>52</v>
      </c>
      <c r="J58" s="131">
        <f t="shared" si="9"/>
        <v>91.817389275265498</v>
      </c>
      <c r="K58" s="115">
        <f t="shared" si="10"/>
        <v>88.302735121719707</v>
      </c>
      <c r="L58" s="191" t="s">
        <v>1105</v>
      </c>
      <c r="M58" s="126" t="s">
        <v>908</v>
      </c>
      <c r="N58" s="126" t="s">
        <v>909</v>
      </c>
      <c r="O58" s="126" t="s">
        <v>345</v>
      </c>
      <c r="P58" s="170">
        <v>13345</v>
      </c>
      <c r="Q58" s="171"/>
      <c r="R58" s="126" t="s">
        <v>910</v>
      </c>
      <c r="S58" s="200">
        <v>32446</v>
      </c>
      <c r="T58" s="168"/>
      <c r="U58" s="117"/>
    </row>
    <row r="59" spans="1:21" ht="15.75">
      <c r="A59" s="1">
        <v>53</v>
      </c>
      <c r="B59" s="87">
        <v>0.11655092592592593</v>
      </c>
      <c r="C59" s="25">
        <f t="shared" si="8"/>
        <v>167.83333333333334</v>
      </c>
      <c r="D59" s="25">
        <f t="shared" si="7"/>
        <v>150.78720358980311</v>
      </c>
      <c r="E59" s="4">
        <f t="shared" si="6"/>
        <v>0.86170000000000002</v>
      </c>
      <c r="F59" s="25">
        <v>156.98672911787662</v>
      </c>
      <c r="G59" s="25">
        <v>167.83333333333334</v>
      </c>
      <c r="H59" s="153">
        <f t="shared" si="2"/>
        <v>3.9490761817315589E-2</v>
      </c>
      <c r="I59" s="1">
        <v>53</v>
      </c>
      <c r="J59" s="131">
        <f t="shared" si="9"/>
        <v>93.537276534981089</v>
      </c>
      <c r="K59" s="115">
        <f t="shared" si="10"/>
        <v>89.843418226297771</v>
      </c>
      <c r="L59" s="191" t="s">
        <v>1106</v>
      </c>
      <c r="M59" s="126" t="s">
        <v>341</v>
      </c>
      <c r="N59" s="126" t="s">
        <v>911</v>
      </c>
      <c r="O59" s="126" t="s">
        <v>241</v>
      </c>
      <c r="P59" s="170">
        <v>20956</v>
      </c>
      <c r="Q59" s="171" t="s">
        <v>890</v>
      </c>
      <c r="R59" s="126" t="s">
        <v>895</v>
      </c>
      <c r="S59" s="200">
        <v>40461</v>
      </c>
      <c r="T59" s="168"/>
      <c r="U59" s="117"/>
    </row>
    <row r="60" spans="1:21" ht="15.75">
      <c r="A60" s="1">
        <v>54</v>
      </c>
      <c r="B60" s="87">
        <v>0.12070601851851852</v>
      </c>
      <c r="C60" s="25">
        <f t="shared" si="8"/>
        <v>173.81666666666666</v>
      </c>
      <c r="D60" s="25">
        <f t="shared" si="7"/>
        <v>152.62931203257764</v>
      </c>
      <c r="E60" s="4">
        <f t="shared" si="6"/>
        <v>0.85129999999999995</v>
      </c>
      <c r="F60" s="25">
        <v>159.05405939810967</v>
      </c>
      <c r="G60" s="25">
        <v>173.81666666666666</v>
      </c>
      <c r="H60" s="153">
        <f t="shared" si="2"/>
        <v>4.0393482504278572E-2</v>
      </c>
      <c r="I60" s="1">
        <v>54</v>
      </c>
      <c r="J60" s="131">
        <f t="shared" si="9"/>
        <v>91.506794169015066</v>
      </c>
      <c r="K60" s="115">
        <f t="shared" si="10"/>
        <v>87.810516079726327</v>
      </c>
      <c r="L60" s="191" t="s">
        <v>1107</v>
      </c>
      <c r="M60" s="126" t="s">
        <v>811</v>
      </c>
      <c r="N60" s="126" t="s">
        <v>912</v>
      </c>
      <c r="O60" s="126" t="s">
        <v>813</v>
      </c>
      <c r="P60" s="170">
        <v>23167</v>
      </c>
      <c r="Q60" s="171"/>
      <c r="R60" s="126" t="s">
        <v>913</v>
      </c>
      <c r="S60" s="200">
        <v>42904</v>
      </c>
      <c r="T60" s="168"/>
      <c r="U60" s="117"/>
    </row>
    <row r="61" spans="1:21" ht="15.75">
      <c r="A61" s="1">
        <v>55</v>
      </c>
      <c r="B61" s="87">
        <v>0.11960648148148148</v>
      </c>
      <c r="C61" s="25">
        <f t="shared" si="8"/>
        <v>172.23333333333332</v>
      </c>
      <c r="D61" s="25">
        <f t="shared" si="7"/>
        <v>154.59052151497124</v>
      </c>
      <c r="E61" s="4">
        <f t="shared" si="6"/>
        <v>0.84050000000000002</v>
      </c>
      <c r="F61" s="25">
        <v>161.15719036743195</v>
      </c>
      <c r="G61" s="25">
        <v>172.23333333333335</v>
      </c>
      <c r="H61" s="153">
        <f t="shared" si="2"/>
        <v>4.0746980246360497E-2</v>
      </c>
      <c r="I61" s="1">
        <v>55</v>
      </c>
      <c r="J61" s="131">
        <f t="shared" si="9"/>
        <v>93.569106077471631</v>
      </c>
      <c r="K61" s="115">
        <f t="shared" si="10"/>
        <v>89.756447560463286</v>
      </c>
      <c r="L61" s="191" t="s">
        <v>1108</v>
      </c>
      <c r="M61" s="126" t="s">
        <v>829</v>
      </c>
      <c r="N61" s="126" t="s">
        <v>914</v>
      </c>
      <c r="O61" s="126" t="s">
        <v>241</v>
      </c>
      <c r="P61" s="170">
        <v>15914</v>
      </c>
      <c r="Q61" s="171" t="s">
        <v>890</v>
      </c>
      <c r="R61" s="126" t="s">
        <v>895</v>
      </c>
      <c r="S61" s="200">
        <v>36079</v>
      </c>
      <c r="T61" s="168"/>
      <c r="U61" s="117"/>
    </row>
    <row r="62" spans="1:21" ht="15.75">
      <c r="A62" s="1">
        <v>56</v>
      </c>
      <c r="B62" s="87">
        <v>0.11673611111111111</v>
      </c>
      <c r="C62" s="25">
        <f t="shared" si="8"/>
        <v>168.1</v>
      </c>
      <c r="D62" s="25">
        <f t="shared" si="7"/>
        <v>156.64054651396424</v>
      </c>
      <c r="E62" s="4">
        <f t="shared" si="6"/>
        <v>0.82950000000000002</v>
      </c>
      <c r="F62" s="25">
        <v>163.33658219623129</v>
      </c>
      <c r="G62" s="25">
        <v>175.06666666666666</v>
      </c>
      <c r="H62" s="153">
        <f t="shared" si="2"/>
        <v>4.0995321392377902E-2</v>
      </c>
      <c r="I62" s="1">
        <v>56</v>
      </c>
      <c r="J62" s="131">
        <f t="shared" si="9"/>
        <v>97.166318974557583</v>
      </c>
      <c r="K62" s="115">
        <f t="shared" si="10"/>
        <v>93.182954499681287</v>
      </c>
      <c r="L62" s="191" t="s">
        <v>1109</v>
      </c>
      <c r="M62" s="126" t="s">
        <v>1161</v>
      </c>
      <c r="N62" s="126" t="s">
        <v>1162</v>
      </c>
      <c r="O62" s="126" t="s">
        <v>632</v>
      </c>
      <c r="P62" s="170"/>
      <c r="Q62" s="171"/>
      <c r="R62" s="126" t="s">
        <v>1163</v>
      </c>
      <c r="S62" s="200">
        <v>44699</v>
      </c>
      <c r="T62" s="168"/>
      <c r="U62" s="117"/>
    </row>
    <row r="63" spans="1:21" ht="15.75">
      <c r="A63" s="1">
        <v>57</v>
      </c>
      <c r="B63" s="87">
        <v>0.12116898148148147</v>
      </c>
      <c r="C63" s="25">
        <f t="shared" si="8"/>
        <v>174.48333333333332</v>
      </c>
      <c r="D63" s="25">
        <f t="shared" si="7"/>
        <v>158.74567297902666</v>
      </c>
      <c r="E63" s="4">
        <f t="shared" si="6"/>
        <v>0.81850000000000001</v>
      </c>
      <c r="F63" s="25">
        <v>165.55528113937595</v>
      </c>
      <c r="G63" s="25">
        <v>174.48333333333332</v>
      </c>
      <c r="H63" s="153">
        <f t="shared" si="2"/>
        <v>4.1131929549359909E-2</v>
      </c>
      <c r="I63" s="1">
        <v>57</v>
      </c>
      <c r="J63" s="131">
        <f t="shared" si="9"/>
        <v>94.883148995726032</v>
      </c>
      <c r="K63" s="115">
        <f t="shared" si="10"/>
        <v>90.980421995812407</v>
      </c>
      <c r="L63" s="191" t="s">
        <v>1110</v>
      </c>
      <c r="M63" s="126" t="s">
        <v>915</v>
      </c>
      <c r="N63" s="126" t="s">
        <v>916</v>
      </c>
      <c r="O63" s="126" t="s">
        <v>866</v>
      </c>
      <c r="P63" s="170">
        <v>20650</v>
      </c>
      <c r="Q63" s="171"/>
      <c r="R63" s="126" t="s">
        <v>867</v>
      </c>
      <c r="S63" s="200">
        <v>41581</v>
      </c>
      <c r="T63" s="168"/>
      <c r="U63" s="117"/>
    </row>
    <row r="64" spans="1:21" ht="15.75">
      <c r="A64" s="1">
        <v>58</v>
      </c>
      <c r="B64" s="87">
        <v>0.12378472222222223</v>
      </c>
      <c r="C64" s="25">
        <f t="shared" si="8"/>
        <v>178.25</v>
      </c>
      <c r="D64" s="25">
        <f t="shared" si="7"/>
        <v>160.90815273477813</v>
      </c>
      <c r="E64" s="4">
        <f t="shared" si="6"/>
        <v>0.8075</v>
      </c>
      <c r="F64" s="25">
        <v>167.8560994950127</v>
      </c>
      <c r="G64" s="25">
        <v>178.61666666666665</v>
      </c>
      <c r="H64" s="153">
        <f t="shared" si="2"/>
        <v>4.1392280537538691E-2</v>
      </c>
      <c r="I64" s="1">
        <v>58</v>
      </c>
      <c r="J64" s="131">
        <f t="shared" si="9"/>
        <v>94.168919772798148</v>
      </c>
      <c r="K64" s="115">
        <f t="shared" si="10"/>
        <v>90.271053427645512</v>
      </c>
      <c r="L64" s="191" t="s">
        <v>1111</v>
      </c>
      <c r="M64" s="126" t="s">
        <v>1164</v>
      </c>
      <c r="N64" s="126" t="s">
        <v>1165</v>
      </c>
      <c r="O64" s="126" t="s">
        <v>264</v>
      </c>
      <c r="P64" s="126" t="s">
        <v>1166</v>
      </c>
      <c r="Q64" s="171" t="s">
        <v>941</v>
      </c>
      <c r="R64" s="126" t="s">
        <v>1167</v>
      </c>
      <c r="S64" s="200">
        <v>42794</v>
      </c>
      <c r="T64" s="168"/>
      <c r="U64" s="117"/>
    </row>
    <row r="65" spans="1:21" ht="15.75">
      <c r="A65" s="1">
        <v>59</v>
      </c>
      <c r="B65" s="87">
        <v>0.11489583333333334</v>
      </c>
      <c r="C65" s="25">
        <f t="shared" si="8"/>
        <v>165.45000000000002</v>
      </c>
      <c r="D65" s="25">
        <f t="shared" si="7"/>
        <v>163.1303620004185</v>
      </c>
      <c r="E65" s="4">
        <f t="shared" si="6"/>
        <v>0.79649999999999999</v>
      </c>
      <c r="F65" s="25">
        <v>170.22177078042998</v>
      </c>
      <c r="G65" s="25">
        <v>179.71666666666667</v>
      </c>
      <c r="H65" s="153">
        <f t="shared" si="2"/>
        <v>4.165982263901323E-2</v>
      </c>
      <c r="I65" s="1">
        <v>59</v>
      </c>
      <c r="J65" s="131">
        <f t="shared" si="9"/>
        <v>102.88411651884554</v>
      </c>
      <c r="K65" s="115">
        <f t="shared" si="10"/>
        <v>98.597982472298867</v>
      </c>
      <c r="L65" s="191" t="s">
        <v>1112</v>
      </c>
      <c r="M65" s="126" t="s">
        <v>1055</v>
      </c>
      <c r="N65" s="126" t="s">
        <v>1056</v>
      </c>
      <c r="O65" s="126" t="s">
        <v>241</v>
      </c>
      <c r="P65" s="170">
        <v>23193</v>
      </c>
      <c r="Q65" s="171" t="s">
        <v>884</v>
      </c>
      <c r="R65" s="126" t="s">
        <v>285</v>
      </c>
      <c r="S65" s="200">
        <v>45039</v>
      </c>
      <c r="T65" s="168"/>
      <c r="U65" s="117"/>
    </row>
    <row r="66" spans="1:21" ht="15.75">
      <c r="A66" s="1">
        <v>60</v>
      </c>
      <c r="B66" s="87">
        <v>0.11785879629629629</v>
      </c>
      <c r="C66" s="25">
        <f t="shared" si="8"/>
        <v>169.71666666666667</v>
      </c>
      <c r="D66" s="25">
        <f t="shared" si="7"/>
        <v>165.41481009972418</v>
      </c>
      <c r="E66" s="4">
        <f t="shared" ref="E66:E97" si="11">ROUND(1-IF(A66&lt;I$3,0,IF(A66&lt;I$4,G$3*(A66-I$3)^2,G$2+G$4*(A66-I$4)+(A66&gt;I$5)*G$5*(A66-I$5)^2)),4)</f>
        <v>0.78549999999999998</v>
      </c>
      <c r="F66" s="25">
        <v>172.63284402094598</v>
      </c>
      <c r="G66" s="25">
        <v>181.5</v>
      </c>
      <c r="H66" s="153">
        <f t="shared" si="2"/>
        <v>4.1811475459131178E-2</v>
      </c>
      <c r="I66" s="1">
        <v>60</v>
      </c>
      <c r="J66" s="131">
        <f t="shared" si="9"/>
        <v>101.71826221405047</v>
      </c>
      <c r="K66" s="115">
        <f t="shared" si="10"/>
        <v>97.465271589742215</v>
      </c>
      <c r="L66" s="191" t="s">
        <v>1113</v>
      </c>
      <c r="M66" s="126" t="s">
        <v>1055</v>
      </c>
      <c r="N66" s="126" t="s">
        <v>1056</v>
      </c>
      <c r="O66" s="126" t="s">
        <v>241</v>
      </c>
      <c r="P66" s="170">
        <v>23193</v>
      </c>
      <c r="Q66" s="196" t="s">
        <v>890</v>
      </c>
      <c r="R66" s="196" t="s">
        <v>891</v>
      </c>
      <c r="S66" s="352">
        <v>45207</v>
      </c>
      <c r="T66" s="168"/>
      <c r="U66" s="117"/>
    </row>
    <row r="67" spans="1:21" ht="15.75">
      <c r="A67" s="1">
        <v>61</v>
      </c>
      <c r="B67" s="87">
        <v>0.12958333333333333</v>
      </c>
      <c r="C67" s="25">
        <f t="shared" si="8"/>
        <v>186.6</v>
      </c>
      <c r="D67" s="25">
        <f t="shared" si="7"/>
        <v>167.76414891327738</v>
      </c>
      <c r="E67" s="4">
        <f t="shared" si="11"/>
        <v>0.77449999999999997</v>
      </c>
      <c r="F67" s="25">
        <v>175.13607663836268</v>
      </c>
      <c r="G67" s="25">
        <v>186.6</v>
      </c>
      <c r="H67" s="153">
        <f t="shared" si="2"/>
        <v>4.2092570911632009E-2</v>
      </c>
      <c r="I67" s="1">
        <v>61</v>
      </c>
      <c r="J67" s="131">
        <f t="shared" si="9"/>
        <v>93.856418348533055</v>
      </c>
      <c r="K67" s="115">
        <f t="shared" si="10"/>
        <v>89.905760403685633</v>
      </c>
      <c r="L67" s="191" t="s">
        <v>1146</v>
      </c>
      <c r="M67" s="126" t="s">
        <v>1164</v>
      </c>
      <c r="N67" s="126" t="s">
        <v>1165</v>
      </c>
      <c r="O67" s="126" t="s">
        <v>264</v>
      </c>
      <c r="P67" s="126" t="s">
        <v>1166</v>
      </c>
      <c r="Q67" s="171" t="s">
        <v>1168</v>
      </c>
      <c r="R67" s="126" t="s">
        <v>1169</v>
      </c>
      <c r="S67" s="200">
        <v>43772</v>
      </c>
      <c r="T67" s="168"/>
      <c r="U67" s="117"/>
    </row>
    <row r="68" spans="1:21" ht="15.75">
      <c r="A68" s="1">
        <v>62</v>
      </c>
      <c r="B68" s="87">
        <v>0.12284722222222222</v>
      </c>
      <c r="C68" s="25">
        <f t="shared" si="8"/>
        <v>176.9</v>
      </c>
      <c r="D68" s="25">
        <f t="shared" si="7"/>
        <v>170.18118314778434</v>
      </c>
      <c r="E68" s="4">
        <f t="shared" si="11"/>
        <v>0.76349999999999996</v>
      </c>
      <c r="F68" s="25">
        <v>177.68941904130767</v>
      </c>
      <c r="G68" s="25">
        <v>194.61666666666667</v>
      </c>
      <c r="H68" s="153">
        <f t="shared" si="2"/>
        <v>4.2254828306787846E-2</v>
      </c>
      <c r="I68" s="1">
        <v>62</v>
      </c>
      <c r="J68" s="131">
        <f t="shared" si="9"/>
        <v>100.44625157790146</v>
      </c>
      <c r="K68" s="115">
        <f t="shared" si="10"/>
        <v>96.201912463416804</v>
      </c>
      <c r="L68" s="191" t="s">
        <v>1114</v>
      </c>
      <c r="M68" s="126" t="s">
        <v>1164</v>
      </c>
      <c r="N68" s="126" t="s">
        <v>1165</v>
      </c>
      <c r="O68" s="126" t="s">
        <v>264</v>
      </c>
      <c r="P68" s="126" t="s">
        <v>1166</v>
      </c>
      <c r="Q68" s="171" t="s">
        <v>1170</v>
      </c>
      <c r="R68" s="126" t="s">
        <v>1171</v>
      </c>
      <c r="S68" s="200">
        <v>44227</v>
      </c>
      <c r="T68" s="168"/>
      <c r="U68" s="117"/>
    </row>
    <row r="69" spans="1:21" ht="15.75">
      <c r="A69" s="1">
        <v>63</v>
      </c>
      <c r="B69" s="87">
        <v>0.11961805555555556</v>
      </c>
      <c r="C69" s="25">
        <f t="shared" si="8"/>
        <v>172.25</v>
      </c>
      <c r="D69" s="25">
        <f t="shared" si="7"/>
        <v>172.66888150609083</v>
      </c>
      <c r="E69" s="4">
        <f t="shared" si="11"/>
        <v>0.75249999999999995</v>
      </c>
      <c r="F69" s="25">
        <v>180.34257017307863</v>
      </c>
      <c r="G69" s="25">
        <v>187.79999999999998</v>
      </c>
      <c r="H69" s="153">
        <f t="shared" si="2"/>
        <v>4.2550622737732954E-2</v>
      </c>
      <c r="I69" s="1">
        <v>63</v>
      </c>
      <c r="J69" s="131">
        <f t="shared" si="9"/>
        <v>104.6981539466349</v>
      </c>
      <c r="K69" s="115">
        <f t="shared" si="10"/>
        <v>100.24318229671456</v>
      </c>
      <c r="L69" s="191" t="s">
        <v>1115</v>
      </c>
      <c r="M69" s="126" t="s">
        <v>826</v>
      </c>
      <c r="N69" s="126" t="s">
        <v>917</v>
      </c>
      <c r="O69" s="126" t="s">
        <v>522</v>
      </c>
      <c r="P69" s="170">
        <v>16132</v>
      </c>
      <c r="Q69" s="171"/>
      <c r="R69" s="126" t="s">
        <v>918</v>
      </c>
      <c r="S69" s="200">
        <v>39383</v>
      </c>
      <c r="T69" s="168"/>
      <c r="U69" s="117"/>
    </row>
    <row r="70" spans="1:21" ht="15.75">
      <c r="A70" s="1">
        <v>64</v>
      </c>
      <c r="B70" s="87">
        <v>0.13041666666666665</v>
      </c>
      <c r="C70" s="25">
        <f t="shared" si="8"/>
        <v>187.79999999999998</v>
      </c>
      <c r="D70" s="25">
        <f t="shared" si="7"/>
        <v>175.23038885142728</v>
      </c>
      <c r="E70" s="4">
        <f t="shared" si="11"/>
        <v>0.74150000000000005</v>
      </c>
      <c r="F70" s="25">
        <v>183.07615276070823</v>
      </c>
      <c r="G70" s="25">
        <v>199.3</v>
      </c>
      <c r="H70" s="153">
        <f t="shared" si="2"/>
        <v>4.2855193267775531E-2</v>
      </c>
      <c r="I70" s="1">
        <v>64</v>
      </c>
      <c r="J70" s="131">
        <f t="shared" si="9"/>
        <v>97.484639382698745</v>
      </c>
      <c r="K70" s="115">
        <f t="shared" si="10"/>
        <v>93.306916321313793</v>
      </c>
      <c r="L70" s="191" t="s">
        <v>1147</v>
      </c>
      <c r="M70" s="126" t="s">
        <v>919</v>
      </c>
      <c r="N70" s="126" t="s">
        <v>920</v>
      </c>
      <c r="O70" s="126" t="s">
        <v>264</v>
      </c>
      <c r="P70" s="170">
        <v>16284</v>
      </c>
      <c r="Q70" s="171"/>
      <c r="R70" s="126" t="s">
        <v>921</v>
      </c>
      <c r="S70" s="200">
        <v>39768</v>
      </c>
      <c r="T70" s="168"/>
      <c r="U70" s="117"/>
    </row>
    <row r="71" spans="1:21" ht="15.75">
      <c r="A71" s="1">
        <v>65</v>
      </c>
      <c r="B71" s="87">
        <v>0.13840277777777779</v>
      </c>
      <c r="C71" s="25">
        <f t="shared" si="8"/>
        <v>199.3</v>
      </c>
      <c r="D71" s="25">
        <f t="shared" si="7"/>
        <v>177.86903947068217</v>
      </c>
      <c r="E71" s="4">
        <f t="shared" si="11"/>
        <v>0.73050000000000004</v>
      </c>
      <c r="F71" s="25">
        <v>185.86810850778681</v>
      </c>
      <c r="G71" s="25">
        <v>192.95</v>
      </c>
      <c r="H71" s="153">
        <f t="shared" si="2"/>
        <v>4.3036264269991922E-2</v>
      </c>
      <c r="I71" s="1">
        <v>65</v>
      </c>
      <c r="J71" s="131">
        <f t="shared" si="9"/>
        <v>93.260465884489122</v>
      </c>
      <c r="K71" s="115">
        <f t="shared" si="10"/>
        <v>89.246883828741673</v>
      </c>
      <c r="L71" s="191" t="s">
        <v>1116</v>
      </c>
      <c r="M71" s="126" t="s">
        <v>826</v>
      </c>
      <c r="N71" s="126" t="s">
        <v>917</v>
      </c>
      <c r="O71" s="126" t="s">
        <v>522</v>
      </c>
      <c r="P71" s="170">
        <v>16132</v>
      </c>
      <c r="Q71" s="171"/>
      <c r="R71" s="126" t="s">
        <v>922</v>
      </c>
      <c r="S71" s="200">
        <v>39929</v>
      </c>
      <c r="T71" s="168"/>
      <c r="U71" s="117"/>
    </row>
    <row r="72" spans="1:21" ht="15.75">
      <c r="A72" s="1">
        <v>66</v>
      </c>
      <c r="B72" s="87">
        <v>0.13399305555555555</v>
      </c>
      <c r="C72" s="25">
        <f t="shared" si="8"/>
        <v>192.95</v>
      </c>
      <c r="D72" s="25">
        <f t="shared" si="7"/>
        <v>180.58837155432013</v>
      </c>
      <c r="E72" s="4">
        <f t="shared" si="11"/>
        <v>0.71950000000000003</v>
      </c>
      <c r="F72" s="25">
        <v>188.7731155543039</v>
      </c>
      <c r="G72" s="25">
        <v>199.08333333333334</v>
      </c>
      <c r="H72" s="153">
        <f t="shared" si="2"/>
        <v>4.3357572268437138E-2</v>
      </c>
      <c r="I72" s="1">
        <v>66</v>
      </c>
      <c r="J72" s="131">
        <f t="shared" si="9"/>
        <v>97.835250352062147</v>
      </c>
      <c r="K72" s="115">
        <f t="shared" si="10"/>
        <v>93.593351414521976</v>
      </c>
      <c r="L72" s="191" t="s">
        <v>1117</v>
      </c>
      <c r="M72" s="126" t="s">
        <v>372</v>
      </c>
      <c r="N72" s="126" t="s">
        <v>623</v>
      </c>
      <c r="O72" s="126" t="s">
        <v>284</v>
      </c>
      <c r="P72" s="170">
        <v>17277</v>
      </c>
      <c r="Q72" s="171" t="s">
        <v>892</v>
      </c>
      <c r="R72" s="126" t="s">
        <v>545</v>
      </c>
      <c r="S72" s="200">
        <v>41546</v>
      </c>
      <c r="T72" s="168"/>
      <c r="U72" s="117"/>
    </row>
    <row r="73" spans="1:21" ht="15.75">
      <c r="A73" s="1">
        <v>67</v>
      </c>
      <c r="B73" s="87">
        <v>0.13825231481481481</v>
      </c>
      <c r="C73" s="25">
        <f t="shared" si="8"/>
        <v>199.08333333333334</v>
      </c>
      <c r="D73" s="25">
        <f t="shared" si="7"/>
        <v>183.39214302517055</v>
      </c>
      <c r="E73" s="4">
        <f t="shared" si="11"/>
        <v>0.70850000000000002</v>
      </c>
      <c r="F73" s="25">
        <v>191.74294431731497</v>
      </c>
      <c r="G73" s="25">
        <v>205.85</v>
      </c>
      <c r="H73" s="153">
        <f t="shared" si="2"/>
        <v>4.3552065615122135E-2</v>
      </c>
      <c r="I73" s="1">
        <v>67</v>
      </c>
      <c r="J73" s="131">
        <f t="shared" si="9"/>
        <v>96.312906312590187</v>
      </c>
      <c r="K73" s="115">
        <f t="shared" si="10"/>
        <v>92.118280297281146</v>
      </c>
      <c r="L73" s="191" t="s">
        <v>1148</v>
      </c>
      <c r="M73" s="126" t="s">
        <v>923</v>
      </c>
      <c r="N73" s="126" t="s">
        <v>924</v>
      </c>
      <c r="O73" s="126" t="s">
        <v>284</v>
      </c>
      <c r="P73" s="170">
        <v>17783</v>
      </c>
      <c r="Q73" s="171" t="s">
        <v>884</v>
      </c>
      <c r="R73" s="126" t="s">
        <v>285</v>
      </c>
      <c r="S73" s="200">
        <v>42484</v>
      </c>
      <c r="T73" s="168"/>
      <c r="U73" s="117"/>
    </row>
    <row r="74" spans="1:21" ht="15.75">
      <c r="A74" s="1">
        <v>68</v>
      </c>
      <c r="B74" s="87">
        <v>0.14295138888888889</v>
      </c>
      <c r="C74" s="25">
        <f t="shared" si="8"/>
        <v>205.85</v>
      </c>
      <c r="D74" s="25">
        <f t="shared" ref="D74:D105" si="12">E$4/E74</f>
        <v>186.28434886499403</v>
      </c>
      <c r="E74" s="4">
        <f t="shared" si="11"/>
        <v>0.69750000000000001</v>
      </c>
      <c r="F74" s="25">
        <v>194.83602189604218</v>
      </c>
      <c r="G74" s="25">
        <v>204.9</v>
      </c>
      <c r="H74" s="153">
        <f t="shared" si="2"/>
        <v>4.3891642560896837E-2</v>
      </c>
      <c r="I74" s="1">
        <v>68</v>
      </c>
      <c r="J74" s="131">
        <f t="shared" si="9"/>
        <v>94.649512701502161</v>
      </c>
      <c r="K74" s="115">
        <f t="shared" si="10"/>
        <v>90.49519012144475</v>
      </c>
      <c r="L74" s="191" t="s">
        <v>1118</v>
      </c>
      <c r="M74" s="126" t="s">
        <v>372</v>
      </c>
      <c r="N74" s="126" t="s">
        <v>623</v>
      </c>
      <c r="O74" s="126" t="s">
        <v>284</v>
      </c>
      <c r="P74" s="170">
        <v>17277</v>
      </c>
      <c r="Q74" s="171"/>
      <c r="R74" s="126" t="s">
        <v>573</v>
      </c>
      <c r="S74" s="200">
        <v>42470</v>
      </c>
      <c r="T74" s="168"/>
      <c r="U74" s="117"/>
    </row>
    <row r="75" spans="1:21" ht="15.75">
      <c r="A75" s="1">
        <v>69</v>
      </c>
      <c r="B75" s="87">
        <v>0.14229166666666668</v>
      </c>
      <c r="C75" s="25">
        <f t="shared" si="8"/>
        <v>204.9</v>
      </c>
      <c r="D75" s="25">
        <f t="shared" si="12"/>
        <v>189.26924010682205</v>
      </c>
      <c r="E75" s="4">
        <f t="shared" si="11"/>
        <v>0.6865</v>
      </c>
      <c r="F75" s="25">
        <v>198.03052683407182</v>
      </c>
      <c r="G75" s="25">
        <v>209.68333333333334</v>
      </c>
      <c r="H75" s="153">
        <f t="shared" ref="H75:H106" si="13">((F75-D75)/F75)</f>
        <v>4.4242101797723234E-2</v>
      </c>
      <c r="I75" s="1">
        <v>69</v>
      </c>
      <c r="J75" s="131">
        <f t="shared" si="9"/>
        <v>96.647402066408887</v>
      </c>
      <c r="K75" s="115">
        <f t="shared" si="10"/>
        <v>92.371517865701335</v>
      </c>
      <c r="L75" s="191" t="s">
        <v>1119</v>
      </c>
      <c r="M75" s="198" t="s">
        <v>382</v>
      </c>
      <c r="N75" s="198" t="s">
        <v>925</v>
      </c>
      <c r="O75" s="198" t="s">
        <v>241</v>
      </c>
      <c r="P75" s="199">
        <v>17637</v>
      </c>
      <c r="Q75" s="169" t="s">
        <v>926</v>
      </c>
      <c r="R75" s="169" t="s">
        <v>927</v>
      </c>
      <c r="S75" s="351">
        <v>43023</v>
      </c>
      <c r="T75" s="168"/>
    </row>
    <row r="76" spans="1:21" ht="15.75">
      <c r="A76" s="1">
        <v>70</v>
      </c>
      <c r="B76" s="87">
        <v>0.14561342592592594</v>
      </c>
      <c r="C76" s="25">
        <f t="shared" ref="C76:C96" si="14">B76*1440</f>
        <v>209.68333333333334</v>
      </c>
      <c r="D76" s="25">
        <f t="shared" si="12"/>
        <v>192.3513446829509</v>
      </c>
      <c r="E76" s="4">
        <f t="shared" si="11"/>
        <v>0.67549999999999999</v>
      </c>
      <c r="F76" s="25">
        <v>201.30130130130124</v>
      </c>
      <c r="G76" s="25">
        <v>207.83333333333334</v>
      </c>
      <c r="H76" s="153">
        <f t="shared" si="13"/>
        <v>4.4460500555604146E-2</v>
      </c>
      <c r="I76" s="1">
        <v>70</v>
      </c>
      <c r="J76" s="131">
        <f t="shared" ref="J76:J96" si="15">100*(F76/C76)</f>
        <v>96.002528241618904</v>
      </c>
      <c r="K76" s="115">
        <f t="shared" ref="K76:K98" si="16">100*(D76/C76)</f>
        <v>91.73420778139301</v>
      </c>
      <c r="L76" s="192" t="s">
        <v>1120</v>
      </c>
      <c r="M76" s="126" t="s">
        <v>382</v>
      </c>
      <c r="N76" s="126" t="s">
        <v>925</v>
      </c>
      <c r="O76" s="126" t="s">
        <v>241</v>
      </c>
      <c r="P76" s="170">
        <v>17637</v>
      </c>
      <c r="Q76" s="171" t="s">
        <v>890</v>
      </c>
      <c r="R76" s="126" t="s">
        <v>895</v>
      </c>
      <c r="S76" s="200">
        <v>43380</v>
      </c>
      <c r="T76" s="168"/>
      <c r="U76" s="117"/>
    </row>
    <row r="77" spans="1:21" ht="15.75">
      <c r="A77" s="1">
        <v>71</v>
      </c>
      <c r="B77" s="87">
        <v>0.14432870370370371</v>
      </c>
      <c r="C77" s="25">
        <f t="shared" si="14"/>
        <v>207.83333333333334</v>
      </c>
      <c r="D77" s="25">
        <f t="shared" si="12"/>
        <v>195.53549034361677</v>
      </c>
      <c r="E77" s="4">
        <f t="shared" si="11"/>
        <v>0.66449999999999998</v>
      </c>
      <c r="F77" s="25">
        <v>204.71318776403515</v>
      </c>
      <c r="G77" s="25">
        <v>204.8</v>
      </c>
      <c r="H77" s="153">
        <f t="shared" si="13"/>
        <v>4.4831979417941328E-2</v>
      </c>
      <c r="I77" s="1">
        <v>71</v>
      </c>
      <c r="J77" s="131">
        <f t="shared" si="15"/>
        <v>98.49872707170897</v>
      </c>
      <c r="K77" s="115">
        <f t="shared" si="16"/>
        <v>94.082834166936692</v>
      </c>
      <c r="L77" s="191" t="s">
        <v>1121</v>
      </c>
      <c r="M77" s="126" t="s">
        <v>382</v>
      </c>
      <c r="N77" s="126" t="s">
        <v>925</v>
      </c>
      <c r="O77" s="126" t="s">
        <v>241</v>
      </c>
      <c r="P77" s="170">
        <v>17637</v>
      </c>
      <c r="Q77" s="171" t="s">
        <v>892</v>
      </c>
      <c r="R77" s="126" t="s">
        <v>545</v>
      </c>
      <c r="S77" s="200">
        <v>43737</v>
      </c>
      <c r="T77" s="168"/>
      <c r="U77" s="117"/>
    </row>
    <row r="78" spans="1:21" ht="15.75">
      <c r="A78" s="1">
        <v>72</v>
      </c>
      <c r="B78" s="87">
        <v>0.14222222222222222</v>
      </c>
      <c r="C78" s="25">
        <f t="shared" si="14"/>
        <v>204.8</v>
      </c>
      <c r="D78" s="25">
        <f t="shared" si="12"/>
        <v>198.82682989033412</v>
      </c>
      <c r="E78" s="4">
        <f t="shared" si="11"/>
        <v>0.65349999999999997</v>
      </c>
      <c r="F78" s="25">
        <v>208.21038463529527</v>
      </c>
      <c r="G78" s="25">
        <v>215.48333333333335</v>
      </c>
      <c r="H78" s="153">
        <f t="shared" si="13"/>
        <v>4.506765962417069E-2</v>
      </c>
      <c r="I78" s="1">
        <v>72</v>
      </c>
      <c r="J78" s="131">
        <f t="shared" si="15"/>
        <v>101.66522687270276</v>
      </c>
      <c r="K78" s="115">
        <f t="shared" si="16"/>
        <v>97.083413032389714</v>
      </c>
      <c r="L78" s="191" t="s">
        <v>1122</v>
      </c>
      <c r="M78" s="126" t="s">
        <v>928</v>
      </c>
      <c r="N78" s="126" t="s">
        <v>929</v>
      </c>
      <c r="O78" s="126" t="s">
        <v>345</v>
      </c>
      <c r="P78" s="170">
        <v>15058</v>
      </c>
      <c r="Q78" s="171"/>
      <c r="R78" s="126" t="s">
        <v>930</v>
      </c>
      <c r="S78" s="200">
        <v>41560</v>
      </c>
      <c r="T78" s="168"/>
      <c r="U78" s="117"/>
    </row>
    <row r="79" spans="1:21" ht="15.75">
      <c r="A79" s="1">
        <v>73</v>
      </c>
      <c r="B79" s="87">
        <v>0.14964120370370371</v>
      </c>
      <c r="C79" s="25">
        <f t="shared" si="14"/>
        <v>215.48333333333335</v>
      </c>
      <c r="D79" s="25">
        <f t="shared" si="12"/>
        <v>202.23086900129704</v>
      </c>
      <c r="E79" s="4">
        <f t="shared" si="11"/>
        <v>0.64249999999999996</v>
      </c>
      <c r="F79" s="25">
        <v>211.86262115465649</v>
      </c>
      <c r="G79" s="25">
        <v>222.31666666666666</v>
      </c>
      <c r="H79" s="153">
        <f t="shared" si="13"/>
        <v>4.5462253326547984E-2</v>
      </c>
      <c r="I79" s="1">
        <v>73</v>
      </c>
      <c r="J79" s="131">
        <f t="shared" si="15"/>
        <v>98.319725185856512</v>
      </c>
      <c r="K79" s="115">
        <f t="shared" si="16"/>
        <v>93.84988893246053</v>
      </c>
      <c r="L79" s="191" t="s">
        <v>1123</v>
      </c>
      <c r="M79" s="126" t="s">
        <v>931</v>
      </c>
      <c r="N79" s="126" t="s">
        <v>932</v>
      </c>
      <c r="O79" s="126" t="s">
        <v>535</v>
      </c>
      <c r="P79" s="170">
        <v>16789</v>
      </c>
      <c r="Q79" s="171" t="s">
        <v>892</v>
      </c>
      <c r="R79" s="126" t="s">
        <v>545</v>
      </c>
      <c r="S79" s="200">
        <v>43737</v>
      </c>
      <c r="T79" s="168"/>
      <c r="U79" s="117"/>
    </row>
    <row r="80" spans="1:21" ht="15.75">
      <c r="A80" s="1">
        <v>74</v>
      </c>
      <c r="B80" s="87">
        <v>0.15438657407407408</v>
      </c>
      <c r="C80" s="25">
        <f t="shared" si="14"/>
        <v>222.31666666666666</v>
      </c>
      <c r="D80" s="25">
        <f t="shared" si="12"/>
        <v>205.7534969648984</v>
      </c>
      <c r="E80" s="4">
        <f t="shared" si="11"/>
        <v>0.63149999999999995</v>
      </c>
      <c r="F80" s="25">
        <v>215.64527371186526</v>
      </c>
      <c r="G80" s="25">
        <v>229.51666666666668</v>
      </c>
      <c r="H80" s="153">
        <f t="shared" si="13"/>
        <v>4.5870593761232932E-2</v>
      </c>
      <c r="I80" s="1">
        <v>74</v>
      </c>
      <c r="J80" s="131">
        <f t="shared" si="15"/>
        <v>96.999148532213169</v>
      </c>
      <c r="K80" s="115">
        <f t="shared" si="16"/>
        <v>92.549739994706542</v>
      </c>
      <c r="L80" s="191" t="s">
        <v>1124</v>
      </c>
      <c r="M80" s="198" t="s">
        <v>382</v>
      </c>
      <c r="N80" s="198" t="s">
        <v>925</v>
      </c>
      <c r="O80" s="198" t="s">
        <v>241</v>
      </c>
      <c r="P80" s="199">
        <v>17637</v>
      </c>
      <c r="Q80" s="176" t="s">
        <v>941</v>
      </c>
      <c r="R80" s="116" t="s">
        <v>776</v>
      </c>
      <c r="S80" s="200">
        <v>44989</v>
      </c>
      <c r="T80" s="168"/>
      <c r="U80" s="117"/>
    </row>
    <row r="81" spans="1:21" ht="15.75">
      <c r="A81" s="1">
        <v>75</v>
      </c>
      <c r="B81" s="87">
        <v>0.14711805555555554</v>
      </c>
      <c r="C81" s="25">
        <f t="shared" si="14"/>
        <v>211.85</v>
      </c>
      <c r="D81" s="25">
        <f t="shared" si="12"/>
        <v>209.4010206822455</v>
      </c>
      <c r="E81" s="4">
        <f t="shared" si="11"/>
        <v>0.62050000000000005</v>
      </c>
      <c r="F81" s="25">
        <v>219.6733846742039</v>
      </c>
      <c r="G81" s="25">
        <v>245.64999999999998</v>
      </c>
      <c r="H81" s="153">
        <f t="shared" si="13"/>
        <v>4.6761987152850917E-2</v>
      </c>
      <c r="I81" s="1">
        <v>75</v>
      </c>
      <c r="J81" s="131">
        <f t="shared" si="15"/>
        <v>103.69288868265467</v>
      </c>
      <c r="K81" s="115">
        <f t="shared" si="16"/>
        <v>98.844003154234372</v>
      </c>
      <c r="L81" s="191" t="s">
        <v>1125</v>
      </c>
      <c r="M81" s="198" t="s">
        <v>382</v>
      </c>
      <c r="N81" s="198" t="s">
        <v>925</v>
      </c>
      <c r="O81" s="198" t="s">
        <v>241</v>
      </c>
      <c r="P81" s="199">
        <v>17637</v>
      </c>
      <c r="Q81" s="196" t="s">
        <v>890</v>
      </c>
      <c r="R81" s="196" t="s">
        <v>891</v>
      </c>
      <c r="S81" s="352">
        <v>45207</v>
      </c>
      <c r="T81" s="168"/>
      <c r="U81" s="117"/>
    </row>
    <row r="82" spans="1:21" ht="15.75">
      <c r="A82" s="1">
        <v>76</v>
      </c>
      <c r="B82" s="87">
        <v>0.14898148148148149</v>
      </c>
      <c r="C82" s="25">
        <f t="shared" si="14"/>
        <v>214.53333333333336</v>
      </c>
      <c r="D82" s="25">
        <f t="shared" si="12"/>
        <v>213.21518433431788</v>
      </c>
      <c r="E82" s="4">
        <f t="shared" si="11"/>
        <v>0.60940000000000005</v>
      </c>
      <c r="F82" s="25">
        <v>224.19175027870676</v>
      </c>
      <c r="G82" s="25">
        <v>233.7</v>
      </c>
      <c r="H82" s="153">
        <f t="shared" si="13"/>
        <v>4.8960614878751009E-2</v>
      </c>
      <c r="I82" s="1">
        <v>76</v>
      </c>
      <c r="J82" s="131">
        <f t="shared" si="15"/>
        <v>104.50205886204478</v>
      </c>
      <c r="K82" s="115">
        <f t="shared" si="16"/>
        <v>99.385573804063625</v>
      </c>
      <c r="L82" s="191" t="s">
        <v>1126</v>
      </c>
      <c r="M82" s="198" t="s">
        <v>382</v>
      </c>
      <c r="N82" s="198" t="s">
        <v>925</v>
      </c>
      <c r="O82" s="198" t="s">
        <v>241</v>
      </c>
      <c r="P82" s="199">
        <v>17637</v>
      </c>
      <c r="Q82" s="171" t="s">
        <v>884</v>
      </c>
      <c r="R82" s="126" t="s">
        <v>285</v>
      </c>
      <c r="S82" s="200">
        <v>45403</v>
      </c>
      <c r="T82" s="168"/>
      <c r="U82" s="117"/>
    </row>
    <row r="83" spans="1:21" ht="15.75">
      <c r="A83" s="1">
        <v>77</v>
      </c>
      <c r="B83" s="87">
        <v>0.14822916666666666</v>
      </c>
      <c r="C83" s="25">
        <f t="shared" si="14"/>
        <v>213.45</v>
      </c>
      <c r="D83" s="25">
        <f t="shared" si="12"/>
        <v>217.53446062838327</v>
      </c>
      <c r="E83" s="4">
        <f t="shared" si="11"/>
        <v>0.59730000000000005</v>
      </c>
      <c r="F83" s="25">
        <v>229.17378917378915</v>
      </c>
      <c r="G83" s="25">
        <v>264.46666666666664</v>
      </c>
      <c r="H83" s="153">
        <f t="shared" si="13"/>
        <v>5.078821878962534E-2</v>
      </c>
      <c r="I83" s="1">
        <v>77</v>
      </c>
      <c r="J83" s="131">
        <f t="shared" si="15"/>
        <v>107.36649762182672</v>
      </c>
      <c r="K83" s="115">
        <f t="shared" si="16"/>
        <v>101.91354444993361</v>
      </c>
      <c r="L83" s="191" t="s">
        <v>1127</v>
      </c>
      <c r="M83" s="126" t="s">
        <v>935</v>
      </c>
      <c r="N83" s="126" t="s">
        <v>936</v>
      </c>
      <c r="O83" s="126" t="s">
        <v>241</v>
      </c>
      <c r="P83" s="170">
        <v>13446</v>
      </c>
      <c r="Q83" s="171" t="s">
        <v>937</v>
      </c>
      <c r="R83" s="126" t="s">
        <v>938</v>
      </c>
      <c r="S83" s="200">
        <v>41784</v>
      </c>
      <c r="T83" s="168"/>
      <c r="U83" s="117"/>
    </row>
    <row r="84" spans="1:21" ht="15.75">
      <c r="A84" s="1">
        <v>78</v>
      </c>
      <c r="B84" s="87">
        <v>0.18365740740740741</v>
      </c>
      <c r="C84" s="25">
        <f t="shared" si="14"/>
        <v>264.46666666666664</v>
      </c>
      <c r="D84" s="25">
        <f t="shared" si="12"/>
        <v>222.45049363693434</v>
      </c>
      <c r="E84" s="4">
        <f t="shared" si="11"/>
        <v>0.58409999999999995</v>
      </c>
      <c r="F84" s="25">
        <v>234.75164886476384</v>
      </c>
      <c r="G84" s="25">
        <v>259.86666666666667</v>
      </c>
      <c r="H84" s="153">
        <f t="shared" si="13"/>
        <v>5.2400719174142921E-2</v>
      </c>
      <c r="I84" s="1">
        <v>78</v>
      </c>
      <c r="J84" s="131">
        <f t="shared" si="15"/>
        <v>88.764172749469566</v>
      </c>
      <c r="K84" s="115">
        <f t="shared" si="16"/>
        <v>84.112866260499501</v>
      </c>
      <c r="L84" s="191" t="s">
        <v>1128</v>
      </c>
      <c r="M84" s="126" t="s">
        <v>935</v>
      </c>
      <c r="N84" s="126" t="s">
        <v>936</v>
      </c>
      <c r="O84" s="126" t="s">
        <v>241</v>
      </c>
      <c r="P84" s="170">
        <v>13446</v>
      </c>
      <c r="Q84" s="171" t="s">
        <v>937</v>
      </c>
      <c r="R84" s="126" t="s">
        <v>938</v>
      </c>
      <c r="S84" s="200">
        <v>42155</v>
      </c>
      <c r="T84" s="168"/>
      <c r="U84" s="117"/>
    </row>
    <row r="85" spans="1:21" ht="15.75">
      <c r="A85" s="1">
        <v>79</v>
      </c>
      <c r="B85" s="87">
        <v>0.18046296296296296</v>
      </c>
      <c r="C85" s="25">
        <f t="shared" si="14"/>
        <v>259.86666666666667</v>
      </c>
      <c r="D85" s="25">
        <f t="shared" si="12"/>
        <v>228.03322803322806</v>
      </c>
      <c r="E85" s="4">
        <f t="shared" si="11"/>
        <v>0.56979999999999997</v>
      </c>
      <c r="F85" s="25">
        <v>240.95375029954462</v>
      </c>
      <c r="G85" s="25">
        <v>251.83333333333331</v>
      </c>
      <c r="H85" s="153">
        <f t="shared" si="13"/>
        <v>5.3622416128631577E-2</v>
      </c>
      <c r="I85" s="1">
        <v>79</v>
      </c>
      <c r="J85" s="131">
        <f t="shared" si="15"/>
        <v>92.722069125017171</v>
      </c>
      <c r="K85" s="115">
        <f t="shared" si="16"/>
        <v>87.750087750087758</v>
      </c>
      <c r="L85" s="191" t="s">
        <v>1129</v>
      </c>
      <c r="M85" s="126" t="s">
        <v>933</v>
      </c>
      <c r="N85" s="126" t="s">
        <v>934</v>
      </c>
      <c r="O85" s="126" t="s">
        <v>264</v>
      </c>
      <c r="P85" s="170">
        <v>13161</v>
      </c>
      <c r="Q85" s="171"/>
      <c r="R85" s="126" t="s">
        <v>939</v>
      </c>
      <c r="S85" s="200">
        <v>42078</v>
      </c>
      <c r="T85" s="168"/>
      <c r="U85" s="117"/>
    </row>
    <row r="86" spans="1:21" ht="15.75">
      <c r="A86" s="1">
        <v>80</v>
      </c>
      <c r="B86" s="87">
        <v>0.17488425925925927</v>
      </c>
      <c r="C86" s="25">
        <f t="shared" si="14"/>
        <v>251.83333333333334</v>
      </c>
      <c r="D86" s="25">
        <f t="shared" si="12"/>
        <v>234.36748436748437</v>
      </c>
      <c r="E86" s="4">
        <f>ROUND(1-IF(A86&lt;I$3,0,IF(A86&lt;I$4,G$3*(A86-I$3)^2,G$2+G$4*(A86-I$4)+(A86&gt;I$5)*G$5*(A86-I$5)^2)),4)</f>
        <v>0.5544</v>
      </c>
      <c r="F86" s="25">
        <v>247.81269254467028</v>
      </c>
      <c r="G86" s="25">
        <v>252.73333333333338</v>
      </c>
      <c r="H86" s="153">
        <f t="shared" si="13"/>
        <v>5.4255526781632903E-2</v>
      </c>
      <c r="I86" s="1">
        <v>80</v>
      </c>
      <c r="J86" s="131">
        <f t="shared" si="15"/>
        <v>98.403451705362116</v>
      </c>
      <c r="K86" s="115">
        <f t="shared" si="16"/>
        <v>93.064520595956722</v>
      </c>
      <c r="L86" s="191" t="s">
        <v>1130</v>
      </c>
      <c r="M86" s="126" t="s">
        <v>841</v>
      </c>
      <c r="N86" s="126" t="s">
        <v>940</v>
      </c>
      <c r="O86" s="126" t="s">
        <v>400</v>
      </c>
      <c r="P86" s="170">
        <v>12513</v>
      </c>
      <c r="Q86" s="171"/>
      <c r="R86" s="126" t="s">
        <v>561</v>
      </c>
      <c r="S86" s="200">
        <v>41784</v>
      </c>
      <c r="T86" s="168"/>
      <c r="U86" s="117"/>
    </row>
    <row r="87" spans="1:21" ht="15.75">
      <c r="A87" s="1">
        <v>81</v>
      </c>
      <c r="B87" s="87">
        <v>0.17550925925925925</v>
      </c>
      <c r="C87" s="25">
        <f t="shared" si="14"/>
        <v>252.73333333333332</v>
      </c>
      <c r="D87" s="25">
        <f t="shared" si="12"/>
        <v>241.55667100452376</v>
      </c>
      <c r="E87" s="4">
        <f t="shared" si="11"/>
        <v>0.53790000000000004</v>
      </c>
      <c r="F87" s="25">
        <v>255.51108569976486</v>
      </c>
      <c r="G87" s="25">
        <v>247.51666666666665</v>
      </c>
      <c r="H87" s="153">
        <f t="shared" si="13"/>
        <v>5.4613734887565935E-2</v>
      </c>
      <c r="I87" s="1">
        <v>81</v>
      </c>
      <c r="J87" s="131">
        <f t="shared" si="15"/>
        <v>101.09908429165057</v>
      </c>
      <c r="K87" s="115">
        <f t="shared" si="16"/>
        <v>95.577685704770687</v>
      </c>
      <c r="L87" s="191" t="s">
        <v>1131</v>
      </c>
      <c r="M87" s="126" t="s">
        <v>933</v>
      </c>
      <c r="N87" s="126" t="s">
        <v>934</v>
      </c>
      <c r="O87" s="126" t="s">
        <v>264</v>
      </c>
      <c r="P87" s="170">
        <v>13161</v>
      </c>
      <c r="Q87" s="171" t="s">
        <v>941</v>
      </c>
      <c r="R87" s="126" t="s">
        <v>776</v>
      </c>
      <c r="S87" s="200">
        <v>42792</v>
      </c>
      <c r="T87" s="168"/>
      <c r="U87" s="117"/>
    </row>
    <row r="88" spans="1:21" ht="15.75">
      <c r="A88" s="1">
        <v>82</v>
      </c>
      <c r="B88" s="87">
        <v>0.17188657407407407</v>
      </c>
      <c r="C88" s="25">
        <f t="shared" si="14"/>
        <v>247.51666666666665</v>
      </c>
      <c r="D88" s="25">
        <f t="shared" si="12"/>
        <v>249.72772118649499</v>
      </c>
      <c r="E88" s="4">
        <f t="shared" si="11"/>
        <v>0.52029999999999998</v>
      </c>
      <c r="F88" s="25">
        <v>264.0667060600091</v>
      </c>
      <c r="G88" s="25">
        <v>274.06666666666666</v>
      </c>
      <c r="H88" s="153">
        <f t="shared" si="13"/>
        <v>5.4300616262678632E-2</v>
      </c>
      <c r="I88" s="1">
        <v>82</v>
      </c>
      <c r="J88" s="131">
        <f t="shared" si="15"/>
        <v>106.68643433843208</v>
      </c>
      <c r="K88" s="115">
        <f t="shared" si="16"/>
        <v>100.8932952069874</v>
      </c>
      <c r="L88" s="191" t="s">
        <v>1149</v>
      </c>
      <c r="M88" s="126" t="s">
        <v>933</v>
      </c>
      <c r="N88" s="126" t="s">
        <v>934</v>
      </c>
      <c r="O88" s="126" t="s">
        <v>264</v>
      </c>
      <c r="P88" s="170">
        <v>13161</v>
      </c>
      <c r="Q88" s="171" t="s">
        <v>941</v>
      </c>
      <c r="R88" s="126" t="s">
        <v>776</v>
      </c>
      <c r="S88" s="200">
        <v>43156</v>
      </c>
      <c r="T88" s="168"/>
      <c r="U88" s="117"/>
    </row>
    <row r="89" spans="1:21" ht="15.75">
      <c r="A89" s="1">
        <v>83</v>
      </c>
      <c r="B89" s="87">
        <v>0.19032407407407406</v>
      </c>
      <c r="C89" s="25">
        <f t="shared" si="14"/>
        <v>274.06666666666666</v>
      </c>
      <c r="D89" s="25">
        <f t="shared" si="12"/>
        <v>259.03774587985112</v>
      </c>
      <c r="E89" s="4">
        <f t="shared" si="11"/>
        <v>0.50160000000000005</v>
      </c>
      <c r="F89" s="25">
        <v>273.71716346808216</v>
      </c>
      <c r="G89" s="25">
        <v>291.39999999999998</v>
      </c>
      <c r="H89" s="153">
        <f t="shared" si="13"/>
        <v>5.3629876191314534E-2</v>
      </c>
      <c r="I89" s="1">
        <v>83</v>
      </c>
      <c r="J89" s="131">
        <f t="shared" si="15"/>
        <v>99.872475116060144</v>
      </c>
      <c r="K89" s="115">
        <f t="shared" si="16"/>
        <v>94.516326640665696</v>
      </c>
      <c r="L89" s="191" t="s">
        <v>1150</v>
      </c>
      <c r="M89" s="126" t="s">
        <v>933</v>
      </c>
      <c r="N89" s="126" t="s">
        <v>934</v>
      </c>
      <c r="O89" s="126" t="s">
        <v>264</v>
      </c>
      <c r="P89" s="170">
        <v>13161</v>
      </c>
      <c r="Q89" s="171" t="s">
        <v>941</v>
      </c>
      <c r="R89" s="126" t="s">
        <v>776</v>
      </c>
      <c r="S89" s="200">
        <v>43530</v>
      </c>
      <c r="T89" s="168"/>
      <c r="U89" s="117"/>
    </row>
    <row r="90" spans="1:21" ht="15.75">
      <c r="A90" s="1">
        <v>84</v>
      </c>
      <c r="B90" s="87">
        <v>0.2023611111111111</v>
      </c>
      <c r="C90" s="25">
        <f t="shared" si="14"/>
        <v>291.39999999999998</v>
      </c>
      <c r="D90" s="25">
        <f t="shared" si="12"/>
        <v>269.68313269683131</v>
      </c>
      <c r="E90" s="4">
        <f t="shared" si="11"/>
        <v>0.48180000000000001</v>
      </c>
      <c r="F90" s="25">
        <v>284.58218354206457</v>
      </c>
      <c r="G90" s="25">
        <v>344.36666666666667</v>
      </c>
      <c r="H90" s="153">
        <f t="shared" si="13"/>
        <v>5.2354123718468863E-2</v>
      </c>
      <c r="I90" s="1">
        <v>84</v>
      </c>
      <c r="J90" s="131">
        <f t="shared" si="15"/>
        <v>97.660323796178645</v>
      </c>
      <c r="K90" s="115">
        <f t="shared" si="16"/>
        <v>92.547403121767786</v>
      </c>
      <c r="L90" s="191" t="s">
        <v>1132</v>
      </c>
      <c r="M90" s="126" t="s">
        <v>942</v>
      </c>
      <c r="N90" s="126" t="s">
        <v>943</v>
      </c>
      <c r="O90" s="126" t="s">
        <v>522</v>
      </c>
      <c r="P90" s="170">
        <v>10407</v>
      </c>
      <c r="Q90" s="171" t="s">
        <v>892</v>
      </c>
      <c r="R90" s="126" t="s">
        <v>545</v>
      </c>
      <c r="S90" s="200">
        <v>41182</v>
      </c>
      <c r="T90" s="168"/>
      <c r="U90" s="117"/>
    </row>
    <row r="91" spans="1:21" ht="15.75">
      <c r="A91" s="1">
        <v>85</v>
      </c>
      <c r="B91" s="87">
        <v>0.23914351851851851</v>
      </c>
      <c r="C91" s="25">
        <f t="shared" si="14"/>
        <v>344.36666666666667</v>
      </c>
      <c r="D91" s="25">
        <f t="shared" si="12"/>
        <v>281.91220076661608</v>
      </c>
      <c r="E91" s="4">
        <f t="shared" si="11"/>
        <v>0.46089999999999998</v>
      </c>
      <c r="F91" s="25">
        <v>296.80466386244552</v>
      </c>
      <c r="G91" s="25">
        <v>312.05</v>
      </c>
      <c r="H91" s="153">
        <f t="shared" si="13"/>
        <v>5.0175973995918645E-2</v>
      </c>
      <c r="I91" s="1">
        <v>85</v>
      </c>
      <c r="J91" s="131">
        <f t="shared" si="15"/>
        <v>86.18855789249217</v>
      </c>
      <c r="K91" s="115">
        <f t="shared" si="16"/>
        <v>81.863963052932746</v>
      </c>
      <c r="L91" s="191" t="s">
        <v>1133</v>
      </c>
      <c r="M91" s="126" t="s">
        <v>842</v>
      </c>
      <c r="N91" s="126" t="s">
        <v>944</v>
      </c>
      <c r="O91" s="126" t="s">
        <v>400</v>
      </c>
      <c r="P91" s="170">
        <v>10173</v>
      </c>
      <c r="Q91" s="171" t="s">
        <v>945</v>
      </c>
      <c r="R91" s="126" t="s">
        <v>854</v>
      </c>
      <c r="S91" s="200">
        <v>41252</v>
      </c>
      <c r="T91" s="168"/>
      <c r="U91" s="117"/>
    </row>
    <row r="92" spans="1:21" ht="15.75">
      <c r="A92" s="1">
        <v>86</v>
      </c>
      <c r="B92" s="87">
        <v>0.2167013888888889</v>
      </c>
      <c r="C92" s="25">
        <f t="shared" si="14"/>
        <v>312.05</v>
      </c>
      <c r="D92" s="25">
        <f t="shared" si="12"/>
        <v>296.04313814840128</v>
      </c>
      <c r="E92" s="4">
        <f t="shared" si="11"/>
        <v>0.43890000000000001</v>
      </c>
      <c r="F92" s="25">
        <v>310.77113274609792</v>
      </c>
      <c r="G92" s="25">
        <v>391.7</v>
      </c>
      <c r="H92" s="153">
        <f t="shared" si="13"/>
        <v>4.7391771776079041E-2</v>
      </c>
      <c r="I92" s="1">
        <v>86</v>
      </c>
      <c r="J92" s="131">
        <f t="shared" si="15"/>
        <v>99.590172326902078</v>
      </c>
      <c r="K92" s="115">
        <f t="shared" si="16"/>
        <v>94.870417608845145</v>
      </c>
      <c r="L92" s="191" t="s">
        <v>1151</v>
      </c>
      <c r="M92" s="126" t="s">
        <v>847</v>
      </c>
      <c r="N92" s="126" t="s">
        <v>946</v>
      </c>
      <c r="O92" s="126" t="s">
        <v>241</v>
      </c>
      <c r="P92" s="170">
        <v>8261</v>
      </c>
      <c r="Q92" s="171"/>
      <c r="R92" s="126" t="s">
        <v>808</v>
      </c>
      <c r="S92" s="200">
        <v>39958</v>
      </c>
      <c r="T92" s="168"/>
      <c r="U92" s="117"/>
    </row>
    <row r="93" spans="1:21" ht="15.75">
      <c r="A93" s="1">
        <v>87</v>
      </c>
      <c r="B93" s="87">
        <v>0.27201388888888889</v>
      </c>
      <c r="C93" s="25">
        <f t="shared" si="14"/>
        <v>391.7</v>
      </c>
      <c r="D93" s="25">
        <f t="shared" si="12"/>
        <v>312.4899791566458</v>
      </c>
      <c r="E93" s="4">
        <f t="shared" si="11"/>
        <v>0.4158</v>
      </c>
      <c r="F93" s="25">
        <v>326.67316439246258</v>
      </c>
      <c r="G93" s="25">
        <v>426.79999999999995</v>
      </c>
      <c r="H93" s="153">
        <f t="shared" si="13"/>
        <v>4.3417050378760869E-2</v>
      </c>
      <c r="I93" s="1">
        <v>87</v>
      </c>
      <c r="J93" s="131">
        <f t="shared" si="15"/>
        <v>83.398816541348637</v>
      </c>
      <c r="K93" s="115">
        <f t="shared" si="16"/>
        <v>79.777885922043865</v>
      </c>
      <c r="L93" s="191" t="s">
        <v>1134</v>
      </c>
      <c r="M93" s="126" t="s">
        <v>947</v>
      </c>
      <c r="N93" s="126" t="s">
        <v>948</v>
      </c>
      <c r="O93" s="126" t="s">
        <v>241</v>
      </c>
      <c r="P93" s="170">
        <v>2649</v>
      </c>
      <c r="Q93" s="171" t="s">
        <v>949</v>
      </c>
      <c r="R93" s="126" t="s">
        <v>950</v>
      </c>
      <c r="S93" s="200">
        <v>34609</v>
      </c>
      <c r="T93" s="168"/>
      <c r="U93" s="117"/>
    </row>
    <row r="94" spans="1:21" ht="15.75">
      <c r="A94" s="1">
        <v>88</v>
      </c>
      <c r="B94" s="87">
        <v>0.29638888888888887</v>
      </c>
      <c r="C94" s="25">
        <f t="shared" si="14"/>
        <v>426.79999999999995</v>
      </c>
      <c r="D94" s="25">
        <f t="shared" si="12"/>
        <v>331.80115764385425</v>
      </c>
      <c r="E94" s="4">
        <f t="shared" si="11"/>
        <v>0.3916</v>
      </c>
      <c r="F94" s="25">
        <v>345.087945087945</v>
      </c>
      <c r="G94" s="25">
        <v>391.53333333333336</v>
      </c>
      <c r="H94" s="153">
        <f t="shared" si="13"/>
        <v>3.8502612546215245E-2</v>
      </c>
      <c r="I94" s="1">
        <v>88</v>
      </c>
      <c r="J94" s="131">
        <f t="shared" si="15"/>
        <v>80.854720029977756</v>
      </c>
      <c r="K94" s="115">
        <f t="shared" si="16"/>
        <v>77.741602072130817</v>
      </c>
      <c r="L94" s="191" t="s">
        <v>1152</v>
      </c>
      <c r="M94" s="126" t="s">
        <v>842</v>
      </c>
      <c r="N94" s="126" t="s">
        <v>944</v>
      </c>
      <c r="O94" s="126" t="s">
        <v>400</v>
      </c>
      <c r="P94" s="170">
        <v>10173</v>
      </c>
      <c r="Q94" s="171" t="s">
        <v>945</v>
      </c>
      <c r="R94" s="126" t="s">
        <v>854</v>
      </c>
      <c r="S94" s="200">
        <v>42351</v>
      </c>
      <c r="T94" s="168"/>
      <c r="U94" s="117"/>
    </row>
    <row r="95" spans="1:21" ht="15.75">
      <c r="A95" s="1">
        <v>89</v>
      </c>
      <c r="B95" s="87">
        <v>0.27189814814814817</v>
      </c>
      <c r="C95" s="25">
        <f t="shared" si="14"/>
        <v>391.53333333333336</v>
      </c>
      <c r="D95" s="25">
        <f t="shared" si="12"/>
        <v>354.7183547183547</v>
      </c>
      <c r="E95" s="4">
        <f t="shared" si="11"/>
        <v>0.36630000000000001</v>
      </c>
      <c r="F95" s="25">
        <v>366.50264260980487</v>
      </c>
      <c r="G95" s="25">
        <v>489.38333333333338</v>
      </c>
      <c r="H95" s="153">
        <f t="shared" si="13"/>
        <v>3.2153350402977156E-2</v>
      </c>
      <c r="I95" s="1">
        <v>89</v>
      </c>
      <c r="J95" s="131">
        <f t="shared" si="15"/>
        <v>93.607009009825859</v>
      </c>
      <c r="K95" s="115">
        <f t="shared" si="16"/>
        <v>90.597230048958295</v>
      </c>
      <c r="L95" s="191" t="s">
        <v>1135</v>
      </c>
      <c r="M95" s="126" t="s">
        <v>947</v>
      </c>
      <c r="N95" s="126" t="s">
        <v>948</v>
      </c>
      <c r="O95" s="126" t="s">
        <v>241</v>
      </c>
      <c r="P95" s="170">
        <v>2649</v>
      </c>
      <c r="Q95" s="171" t="s">
        <v>949</v>
      </c>
      <c r="R95" s="126" t="s">
        <v>950</v>
      </c>
      <c r="S95" s="200">
        <v>35337</v>
      </c>
      <c r="T95" s="168"/>
      <c r="U95" s="117"/>
    </row>
    <row r="96" spans="1:21" ht="15.75">
      <c r="A96" s="1">
        <v>90</v>
      </c>
      <c r="B96" s="87">
        <v>0.33984953703703702</v>
      </c>
      <c r="C96" s="25">
        <f t="shared" si="14"/>
        <v>489.38333333333333</v>
      </c>
      <c r="D96" s="25">
        <f t="shared" si="12"/>
        <v>382.26929489065412</v>
      </c>
      <c r="E96" s="4">
        <f t="shared" si="11"/>
        <v>0.33989999999999998</v>
      </c>
      <c r="F96" s="25">
        <v>391.54984423676007</v>
      </c>
      <c r="G96" s="25">
        <v>407.51666666666671</v>
      </c>
      <c r="H96" s="153">
        <f t="shared" si="13"/>
        <v>2.3702089230034872E-2</v>
      </c>
      <c r="I96" s="1">
        <v>90</v>
      </c>
      <c r="J96" s="131">
        <f t="shared" si="15"/>
        <v>80.008822852588651</v>
      </c>
      <c r="K96" s="115">
        <f t="shared" si="16"/>
        <v>78.112446594146533</v>
      </c>
      <c r="L96" s="191" t="s">
        <v>1153</v>
      </c>
      <c r="M96" s="126" t="s">
        <v>842</v>
      </c>
      <c r="N96" s="126" t="s">
        <v>944</v>
      </c>
      <c r="O96" s="126" t="s">
        <v>400</v>
      </c>
      <c r="P96" s="170">
        <v>10173</v>
      </c>
      <c r="Q96" s="171" t="s">
        <v>945</v>
      </c>
      <c r="R96" s="126" t="s">
        <v>854</v>
      </c>
      <c r="S96" s="200">
        <v>43079</v>
      </c>
      <c r="T96" s="168"/>
      <c r="U96" s="117"/>
    </row>
    <row r="97" spans="1:21" ht="15.75">
      <c r="A97" s="1">
        <v>91</v>
      </c>
      <c r="B97" s="87">
        <v>0.2829976851851852</v>
      </c>
      <c r="C97" s="25"/>
      <c r="D97" s="25">
        <f t="shared" si="12"/>
        <v>415.91976099018353</v>
      </c>
      <c r="E97" s="4">
        <f t="shared" si="11"/>
        <v>0.31240000000000001</v>
      </c>
      <c r="F97" s="25">
        <v>421.46075657550028</v>
      </c>
      <c r="G97" s="25"/>
      <c r="H97" s="153">
        <f t="shared" si="13"/>
        <v>1.3147121051884076E-2</v>
      </c>
      <c r="I97" s="1">
        <v>91</v>
      </c>
      <c r="J97" s="131"/>
      <c r="K97" s="115"/>
      <c r="L97" s="191" t="s">
        <v>1136</v>
      </c>
      <c r="M97" s="126" t="s">
        <v>543</v>
      </c>
      <c r="N97" s="126" t="s">
        <v>951</v>
      </c>
      <c r="O97" s="126" t="s">
        <v>400</v>
      </c>
      <c r="P97" s="170">
        <v>6902</v>
      </c>
      <c r="Q97" s="171" t="s">
        <v>945</v>
      </c>
      <c r="R97" s="126" t="s">
        <v>854</v>
      </c>
      <c r="S97" s="200">
        <v>40524</v>
      </c>
      <c r="T97" s="168"/>
      <c r="U97" s="117"/>
    </row>
    <row r="98" spans="1:21">
      <c r="A98" s="1">
        <v>92</v>
      </c>
      <c r="B98" s="87">
        <v>0.41236111111111112</v>
      </c>
      <c r="C98" s="25">
        <f>B98*1440</f>
        <v>593.80000000000007</v>
      </c>
      <c r="D98" s="25">
        <f t="shared" si="12"/>
        <v>457.83415550857416</v>
      </c>
      <c r="E98" s="4">
        <f t="shared" ref="E98:E106" si="17">ROUND(1-IF(A98&lt;I$3,0,IF(A98&lt;I$4,G$3*(A98-I$3)^2,G$2+G$4*(A98-I$4)+(A98&gt;I$5)*G$5*(A98-I$5)^2)),4)</f>
        <v>0.2838</v>
      </c>
      <c r="F98" s="25">
        <v>457.40930285454323</v>
      </c>
      <c r="G98" s="25">
        <v>593.80000000000007</v>
      </c>
      <c r="H98" s="153">
        <f t="shared" si="13"/>
        <v>-9.2882381573693585E-4</v>
      </c>
      <c r="I98" s="1">
        <v>92</v>
      </c>
      <c r="J98" s="131">
        <f>100*(F98/C98)</f>
        <v>77.030869460179048</v>
      </c>
      <c r="K98" s="115">
        <f t="shared" si="16"/>
        <v>77.102417566280579</v>
      </c>
      <c r="L98" s="191" t="s">
        <v>1137</v>
      </c>
      <c r="M98" s="116" t="s">
        <v>543</v>
      </c>
      <c r="N98" s="116" t="s">
        <v>951</v>
      </c>
      <c r="O98" s="116" t="s">
        <v>400</v>
      </c>
      <c r="P98" s="170">
        <v>6902</v>
      </c>
      <c r="Q98" s="171" t="s">
        <v>945</v>
      </c>
      <c r="R98" s="126" t="s">
        <v>854</v>
      </c>
      <c r="S98" s="200">
        <v>40524</v>
      </c>
      <c r="T98" s="171"/>
      <c r="U98" s="117"/>
    </row>
    <row r="99" spans="1:21">
      <c r="A99" s="1">
        <v>93</v>
      </c>
      <c r="B99" s="3"/>
      <c r="C99" s="25"/>
      <c r="D99" s="25">
        <f t="shared" si="12"/>
        <v>511.34723861996594</v>
      </c>
      <c r="E99" s="4">
        <f t="shared" si="17"/>
        <v>0.25409999999999999</v>
      </c>
      <c r="F99" s="25">
        <v>501.74650698602784</v>
      </c>
      <c r="G99" s="25"/>
      <c r="H99" s="153">
        <f t="shared" si="13"/>
        <v>-1.9134625752771705E-2</v>
      </c>
      <c r="I99" s="1">
        <v>93</v>
      </c>
      <c r="J99" s="131"/>
      <c r="K99" s="115"/>
      <c r="L99" s="3"/>
    </row>
    <row r="100" spans="1:21">
      <c r="A100" s="1">
        <v>94</v>
      </c>
      <c r="B100" s="3"/>
      <c r="C100" s="25"/>
      <c r="D100" s="25">
        <f t="shared" si="12"/>
        <v>581.87789222271988</v>
      </c>
      <c r="E100" s="4">
        <f t="shared" si="17"/>
        <v>0.2233</v>
      </c>
      <c r="F100" s="25">
        <v>557.44975744975739</v>
      </c>
      <c r="G100" s="25"/>
      <c r="H100" s="153">
        <f t="shared" si="13"/>
        <v>-4.3821231324446645E-2</v>
      </c>
      <c r="I100" s="1">
        <v>94</v>
      </c>
      <c r="J100" s="131"/>
      <c r="K100" s="115"/>
      <c r="L100" s="3"/>
    </row>
    <row r="101" spans="1:21">
      <c r="A101" s="1">
        <v>95</v>
      </c>
      <c r="B101" s="3"/>
      <c r="C101" s="25"/>
      <c r="D101" s="25">
        <f t="shared" si="12"/>
        <v>678.85754092650654</v>
      </c>
      <c r="E101" s="4">
        <f t="shared" si="17"/>
        <v>0.19139999999999999</v>
      </c>
      <c r="F101" s="25">
        <v>629.12560613170638</v>
      </c>
      <c r="G101" s="25"/>
      <c r="H101" s="153">
        <f t="shared" si="13"/>
        <v>-7.9049293670601081E-2</v>
      </c>
      <c r="I101" s="1">
        <v>95</v>
      </c>
      <c r="J101" s="131"/>
      <c r="K101" s="115"/>
      <c r="L101" s="3"/>
    </row>
    <row r="102" spans="1:21">
      <c r="A102" s="1">
        <v>96</v>
      </c>
      <c r="B102" s="3"/>
      <c r="C102" s="25"/>
      <c r="D102" s="25">
        <f t="shared" si="12"/>
        <v>820.28619528619527</v>
      </c>
      <c r="E102" s="4">
        <f t="shared" si="17"/>
        <v>0.15840000000000001</v>
      </c>
      <c r="F102" s="25">
        <v>725.46897546897537</v>
      </c>
      <c r="G102" s="25"/>
      <c r="H102" s="153">
        <f t="shared" si="13"/>
        <v>-0.13069782860931556</v>
      </c>
      <c r="I102" s="1">
        <v>96</v>
      </c>
      <c r="J102" s="131"/>
      <c r="K102" s="115"/>
      <c r="L102" s="3"/>
    </row>
    <row r="103" spans="1:21">
      <c r="A103" s="1">
        <v>97</v>
      </c>
      <c r="B103" s="3"/>
      <c r="C103" s="25"/>
      <c r="D103" s="25">
        <f t="shared" si="12"/>
        <v>1045.320461249665</v>
      </c>
      <c r="E103" s="4">
        <f t="shared" si="17"/>
        <v>0.12429999999999999</v>
      </c>
      <c r="F103" s="25">
        <v>860.50492083868187</v>
      </c>
      <c r="G103" s="25"/>
      <c r="H103" s="153">
        <f t="shared" si="13"/>
        <v>-0.21477569266060048</v>
      </c>
      <c r="I103" s="1">
        <v>97</v>
      </c>
      <c r="J103" s="131"/>
      <c r="K103" s="114"/>
      <c r="L103" s="3"/>
    </row>
    <row r="104" spans="1:21">
      <c r="A104" s="1">
        <v>98</v>
      </c>
      <c r="B104" s="3"/>
      <c r="C104" s="25"/>
      <c r="D104" s="25">
        <f t="shared" si="12"/>
        <v>1458.2865693976805</v>
      </c>
      <c r="E104" s="4">
        <f t="shared" si="17"/>
        <v>8.9099999999999999E-2</v>
      </c>
      <c r="F104" s="25">
        <v>1064.8662960021177</v>
      </c>
      <c r="G104" s="25"/>
      <c r="H104" s="153">
        <f t="shared" si="13"/>
        <v>-0.36945509015789196</v>
      </c>
      <c r="I104" s="1">
        <v>98</v>
      </c>
      <c r="J104" s="131"/>
      <c r="K104" s="114"/>
      <c r="L104" s="3"/>
    </row>
    <row r="105" spans="1:21">
      <c r="A105" s="1">
        <v>99</v>
      </c>
      <c r="C105" s="25"/>
      <c r="D105" s="25">
        <f t="shared" si="12"/>
        <v>2460.8585858585861</v>
      </c>
      <c r="E105" s="4">
        <f t="shared" si="17"/>
        <v>5.28E-2</v>
      </c>
      <c r="F105" s="25">
        <v>1408.2633053221284</v>
      </c>
      <c r="G105" s="25"/>
      <c r="H105" s="153">
        <f t="shared" si="13"/>
        <v>-0.7474420987598519</v>
      </c>
      <c r="I105" s="1">
        <v>99</v>
      </c>
      <c r="J105" s="131"/>
      <c r="K105" s="114"/>
    </row>
    <row r="106" spans="1:21">
      <c r="A106" s="1">
        <v>100</v>
      </c>
      <c r="D106" s="25">
        <f>E$4/E106</f>
        <v>8437.2294372294364</v>
      </c>
      <c r="E106" s="4">
        <f t="shared" si="17"/>
        <v>1.54E-2</v>
      </c>
      <c r="F106" s="25">
        <v>2101.3584117032387</v>
      </c>
      <c r="G106" s="25"/>
      <c r="H106" s="153">
        <f t="shared" si="13"/>
        <v>-3.0151310648575698</v>
      </c>
      <c r="I106" s="1">
        <v>100</v>
      </c>
      <c r="J106" s="131"/>
      <c r="K106" s="11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I3" sqref="I3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30" t="s">
        <v>92</v>
      </c>
      <c r="B1" s="31"/>
      <c r="C1" s="32"/>
      <c r="D1" s="33" t="s">
        <v>32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</row>
    <row r="2" spans="1:9" ht="22.5">
      <c r="A2" s="30"/>
      <c r="B2" s="31"/>
      <c r="C2" s="32"/>
      <c r="D2" s="33"/>
      <c r="E2" s="33"/>
      <c r="F2" s="34">
        <f>(+H$3-H$4)*F$4/2</f>
        <v>2.1000000000000001E-2</v>
      </c>
      <c r="G2" s="34">
        <f>(+I$4-I$3)*G$4/2</f>
        <v>9.7500000000000003E-2</v>
      </c>
      <c r="H2" s="33"/>
      <c r="I2" s="33"/>
    </row>
    <row r="3" spans="1:9" ht="22.5">
      <c r="A3" s="30"/>
      <c r="B3" s="31"/>
      <c r="C3" s="32"/>
      <c r="D3" s="33"/>
      <c r="E3" s="33"/>
      <c r="F3" s="34">
        <f>F4/(2*(+H3-H4))</f>
        <v>1.7142857142857144E-3</v>
      </c>
      <c r="G3" s="34">
        <f>G4/(2*(+I4-I3))</f>
        <v>2.5641025641025641E-4</v>
      </c>
      <c r="H3" s="31">
        <v>20.5</v>
      </c>
      <c r="I3" s="31">
        <v>26</v>
      </c>
    </row>
    <row r="4" spans="1:9" ht="15.75">
      <c r="A4" s="31"/>
      <c r="B4" s="31"/>
      <c r="C4" s="31"/>
      <c r="D4" s="35">
        <f>Parameters!G27</f>
        <v>0.10868055555555556</v>
      </c>
      <c r="E4" s="36">
        <f>D4*1440</f>
        <v>156.5</v>
      </c>
      <c r="F4" s="34">
        <v>1.2E-2</v>
      </c>
      <c r="G4" s="34">
        <v>0.01</v>
      </c>
      <c r="H4" s="31">
        <v>17</v>
      </c>
      <c r="I4" s="31">
        <v>45.5</v>
      </c>
    </row>
    <row r="5" spans="1:9" ht="15.75">
      <c r="A5" s="31"/>
      <c r="B5" s="31"/>
      <c r="C5" s="31"/>
      <c r="D5" s="35"/>
      <c r="E5" s="31">
        <f>E4*60</f>
        <v>9390</v>
      </c>
      <c r="F5" s="34">
        <v>1.1000000000000001E-3</v>
      </c>
      <c r="G5" s="34">
        <v>1.1E-4</v>
      </c>
      <c r="H5" s="31">
        <v>15</v>
      </c>
      <c r="I5" s="31">
        <v>54</v>
      </c>
    </row>
    <row r="6" spans="1:9" ht="47.25">
      <c r="A6" s="37" t="s">
        <v>70</v>
      </c>
      <c r="B6" s="37" t="s">
        <v>93</v>
      </c>
      <c r="C6" s="37" t="s">
        <v>94</v>
      </c>
      <c r="D6" s="37" t="s">
        <v>145</v>
      </c>
      <c r="E6" s="37" t="s">
        <v>149</v>
      </c>
      <c r="F6" s="32" t="s">
        <v>148</v>
      </c>
      <c r="G6" s="37" t="s">
        <v>70</v>
      </c>
      <c r="I6" s="38"/>
    </row>
    <row r="7" spans="1:9">
      <c r="A7" s="1">
        <v>1</v>
      </c>
      <c r="B7" s="40"/>
      <c r="G7" s="1">
        <v>1</v>
      </c>
    </row>
    <row r="8" spans="1:9">
      <c r="A8" s="1">
        <v>2</v>
      </c>
      <c r="B8" s="40"/>
      <c r="G8" s="1">
        <v>2</v>
      </c>
    </row>
    <row r="9" spans="1:9">
      <c r="A9" s="1">
        <v>3</v>
      </c>
      <c r="B9" s="40"/>
      <c r="C9" s="25"/>
      <c r="D9" s="25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1"/>
      <c r="C10" s="25"/>
      <c r="D10" s="19">
        <f t="shared" ref="D10:D41" si="1">E$4/E10</f>
        <v>226.84447021307437</v>
      </c>
      <c r="E10" s="4">
        <f t="shared" si="0"/>
        <v>0.68989999999999996</v>
      </c>
      <c r="F10" s="19"/>
      <c r="G10" s="1">
        <v>4</v>
      </c>
    </row>
    <row r="11" spans="1:9">
      <c r="A11" s="1">
        <v>5</v>
      </c>
      <c r="B11" s="41"/>
      <c r="C11" s="25"/>
      <c r="D11" s="19">
        <f t="shared" si="1"/>
        <v>215.86206896551724</v>
      </c>
      <c r="E11" s="4">
        <f t="shared" si="0"/>
        <v>0.72499999999999998</v>
      </c>
      <c r="F11" s="19"/>
      <c r="G11" s="1">
        <v>5</v>
      </c>
      <c r="I11" s="4"/>
    </row>
    <row r="12" spans="1:9">
      <c r="A12" s="1">
        <v>6</v>
      </c>
      <c r="B12" s="41"/>
      <c r="C12" s="25"/>
      <c r="D12" s="19">
        <f t="shared" si="1"/>
        <v>206.49162158596121</v>
      </c>
      <c r="E12" s="4">
        <f t="shared" si="0"/>
        <v>0.75790000000000002</v>
      </c>
      <c r="F12" s="19"/>
      <c r="G12" s="1">
        <v>6</v>
      </c>
      <c r="I12" s="4"/>
    </row>
    <row r="13" spans="1:9">
      <c r="A13" s="1">
        <v>7</v>
      </c>
      <c r="B13" s="41"/>
      <c r="C13" s="25"/>
      <c r="D13" s="19">
        <f t="shared" si="1"/>
        <v>198.4529546030941</v>
      </c>
      <c r="E13" s="4">
        <f t="shared" si="0"/>
        <v>0.78859999999999997</v>
      </c>
      <c r="F13" s="19"/>
      <c r="G13" s="1">
        <v>7</v>
      </c>
      <c r="I13" s="4"/>
    </row>
    <row r="14" spans="1:9">
      <c r="A14" s="1">
        <v>8</v>
      </c>
      <c r="B14" s="41"/>
      <c r="C14" s="25"/>
      <c r="D14" s="19">
        <f t="shared" si="1"/>
        <v>191.5310243544242</v>
      </c>
      <c r="E14" s="4">
        <f t="shared" si="0"/>
        <v>0.81709999999999994</v>
      </c>
      <c r="F14" s="19"/>
      <c r="G14" s="1">
        <v>8</v>
      </c>
      <c r="I14" s="4"/>
    </row>
    <row r="15" spans="1:9">
      <c r="A15" s="1">
        <v>9</v>
      </c>
      <c r="B15" s="41"/>
      <c r="C15" s="25"/>
      <c r="D15" s="19">
        <f t="shared" si="1"/>
        <v>185.55845387716388</v>
      </c>
      <c r="E15" s="4">
        <f t="shared" si="0"/>
        <v>0.84339999999999993</v>
      </c>
      <c r="F15" s="19"/>
      <c r="G15" s="1">
        <v>9</v>
      </c>
      <c r="I15" s="4"/>
    </row>
    <row r="16" spans="1:9">
      <c r="A16" s="1">
        <v>10</v>
      </c>
      <c r="B16" s="41"/>
      <c r="C16" s="25"/>
      <c r="D16" s="19">
        <f t="shared" si="1"/>
        <v>180.4034582132565</v>
      </c>
      <c r="E16" s="4">
        <f t="shared" si="0"/>
        <v>0.86749999999999994</v>
      </c>
      <c r="F16" s="19"/>
      <c r="G16" s="1">
        <v>10</v>
      </c>
      <c r="I16" s="4"/>
    </row>
    <row r="17" spans="1:9">
      <c r="A17" s="1">
        <v>11</v>
      </c>
      <c r="B17" s="41"/>
      <c r="C17" s="25"/>
      <c r="D17" s="19">
        <f t="shared" si="1"/>
        <v>175.96132223971216</v>
      </c>
      <c r="E17" s="4">
        <f t="shared" si="0"/>
        <v>0.88939999999999997</v>
      </c>
      <c r="F17" s="19"/>
      <c r="G17" s="1">
        <v>11</v>
      </c>
      <c r="I17" s="4"/>
    </row>
    <row r="18" spans="1:9">
      <c r="A18" s="1">
        <v>12</v>
      </c>
      <c r="B18" s="41"/>
      <c r="C18" s="25"/>
      <c r="D18" s="19">
        <f t="shared" si="1"/>
        <v>172.14827851721483</v>
      </c>
      <c r="E18" s="4">
        <f t="shared" si="0"/>
        <v>0.90910000000000002</v>
      </c>
      <c r="F18" s="19"/>
      <c r="G18" s="1">
        <v>12</v>
      </c>
      <c r="I18" s="4"/>
    </row>
    <row r="19" spans="1:9">
      <c r="A19" s="1">
        <v>13</v>
      </c>
      <c r="B19" s="41"/>
      <c r="C19" s="25"/>
      <c r="D19" s="19">
        <f t="shared" si="1"/>
        <v>168.8970429527304</v>
      </c>
      <c r="E19" s="4">
        <f t="shared" si="0"/>
        <v>0.92659999999999998</v>
      </c>
      <c r="F19" s="19"/>
      <c r="G19" s="1">
        <v>13</v>
      </c>
      <c r="I19" s="4"/>
    </row>
    <row r="20" spans="1:9">
      <c r="A20" s="1">
        <v>14</v>
      </c>
      <c r="B20" s="41"/>
      <c r="C20" s="25"/>
      <c r="D20" s="19">
        <f t="shared" si="1"/>
        <v>166.15351948189829</v>
      </c>
      <c r="E20" s="4">
        <f t="shared" si="0"/>
        <v>0.94189999999999996</v>
      </c>
      <c r="F20" s="19"/>
      <c r="G20" s="1">
        <v>14</v>
      </c>
      <c r="I20" s="4"/>
    </row>
    <row r="21" spans="1:9">
      <c r="A21" s="1">
        <v>15</v>
      </c>
      <c r="B21" s="41"/>
      <c r="C21" s="25"/>
      <c r="D21" s="19">
        <f t="shared" si="1"/>
        <v>163.87434554973822</v>
      </c>
      <c r="E21" s="4">
        <f t="shared" si="0"/>
        <v>0.95499999999999996</v>
      </c>
      <c r="F21" s="19"/>
      <c r="G21" s="1">
        <v>15</v>
      </c>
      <c r="I21" s="4"/>
    </row>
    <row r="22" spans="1:9">
      <c r="A22" s="1">
        <v>16</v>
      </c>
      <c r="B22" s="41"/>
      <c r="C22" s="25"/>
      <c r="D22" s="19">
        <f t="shared" si="1"/>
        <v>161.84074457083764</v>
      </c>
      <c r="E22" s="4">
        <f t="shared" si="0"/>
        <v>0.96699999999999997</v>
      </c>
      <c r="F22" s="19"/>
      <c r="G22" s="1">
        <v>16</v>
      </c>
      <c r="I22" s="4"/>
    </row>
    <row r="23" spans="1:9">
      <c r="A23" s="1">
        <v>17</v>
      </c>
      <c r="B23" s="41"/>
      <c r="C23" s="25"/>
      <c r="D23" s="19">
        <f t="shared" si="1"/>
        <v>159.85699693564862</v>
      </c>
      <c r="E23" s="4">
        <f t="shared" si="0"/>
        <v>0.97899999999999998</v>
      </c>
      <c r="F23" s="19"/>
      <c r="G23" s="1">
        <v>17</v>
      </c>
      <c r="I23" s="4"/>
    </row>
    <row r="24" spans="1:9">
      <c r="A24" s="1">
        <v>18</v>
      </c>
      <c r="B24" s="41"/>
      <c r="C24" s="25"/>
      <c r="D24" s="19">
        <f t="shared" si="1"/>
        <v>158.19494584837545</v>
      </c>
      <c r="E24" s="4">
        <f t="shared" si="0"/>
        <v>0.98928571428571432</v>
      </c>
      <c r="F24" s="19"/>
      <c r="G24" s="1">
        <v>18</v>
      </c>
      <c r="I24" s="4"/>
    </row>
    <row r="25" spans="1:9">
      <c r="A25" s="1">
        <v>19</v>
      </c>
      <c r="B25" s="41"/>
      <c r="C25" s="25"/>
      <c r="D25" s="19">
        <f t="shared" si="1"/>
        <v>157.10598020937903</v>
      </c>
      <c r="E25" s="4">
        <f t="shared" si="0"/>
        <v>0.99614285714285711</v>
      </c>
      <c r="F25" s="19"/>
      <c r="G25" s="1">
        <v>19</v>
      </c>
      <c r="I25" s="4"/>
    </row>
    <row r="26" spans="1:9">
      <c r="A26" s="1">
        <v>20</v>
      </c>
      <c r="B26" s="41"/>
      <c r="C26" s="25"/>
      <c r="D26" s="19">
        <f t="shared" si="1"/>
        <v>156.56710018579392</v>
      </c>
      <c r="E26" s="4">
        <f t="shared" si="0"/>
        <v>0.99957142857142856</v>
      </c>
      <c r="F26" s="19"/>
      <c r="G26" s="1">
        <v>20</v>
      </c>
      <c r="I26" s="4"/>
    </row>
    <row r="27" spans="1:9">
      <c r="A27" s="1">
        <v>21</v>
      </c>
      <c r="B27" s="41"/>
      <c r="C27" s="25"/>
      <c r="D27" s="19">
        <f t="shared" si="1"/>
        <v>156.5</v>
      </c>
      <c r="E27" s="4">
        <f t="shared" si="0"/>
        <v>1</v>
      </c>
      <c r="F27" s="19"/>
      <c r="G27" s="1">
        <v>21</v>
      </c>
      <c r="I27" s="4"/>
    </row>
    <row r="28" spans="1:9">
      <c r="A28" s="1">
        <v>22</v>
      </c>
      <c r="B28" s="41"/>
      <c r="C28" s="25"/>
      <c r="D28" s="19">
        <f t="shared" si="1"/>
        <v>156.5</v>
      </c>
      <c r="E28" s="4">
        <f t="shared" si="0"/>
        <v>1</v>
      </c>
      <c r="F28" s="19"/>
      <c r="G28" s="1">
        <v>22</v>
      </c>
      <c r="I28" s="4"/>
    </row>
    <row r="29" spans="1:9">
      <c r="A29" s="1">
        <v>23</v>
      </c>
      <c r="B29" s="41"/>
      <c r="C29" s="25"/>
      <c r="D29" s="19">
        <f t="shared" si="1"/>
        <v>156.5</v>
      </c>
      <c r="E29" s="4">
        <f t="shared" si="0"/>
        <v>1</v>
      </c>
      <c r="F29" s="19"/>
      <c r="G29" s="1">
        <v>23</v>
      </c>
      <c r="I29" s="4"/>
    </row>
    <row r="30" spans="1:9">
      <c r="A30" s="1">
        <v>24</v>
      </c>
      <c r="B30" s="41"/>
      <c r="C30" s="25"/>
      <c r="D30" s="19">
        <f t="shared" si="1"/>
        <v>156.5</v>
      </c>
      <c r="E30" s="4">
        <f t="shared" si="0"/>
        <v>1</v>
      </c>
      <c r="F30" s="19"/>
      <c r="G30" s="1">
        <v>24</v>
      </c>
      <c r="I30" s="4"/>
    </row>
    <row r="31" spans="1:9">
      <c r="A31" s="1">
        <v>25</v>
      </c>
      <c r="B31" s="41"/>
      <c r="C31" s="25"/>
      <c r="D31" s="19">
        <f t="shared" si="1"/>
        <v>156.5</v>
      </c>
      <c r="E31" s="4">
        <f t="shared" si="0"/>
        <v>1</v>
      </c>
      <c r="F31" s="19"/>
      <c r="G31" s="1">
        <v>25</v>
      </c>
      <c r="I31" s="4"/>
    </row>
    <row r="32" spans="1:9">
      <c r="A32" s="1">
        <v>26</v>
      </c>
      <c r="B32" s="41"/>
      <c r="C32" s="25"/>
      <c r="D32" s="19">
        <f t="shared" si="1"/>
        <v>156.5</v>
      </c>
      <c r="E32" s="4">
        <f t="shared" si="0"/>
        <v>1</v>
      </c>
      <c r="F32" s="19"/>
      <c r="G32" s="1">
        <v>26</v>
      </c>
      <c r="I32" s="4"/>
    </row>
    <row r="33" spans="1:11">
      <c r="A33" s="1">
        <v>27</v>
      </c>
      <c r="B33" s="41">
        <v>0.13100694444444444</v>
      </c>
      <c r="C33" s="19">
        <f>B33*1440</f>
        <v>188.65</v>
      </c>
      <c r="D33" s="19">
        <f t="shared" si="1"/>
        <v>156.5</v>
      </c>
      <c r="E33" s="4">
        <f t="shared" si="0"/>
        <v>1</v>
      </c>
      <c r="F33" s="19">
        <f>100*(D33/C33)</f>
        <v>82.957858468062554</v>
      </c>
      <c r="G33" s="1">
        <v>27</v>
      </c>
      <c r="H33" s="42">
        <v>0.13100694444444444</v>
      </c>
      <c r="I33" s="23" t="s">
        <v>103</v>
      </c>
      <c r="J33" s="23" t="s">
        <v>105</v>
      </c>
      <c r="K33" s="23">
        <v>32589</v>
      </c>
    </row>
    <row r="34" spans="1:11">
      <c r="A34" s="1">
        <v>28</v>
      </c>
      <c r="B34" s="41"/>
      <c r="C34" s="19"/>
      <c r="D34" s="19">
        <f t="shared" si="1"/>
        <v>156.66067761806983</v>
      </c>
      <c r="E34" s="4">
        <f t="shared" ref="E34:E65" si="2">1-IF(A34&lt;I$3,0,IF(A34&lt;I$4,G$3*(A34-I$3)^2,G$2+G$4*(A34-I$4)+(A34&gt;I$5)*G$5*(A34-I$5)^2))</f>
        <v>0.99897435897435893</v>
      </c>
      <c r="F34" s="19"/>
      <c r="G34" s="1">
        <v>28</v>
      </c>
      <c r="I34" s="4"/>
    </row>
    <row r="35" spans="1:11">
      <c r="A35" s="1">
        <v>29</v>
      </c>
      <c r="B35" s="41"/>
      <c r="C35" s="19"/>
      <c r="D35" s="19">
        <f t="shared" si="1"/>
        <v>156.86198920585969</v>
      </c>
      <c r="E35" s="4">
        <f t="shared" si="2"/>
        <v>0.99769230769230766</v>
      </c>
      <c r="F35" s="19"/>
      <c r="G35" s="1">
        <v>29</v>
      </c>
      <c r="I35" s="4"/>
    </row>
    <row r="36" spans="1:11">
      <c r="A36" s="1">
        <v>30</v>
      </c>
      <c r="B36" s="41"/>
      <c r="C36" s="19"/>
      <c r="D36" s="19">
        <f t="shared" si="1"/>
        <v>157.14469618949536</v>
      </c>
      <c r="E36" s="4">
        <f t="shared" si="2"/>
        <v>0.99589743589743585</v>
      </c>
      <c r="F36" s="19"/>
      <c r="G36" s="1">
        <v>30</v>
      </c>
      <c r="I36" s="4"/>
    </row>
    <row r="37" spans="1:11">
      <c r="A37" s="1">
        <v>31</v>
      </c>
      <c r="B37" s="41"/>
      <c r="C37" s="19"/>
      <c r="D37" s="19">
        <f t="shared" si="1"/>
        <v>157.50967741935483</v>
      </c>
      <c r="E37" s="4">
        <f t="shared" si="2"/>
        <v>0.99358974358974361</v>
      </c>
      <c r="F37" s="19"/>
      <c r="G37" s="1">
        <v>31</v>
      </c>
      <c r="I37" s="4"/>
    </row>
    <row r="38" spans="1:11">
      <c r="A38" s="1">
        <v>32</v>
      </c>
      <c r="B38" s="41"/>
      <c r="C38" s="19"/>
      <c r="D38" s="19">
        <f t="shared" si="1"/>
        <v>157.95807453416148</v>
      </c>
      <c r="E38" s="4">
        <f t="shared" si="2"/>
        <v>0.99076923076923074</v>
      </c>
      <c r="F38" s="19"/>
      <c r="G38" s="1">
        <v>32</v>
      </c>
      <c r="I38" s="4"/>
    </row>
    <row r="39" spans="1:11">
      <c r="A39" s="1">
        <v>33</v>
      </c>
      <c r="B39" s="41"/>
      <c r="C39" s="19"/>
      <c r="D39" s="19">
        <f t="shared" si="1"/>
        <v>158.4913009607894</v>
      </c>
      <c r="E39" s="4">
        <f t="shared" si="2"/>
        <v>0.98743589743589744</v>
      </c>
      <c r="F39" s="19"/>
      <c r="G39" s="1">
        <v>33</v>
      </c>
      <c r="I39" s="4"/>
    </row>
    <row r="40" spans="1:11">
      <c r="A40" s="1">
        <v>34</v>
      </c>
      <c r="B40" s="41"/>
      <c r="C40" s="19"/>
      <c r="D40" s="19">
        <f t="shared" si="1"/>
        <v>159.11105318039625</v>
      </c>
      <c r="E40" s="4">
        <f t="shared" si="2"/>
        <v>0.9835897435897436</v>
      </c>
      <c r="F40" s="19"/>
      <c r="G40" s="1">
        <v>34</v>
      </c>
      <c r="I40" s="4"/>
    </row>
    <row r="41" spans="1:11">
      <c r="A41" s="1">
        <v>35</v>
      </c>
      <c r="B41" s="41">
        <v>0.14483796296296297</v>
      </c>
      <c r="C41" s="19">
        <f>B41*1440</f>
        <v>208.56666666666669</v>
      </c>
      <c r="D41" s="19">
        <f t="shared" si="1"/>
        <v>159.81932443047918</v>
      </c>
      <c r="E41" s="4">
        <f t="shared" si="2"/>
        <v>0.97923076923076924</v>
      </c>
      <c r="F41" s="19">
        <f>100*(D41/C41)</f>
        <v>76.627452979293182</v>
      </c>
      <c r="G41" s="1">
        <v>35</v>
      </c>
      <c r="H41" s="23" t="s">
        <v>95</v>
      </c>
      <c r="I41" s="4"/>
    </row>
    <row r="42" spans="1:11">
      <c r="A42" s="1">
        <v>36</v>
      </c>
      <c r="B42" s="41"/>
      <c r="C42" s="19"/>
      <c r="D42" s="19">
        <f t="shared" ref="D42:D73" si="3">E$4/E42</f>
        <v>160.61842105263159</v>
      </c>
      <c r="E42" s="4">
        <f t="shared" si="2"/>
        <v>0.97435897435897434</v>
      </c>
      <c r="F42" s="19"/>
      <c r="G42" s="1">
        <v>36</v>
      </c>
      <c r="I42" s="4"/>
    </row>
    <row r="43" spans="1:11">
      <c r="A43" s="1">
        <v>37</v>
      </c>
      <c r="B43" s="41"/>
      <c r="C43" s="19"/>
      <c r="D43" s="19">
        <f t="shared" si="3"/>
        <v>161.51098174120136</v>
      </c>
      <c r="E43" s="4">
        <f t="shared" si="2"/>
        <v>0.96897435897435902</v>
      </c>
      <c r="F43" s="19"/>
      <c r="G43" s="1">
        <v>37</v>
      </c>
      <c r="I43" s="4"/>
    </row>
    <row r="44" spans="1:11">
      <c r="A44" s="1">
        <v>38</v>
      </c>
      <c r="B44" s="41"/>
      <c r="C44" s="19"/>
      <c r="D44" s="19">
        <f t="shared" si="3"/>
        <v>162.5</v>
      </c>
      <c r="E44" s="4">
        <f t="shared" si="2"/>
        <v>0.96307692307692305</v>
      </c>
      <c r="F44" s="19"/>
      <c r="G44" s="1">
        <v>38</v>
      </c>
      <c r="I44" s="4"/>
    </row>
    <row r="45" spans="1:11">
      <c r="A45" s="1">
        <v>39</v>
      </c>
      <c r="B45" s="41"/>
      <c r="C45" s="19"/>
      <c r="D45" s="19">
        <f t="shared" si="3"/>
        <v>163.58885017421602</v>
      </c>
      <c r="E45" s="4">
        <f t="shared" si="2"/>
        <v>0.95666666666666667</v>
      </c>
      <c r="F45" s="19"/>
      <c r="G45" s="1">
        <v>39</v>
      </c>
      <c r="I45" s="4"/>
    </row>
    <row r="46" spans="1:11">
      <c r="A46" s="1">
        <v>40</v>
      </c>
      <c r="B46" s="41">
        <v>0.1509837962962963</v>
      </c>
      <c r="C46" s="19">
        <f>B46*1440</f>
        <v>217.41666666666666</v>
      </c>
      <c r="D46" s="19">
        <f t="shared" si="3"/>
        <v>164.78131749460044</v>
      </c>
      <c r="E46" s="4">
        <f t="shared" si="2"/>
        <v>0.94974358974358974</v>
      </c>
      <c r="F46" s="19">
        <f>100*(D46/C46)</f>
        <v>75.79056381507111</v>
      </c>
      <c r="G46" s="1">
        <v>40</v>
      </c>
      <c r="H46" s="23" t="s">
        <v>96</v>
      </c>
      <c r="I46" s="4"/>
    </row>
    <row r="47" spans="1:11">
      <c r="A47" s="1">
        <v>41</v>
      </c>
      <c r="B47" s="41"/>
      <c r="C47" s="19"/>
      <c r="D47" s="19">
        <f t="shared" si="3"/>
        <v>166.08163265306123</v>
      </c>
      <c r="E47" s="4">
        <f t="shared" si="2"/>
        <v>0.94230769230769229</v>
      </c>
      <c r="F47" s="19"/>
      <c r="G47" s="1">
        <v>41</v>
      </c>
      <c r="H47" s="23"/>
      <c r="I47" s="4"/>
    </row>
    <row r="48" spans="1:11">
      <c r="A48" s="1">
        <v>42</v>
      </c>
      <c r="B48" s="41"/>
      <c r="C48" s="19"/>
      <c r="D48" s="19">
        <f t="shared" si="3"/>
        <v>167.49451152579582</v>
      </c>
      <c r="E48" s="4">
        <f t="shared" si="2"/>
        <v>0.93435897435897441</v>
      </c>
      <c r="F48" s="19"/>
      <c r="G48" s="1">
        <v>42</v>
      </c>
      <c r="H48" s="23"/>
      <c r="I48" s="4"/>
    </row>
    <row r="49" spans="1:13">
      <c r="A49" s="1">
        <v>43</v>
      </c>
      <c r="B49" s="41"/>
      <c r="C49" s="19"/>
      <c r="D49" s="19">
        <f t="shared" si="3"/>
        <v>169.02520077540848</v>
      </c>
      <c r="E49" s="4">
        <f t="shared" si="2"/>
        <v>0.92589743589743589</v>
      </c>
      <c r="F49" s="19"/>
      <c r="G49" s="1">
        <v>43</v>
      </c>
      <c r="H49" s="23"/>
      <c r="I49" s="4"/>
    </row>
    <row r="50" spans="1:13">
      <c r="A50" s="1">
        <v>44</v>
      </c>
      <c r="B50" s="41"/>
      <c r="C50" s="19"/>
      <c r="D50" s="19">
        <f t="shared" si="3"/>
        <v>170.67953020134229</v>
      </c>
      <c r="E50" s="4">
        <f t="shared" si="2"/>
        <v>0.91692307692307695</v>
      </c>
      <c r="F50" s="19"/>
      <c r="G50" s="1">
        <v>44</v>
      </c>
      <c r="H50" s="23"/>
      <c r="I50" s="4"/>
    </row>
    <row r="51" spans="1:13">
      <c r="A51" s="1">
        <v>45</v>
      </c>
      <c r="B51" s="41">
        <v>0.15251157407407406</v>
      </c>
      <c r="C51" s="19">
        <f>B51*1440</f>
        <v>219.61666666666665</v>
      </c>
      <c r="D51" s="19">
        <f t="shared" si="3"/>
        <v>172.46397287369314</v>
      </c>
      <c r="E51" s="4">
        <f t="shared" si="2"/>
        <v>0.90743589743589748</v>
      </c>
      <c r="F51" s="19">
        <f>100*(D51/C51)</f>
        <v>78.529546728554223</v>
      </c>
      <c r="G51" s="1">
        <v>45</v>
      </c>
      <c r="H51" s="23" t="s">
        <v>97</v>
      </c>
      <c r="I51" s="4"/>
    </row>
    <row r="52" spans="1:13">
      <c r="A52" s="1">
        <v>46</v>
      </c>
      <c r="B52" s="41"/>
      <c r="C52" s="19"/>
      <c r="D52" s="19">
        <f t="shared" si="3"/>
        <v>174.37325905292479</v>
      </c>
      <c r="E52" s="4">
        <f t="shared" si="2"/>
        <v>0.89749999999999996</v>
      </c>
      <c r="F52" s="19"/>
      <c r="G52" s="1">
        <v>46</v>
      </c>
      <c r="H52" s="23"/>
      <c r="I52" s="4"/>
    </row>
    <row r="53" spans="1:13">
      <c r="A53" s="1">
        <v>47</v>
      </c>
      <c r="B53" s="41">
        <v>0.14761574074074074</v>
      </c>
      <c r="C53" s="19">
        <f>B53*1440</f>
        <v>212.56666666666666</v>
      </c>
      <c r="D53" s="19">
        <f t="shared" si="3"/>
        <v>176.33802816901408</v>
      </c>
      <c r="E53" s="4">
        <f t="shared" si="2"/>
        <v>0.88749999999999996</v>
      </c>
      <c r="F53" s="19">
        <f>100*(D53/C53)</f>
        <v>82.956575898861885</v>
      </c>
      <c r="G53" s="1">
        <v>47</v>
      </c>
      <c r="H53" s="43" t="s">
        <v>98</v>
      </c>
      <c r="I53" s="42">
        <v>0.14761574074074074</v>
      </c>
      <c r="J53" s="23" t="s">
        <v>104</v>
      </c>
      <c r="K53" s="23" t="s">
        <v>107</v>
      </c>
      <c r="L53" s="23" t="s">
        <v>110</v>
      </c>
      <c r="M53" s="23">
        <v>-121783</v>
      </c>
    </row>
    <row r="54" spans="1:13">
      <c r="A54" s="1">
        <v>48</v>
      </c>
      <c r="B54" s="41"/>
      <c r="C54" s="19"/>
      <c r="D54" s="19">
        <f t="shared" si="3"/>
        <v>178.34757834757835</v>
      </c>
      <c r="E54" s="4">
        <f t="shared" si="2"/>
        <v>0.87749999999999995</v>
      </c>
      <c r="F54" s="19"/>
      <c r="G54" s="1">
        <v>48</v>
      </c>
      <c r="H54" s="23"/>
      <c r="I54" s="4"/>
    </row>
    <row r="55" spans="1:13">
      <c r="A55" s="1">
        <v>49</v>
      </c>
      <c r="B55" s="41"/>
      <c r="C55" s="19"/>
      <c r="D55" s="19">
        <f t="shared" si="3"/>
        <v>180.4034582132565</v>
      </c>
      <c r="E55" s="4">
        <f t="shared" si="2"/>
        <v>0.86749999999999994</v>
      </c>
      <c r="F55" s="19"/>
      <c r="G55" s="1">
        <v>49</v>
      </c>
      <c r="H55" s="23"/>
      <c r="I55" s="4"/>
    </row>
    <row r="56" spans="1:13">
      <c r="A56" s="1">
        <v>50</v>
      </c>
      <c r="B56" s="41">
        <v>0.15760416666666666</v>
      </c>
      <c r="C56" s="19">
        <f>B56*1440</f>
        <v>226.95</v>
      </c>
      <c r="D56" s="19">
        <f t="shared" si="3"/>
        <v>182.50728862973762</v>
      </c>
      <c r="E56" s="4">
        <f t="shared" si="2"/>
        <v>0.85749999999999993</v>
      </c>
      <c r="F56" s="19">
        <f>100*(D56/C56)</f>
        <v>80.417399704665186</v>
      </c>
      <c r="G56" s="1">
        <v>50</v>
      </c>
      <c r="H56" s="23" t="s">
        <v>99</v>
      </c>
      <c r="I56" s="4"/>
    </row>
    <row r="57" spans="1:13">
      <c r="A57" s="1">
        <v>51</v>
      </c>
      <c r="B57" s="41"/>
      <c r="C57" s="19"/>
      <c r="D57" s="19">
        <f t="shared" si="3"/>
        <v>184.66076696165192</v>
      </c>
      <c r="E57" s="4">
        <f t="shared" si="2"/>
        <v>0.84750000000000003</v>
      </c>
      <c r="F57" s="19"/>
      <c r="G57" s="1">
        <v>51</v>
      </c>
      <c r="I57" s="4"/>
    </row>
    <row r="58" spans="1:13">
      <c r="A58" s="1">
        <v>52</v>
      </c>
      <c r="B58" s="41"/>
      <c r="C58" s="19"/>
      <c r="D58" s="19">
        <f t="shared" si="3"/>
        <v>186.86567164179104</v>
      </c>
      <c r="E58" s="4">
        <f t="shared" si="2"/>
        <v>0.83750000000000002</v>
      </c>
      <c r="F58" s="19"/>
      <c r="G58" s="1">
        <v>52</v>
      </c>
      <c r="I58" s="4"/>
    </row>
    <row r="59" spans="1:13">
      <c r="A59" s="1">
        <v>53</v>
      </c>
      <c r="B59" s="41"/>
      <c r="C59" s="19"/>
      <c r="D59" s="19">
        <f t="shared" si="3"/>
        <v>189.12386706948641</v>
      </c>
      <c r="E59" s="4">
        <f t="shared" si="2"/>
        <v>0.82750000000000001</v>
      </c>
      <c r="F59" s="19"/>
      <c r="G59" s="1">
        <v>53</v>
      </c>
      <c r="I59" s="4"/>
    </row>
    <row r="60" spans="1:13">
      <c r="A60" s="1">
        <v>54</v>
      </c>
      <c r="B60" s="41"/>
      <c r="C60" s="19"/>
      <c r="D60" s="19">
        <f t="shared" si="3"/>
        <v>191.43730886850153</v>
      </c>
      <c r="E60" s="4">
        <f t="shared" si="2"/>
        <v>0.8175</v>
      </c>
      <c r="F60" s="19"/>
      <c r="G60" s="1">
        <v>54</v>
      </c>
      <c r="I60" s="4"/>
    </row>
    <row r="61" spans="1:13">
      <c r="A61" s="1">
        <v>55</v>
      </c>
      <c r="B61" s="41">
        <v>0.16452546296296297</v>
      </c>
      <c r="C61" s="19">
        <f>B61*1440</f>
        <v>236.91666666666669</v>
      </c>
      <c r="D61" s="19">
        <f t="shared" si="3"/>
        <v>193.83445422905905</v>
      </c>
      <c r="E61" s="4">
        <f t="shared" si="2"/>
        <v>0.80739000000000005</v>
      </c>
      <c r="F61" s="19">
        <f>100*(D61/C61)</f>
        <v>81.815457289789251</v>
      </c>
      <c r="G61" s="1">
        <v>55</v>
      </c>
      <c r="H61" s="23" t="s">
        <v>98</v>
      </c>
      <c r="I61" s="42">
        <v>0.16452546296296297</v>
      </c>
      <c r="J61" s="23" t="s">
        <v>104</v>
      </c>
      <c r="K61" s="23" t="s">
        <v>108</v>
      </c>
      <c r="L61" s="23" t="s">
        <v>111</v>
      </c>
      <c r="M61" s="23">
        <v>-101792</v>
      </c>
    </row>
    <row r="62" spans="1:13">
      <c r="A62" s="1">
        <v>56</v>
      </c>
      <c r="B62" s="41"/>
      <c r="C62" s="19"/>
      <c r="D62" s="19">
        <f t="shared" si="3"/>
        <v>196.34657365819388</v>
      </c>
      <c r="E62" s="4">
        <f t="shared" si="2"/>
        <v>0.79705999999999999</v>
      </c>
      <c r="F62" s="19"/>
      <c r="G62" s="1">
        <v>56</v>
      </c>
      <c r="I62" s="4"/>
    </row>
    <row r="63" spans="1:13">
      <c r="A63" s="1">
        <v>57</v>
      </c>
      <c r="B63" s="41"/>
      <c r="C63" s="19"/>
      <c r="D63" s="19">
        <f t="shared" si="3"/>
        <v>198.98030539980419</v>
      </c>
      <c r="E63" s="4">
        <f t="shared" si="2"/>
        <v>0.78651000000000004</v>
      </c>
      <c r="F63" s="19"/>
      <c r="G63" s="1">
        <v>57</v>
      </c>
      <c r="I63" s="4"/>
    </row>
    <row r="64" spans="1:13">
      <c r="A64" s="1">
        <v>58</v>
      </c>
      <c r="B64" s="41"/>
      <c r="C64" s="19"/>
      <c r="D64" s="19">
        <f t="shared" si="3"/>
        <v>201.74285198649034</v>
      </c>
      <c r="E64" s="4">
        <f t="shared" si="2"/>
        <v>0.77573999999999999</v>
      </c>
      <c r="F64" s="19"/>
      <c r="G64" s="1">
        <v>58</v>
      </c>
      <c r="I64" s="4"/>
    </row>
    <row r="65" spans="1:13">
      <c r="A65" s="1">
        <v>59</v>
      </c>
      <c r="B65" s="41"/>
      <c r="C65" s="19"/>
      <c r="D65" s="19">
        <f t="shared" si="3"/>
        <v>204.64203988231446</v>
      </c>
      <c r="E65" s="4">
        <f t="shared" si="2"/>
        <v>0.76475000000000004</v>
      </c>
      <c r="F65" s="19"/>
      <c r="G65" s="1">
        <v>59</v>
      </c>
      <c r="I65" s="4"/>
    </row>
    <row r="66" spans="1:13">
      <c r="A66" s="1">
        <v>60</v>
      </c>
      <c r="B66" s="41">
        <v>0.18365740740740741</v>
      </c>
      <c r="C66" s="19">
        <f>B66*1440</f>
        <v>264.46666666666664</v>
      </c>
      <c r="D66" s="19">
        <f t="shared" si="3"/>
        <v>207.68638692040238</v>
      </c>
      <c r="E66" s="4">
        <f t="shared" ref="E66:E97" si="4">1-IF(A66&lt;I$3,0,IF(A66&lt;I$4,G$3*(A66-I$3)^2,G$2+G$4*(A66-I$4)+(A66&gt;I$5)*G$5*(A66-I$5)^2))</f>
        <v>0.75353999999999999</v>
      </c>
      <c r="F66" s="19">
        <f>100*(D66/C66)</f>
        <v>78.530269821175608</v>
      </c>
      <c r="G66" s="1">
        <v>60</v>
      </c>
      <c r="H66" s="23" t="s">
        <v>100</v>
      </c>
      <c r="I66" s="4"/>
    </row>
    <row r="67" spans="1:13">
      <c r="A67" s="1">
        <v>61</v>
      </c>
      <c r="B67" s="41"/>
      <c r="C67" s="19"/>
      <c r="D67" s="19">
        <f t="shared" si="3"/>
        <v>210.885178747086</v>
      </c>
      <c r="E67" s="4">
        <f t="shared" si="4"/>
        <v>0.74211000000000005</v>
      </c>
      <c r="F67" s="19"/>
      <c r="G67" s="1">
        <v>61</v>
      </c>
      <c r="I67" s="4"/>
    </row>
    <row r="68" spans="1:13">
      <c r="A68" s="1">
        <v>62</v>
      </c>
      <c r="B68" s="41"/>
      <c r="C68" s="19"/>
      <c r="D68" s="19">
        <f t="shared" si="3"/>
        <v>214.24855570462449</v>
      </c>
      <c r="E68" s="4">
        <f t="shared" si="4"/>
        <v>0.73046</v>
      </c>
      <c r="F68" s="19"/>
      <c r="G68" s="1">
        <v>62</v>
      </c>
      <c r="I68" s="4"/>
    </row>
    <row r="69" spans="1:13">
      <c r="A69" s="1">
        <v>63</v>
      </c>
      <c r="B69" s="41"/>
      <c r="C69" s="19"/>
      <c r="D69" s="19">
        <f t="shared" si="3"/>
        <v>217.78761185098594</v>
      </c>
      <c r="E69" s="4">
        <f t="shared" si="4"/>
        <v>0.71859000000000006</v>
      </c>
      <c r="F69" s="19"/>
      <c r="G69" s="1">
        <v>63</v>
      </c>
      <c r="I69" s="4"/>
    </row>
    <row r="70" spans="1:13">
      <c r="A70" s="1">
        <v>64</v>
      </c>
      <c r="B70" s="41"/>
      <c r="C70" s="19"/>
      <c r="D70" s="19">
        <f t="shared" si="3"/>
        <v>221.51450813871196</v>
      </c>
      <c r="E70" s="4">
        <f t="shared" si="4"/>
        <v>0.70650000000000002</v>
      </c>
      <c r="F70" s="19"/>
      <c r="G70" s="1">
        <v>64</v>
      </c>
      <c r="I70" s="4"/>
    </row>
    <row r="71" spans="1:13">
      <c r="A71" s="1">
        <v>65</v>
      </c>
      <c r="B71" s="41">
        <v>0.1933101851851852</v>
      </c>
      <c r="C71" s="19">
        <f>B71*1440</f>
        <v>278.36666666666667</v>
      </c>
      <c r="D71" s="19">
        <f t="shared" si="3"/>
        <v>225.44260216943485</v>
      </c>
      <c r="E71" s="4">
        <f t="shared" si="4"/>
        <v>0.69419000000000008</v>
      </c>
      <c r="F71" s="19">
        <f>100*(D71/C71)</f>
        <v>80.987642977883439</v>
      </c>
      <c r="G71" s="1">
        <v>65</v>
      </c>
      <c r="H71" s="23" t="s">
        <v>101</v>
      </c>
      <c r="I71" s="4"/>
    </row>
    <row r="72" spans="1:13">
      <c r="A72" s="1">
        <v>66</v>
      </c>
      <c r="B72" s="41"/>
      <c r="C72" s="19"/>
      <c r="D72" s="19">
        <f t="shared" si="3"/>
        <v>229.5865974239357</v>
      </c>
      <c r="E72" s="4">
        <f t="shared" si="4"/>
        <v>0.68165999999999993</v>
      </c>
      <c r="F72" s="19"/>
      <c r="G72" s="1">
        <v>66</v>
      </c>
      <c r="I72" s="4"/>
    </row>
    <row r="73" spans="1:13">
      <c r="A73" s="1">
        <v>67</v>
      </c>
      <c r="B73" s="41">
        <v>0.20196759259259259</v>
      </c>
      <c r="C73" s="19">
        <f>B73*1440</f>
        <v>290.83333333333331</v>
      </c>
      <c r="D73" s="19">
        <f t="shared" si="3"/>
        <v>233.96271546246879</v>
      </c>
      <c r="E73" s="4">
        <f t="shared" si="4"/>
        <v>0.66891</v>
      </c>
      <c r="F73" s="19">
        <f>100*(D73/C73)</f>
        <v>80.445632823771504</v>
      </c>
      <c r="G73" s="1">
        <v>67</v>
      </c>
      <c r="H73" s="42">
        <v>0.20196759259259259</v>
      </c>
      <c r="I73" s="23" t="s">
        <v>104</v>
      </c>
      <c r="J73" s="23" t="s">
        <v>106</v>
      </c>
      <c r="K73" s="23" t="s">
        <v>109</v>
      </c>
      <c r="L73" s="23">
        <v>-111399</v>
      </c>
      <c r="M73" s="23"/>
    </row>
    <row r="74" spans="1:13">
      <c r="A74" s="1">
        <v>68</v>
      </c>
      <c r="B74" s="41"/>
      <c r="C74" s="19"/>
      <c r="D74" s="19">
        <f t="shared" ref="D74:D105" si="5">E$4/E74</f>
        <v>238.58889532579201</v>
      </c>
      <c r="E74" s="4">
        <f t="shared" si="4"/>
        <v>0.65593999999999997</v>
      </c>
      <c r="F74" s="19"/>
      <c r="G74" s="1">
        <v>68</v>
      </c>
      <c r="I74" s="4"/>
    </row>
    <row r="75" spans="1:13">
      <c r="A75" s="1">
        <v>69</v>
      </c>
      <c r="B75" s="41"/>
      <c r="C75" s="19"/>
      <c r="D75" s="19">
        <f t="shared" si="5"/>
        <v>243.48502528199145</v>
      </c>
      <c r="E75" s="4">
        <f t="shared" si="4"/>
        <v>0.64274999999999993</v>
      </c>
      <c r="F75" s="19"/>
      <c r="G75" s="1">
        <v>69</v>
      </c>
      <c r="I75" s="4"/>
    </row>
    <row r="76" spans="1:13">
      <c r="A76" s="1">
        <v>70</v>
      </c>
      <c r="B76" s="41">
        <v>0.21802083333333333</v>
      </c>
      <c r="C76" s="19">
        <f>B76*1440</f>
        <v>313.95</v>
      </c>
      <c r="D76" s="19">
        <f t="shared" si="5"/>
        <v>248.67321320748721</v>
      </c>
      <c r="E76" s="4">
        <f t="shared" si="4"/>
        <v>0.62934000000000001</v>
      </c>
      <c r="F76" s="19">
        <f>100*(D76/C76)</f>
        <v>79.207903553905794</v>
      </c>
      <c r="G76" s="1">
        <v>70</v>
      </c>
      <c r="H76" s="23" t="s">
        <v>102</v>
      </c>
      <c r="I76" s="4"/>
    </row>
    <row r="77" spans="1:13">
      <c r="A77" s="1">
        <v>71</v>
      </c>
      <c r="B77" s="41"/>
      <c r="C77" s="19"/>
      <c r="D77" s="19">
        <f t="shared" si="5"/>
        <v>254.17810332786539</v>
      </c>
      <c r="E77" s="4">
        <f t="shared" si="4"/>
        <v>0.61570999999999998</v>
      </c>
      <c r="F77" s="19"/>
      <c r="G77" s="1">
        <v>71</v>
      </c>
      <c r="I77" s="4"/>
    </row>
    <row r="78" spans="1:13">
      <c r="A78" s="1">
        <v>72</v>
      </c>
      <c r="B78" s="41"/>
      <c r="C78" s="19"/>
      <c r="D78" s="19">
        <f t="shared" si="5"/>
        <v>260.02724886186161</v>
      </c>
      <c r="E78" s="4">
        <f t="shared" si="4"/>
        <v>0.60185999999999995</v>
      </c>
      <c r="F78" s="19"/>
      <c r="G78" s="1">
        <v>72</v>
      </c>
      <c r="I78" s="4"/>
    </row>
    <row r="79" spans="1:13">
      <c r="A79" s="1">
        <v>73</v>
      </c>
      <c r="B79" s="41"/>
      <c r="C79" s="19"/>
      <c r="D79" s="19">
        <f t="shared" si="5"/>
        <v>266.25155242518588</v>
      </c>
      <c r="E79" s="4">
        <f t="shared" si="4"/>
        <v>0.58778999999999992</v>
      </c>
      <c r="F79" s="19"/>
      <c r="G79" s="1">
        <v>73</v>
      </c>
      <c r="I79" s="4"/>
    </row>
    <row r="80" spans="1:13">
      <c r="A80" s="1">
        <v>74</v>
      </c>
      <c r="B80" s="41"/>
      <c r="C80" s="19"/>
      <c r="D80" s="19">
        <f t="shared" si="5"/>
        <v>272.88578901482134</v>
      </c>
      <c r="E80" s="4">
        <f t="shared" si="4"/>
        <v>0.5734999999999999</v>
      </c>
      <c r="F80" s="19"/>
      <c r="G80" s="1">
        <v>74</v>
      </c>
      <c r="I80" s="4"/>
    </row>
    <row r="81" spans="1:9">
      <c r="A81" s="1">
        <v>75</v>
      </c>
      <c r="B81" s="41"/>
      <c r="C81" s="19"/>
      <c r="D81" s="19">
        <f t="shared" si="5"/>
        <v>279.9692302187874</v>
      </c>
      <c r="E81" s="4">
        <f t="shared" si="4"/>
        <v>0.5589900000000001</v>
      </c>
      <c r="F81" s="19"/>
      <c r="G81" s="1">
        <v>75</v>
      </c>
      <c r="I81" s="4"/>
    </row>
    <row r="82" spans="1:9">
      <c r="A82" s="1">
        <v>76</v>
      </c>
      <c r="B82" s="41"/>
      <c r="C82" s="19"/>
      <c r="D82" s="19">
        <f t="shared" si="5"/>
        <v>287.54639326792346</v>
      </c>
      <c r="E82" s="4">
        <f t="shared" si="4"/>
        <v>0.54425999999999997</v>
      </c>
      <c r="F82" s="19"/>
      <c r="G82" s="1">
        <v>76</v>
      </c>
      <c r="I82" s="4"/>
    </row>
    <row r="83" spans="1:9">
      <c r="A83" s="1">
        <v>77</v>
      </c>
      <c r="B83" s="41"/>
      <c r="C83" s="19"/>
      <c r="D83" s="19">
        <f t="shared" si="5"/>
        <v>295.66794506055055</v>
      </c>
      <c r="E83" s="4">
        <f t="shared" si="4"/>
        <v>0.52930999999999995</v>
      </c>
      <c r="F83" s="19"/>
      <c r="G83" s="1">
        <v>77</v>
      </c>
      <c r="I83" s="4"/>
    </row>
    <row r="84" spans="1:9">
      <c r="A84" s="1">
        <v>78</v>
      </c>
      <c r="B84" s="41"/>
      <c r="C84" s="19"/>
      <c r="D84" s="19">
        <f t="shared" si="5"/>
        <v>304.3917998988602</v>
      </c>
      <c r="E84" s="4">
        <f t="shared" si="4"/>
        <v>0.51414000000000004</v>
      </c>
      <c r="F84" s="19"/>
      <c r="G84" s="1">
        <v>78</v>
      </c>
      <c r="I84" s="4"/>
    </row>
    <row r="85" spans="1:9">
      <c r="A85" s="1">
        <v>79</v>
      </c>
      <c r="B85" s="41"/>
      <c r="C85" s="19"/>
      <c r="D85" s="19">
        <f t="shared" si="5"/>
        <v>313.78446115288222</v>
      </c>
      <c r="E85" s="4">
        <f t="shared" si="4"/>
        <v>0.49875000000000003</v>
      </c>
      <c r="F85" s="19"/>
      <c r="G85" s="1">
        <v>79</v>
      </c>
      <c r="I85" s="4"/>
    </row>
    <row r="86" spans="1:9">
      <c r="A86" s="1">
        <v>80</v>
      </c>
      <c r="B86" s="41"/>
      <c r="C86" s="19">
        <f>B86*1440</f>
        <v>0</v>
      </c>
      <c r="D86" s="19">
        <f t="shared" si="5"/>
        <v>323.92267251728276</v>
      </c>
      <c r="E86" s="4">
        <f t="shared" si="4"/>
        <v>0.48314000000000001</v>
      </c>
      <c r="F86" s="19" t="e">
        <f>100*(D86/C86)</f>
        <v>#DIV/0!</v>
      </c>
      <c r="G86" s="1">
        <v>80</v>
      </c>
      <c r="H86" s="23"/>
      <c r="I86" s="4"/>
    </row>
    <row r="87" spans="1:9">
      <c r="A87" s="1">
        <v>81</v>
      </c>
      <c r="B87" s="41"/>
      <c r="C87" s="19"/>
      <c r="D87" s="19">
        <f t="shared" si="5"/>
        <v>334.89546553679571</v>
      </c>
      <c r="E87" s="4">
        <f t="shared" si="4"/>
        <v>0.46731</v>
      </c>
      <c r="F87" s="19"/>
      <c r="G87" s="1">
        <v>81</v>
      </c>
      <c r="I87" s="4"/>
    </row>
    <row r="88" spans="1:9">
      <c r="A88" s="1">
        <v>82</v>
      </c>
      <c r="B88" s="41"/>
      <c r="C88" s="19"/>
      <c r="D88" s="19">
        <f t="shared" si="5"/>
        <v>346.80671896467669</v>
      </c>
      <c r="E88" s="4">
        <f t="shared" si="4"/>
        <v>0.45125999999999999</v>
      </c>
      <c r="F88" s="19"/>
      <c r="G88" s="1">
        <v>82</v>
      </c>
      <c r="I88" s="4"/>
    </row>
    <row r="89" spans="1:9">
      <c r="A89" s="1">
        <v>83</v>
      </c>
      <c r="B89" s="41"/>
      <c r="C89" s="19"/>
      <c r="D89" s="19">
        <f t="shared" si="5"/>
        <v>359.77838571001632</v>
      </c>
      <c r="E89" s="4">
        <f t="shared" si="4"/>
        <v>0.43498999999999999</v>
      </c>
      <c r="F89" s="19"/>
      <c r="G89" s="1">
        <v>83</v>
      </c>
      <c r="I89" s="4"/>
    </row>
    <row r="90" spans="1:9">
      <c r="A90" s="1">
        <v>84</v>
      </c>
      <c r="B90" s="41"/>
      <c r="C90" s="19"/>
      <c r="D90" s="19">
        <f t="shared" si="5"/>
        <v>373.95459976105138</v>
      </c>
      <c r="E90" s="4">
        <f t="shared" si="4"/>
        <v>0.41849999999999998</v>
      </c>
      <c r="F90" s="19"/>
      <c r="G90" s="1">
        <v>84</v>
      </c>
      <c r="I90" s="4"/>
    </row>
    <row r="91" spans="1:9">
      <c r="A91" s="1">
        <v>85</v>
      </c>
      <c r="B91" s="41"/>
      <c r="C91" s="19">
        <f>B91*1440</f>
        <v>0</v>
      </c>
      <c r="D91" s="19">
        <f t="shared" si="5"/>
        <v>389.50695637024319</v>
      </c>
      <c r="E91" s="4">
        <f t="shared" si="4"/>
        <v>0.40178999999999998</v>
      </c>
      <c r="F91" s="19" t="e">
        <f>100*(D91/C91)</f>
        <v>#DIV/0!</v>
      </c>
      <c r="G91" s="1">
        <v>85</v>
      </c>
      <c r="H91" s="23"/>
      <c r="I91" s="4"/>
    </row>
    <row r="92" spans="1:9">
      <c r="A92" s="1">
        <v>86</v>
      </c>
      <c r="B92" s="41"/>
      <c r="C92" s="19"/>
      <c r="D92" s="19">
        <f t="shared" si="5"/>
        <v>406.64137608481008</v>
      </c>
      <c r="E92" s="4">
        <f t="shared" si="4"/>
        <v>0.38485999999999998</v>
      </c>
      <c r="F92" s="19"/>
      <c r="G92" s="1">
        <v>86</v>
      </c>
      <c r="I92" s="4"/>
    </row>
    <row r="93" spans="1:9">
      <c r="A93" s="1">
        <v>87</v>
      </c>
      <c r="B93" s="41"/>
      <c r="C93" s="19"/>
      <c r="D93" s="19">
        <f t="shared" si="5"/>
        <v>425.60713605830682</v>
      </c>
      <c r="E93" s="4">
        <f t="shared" si="4"/>
        <v>0.36770999999999998</v>
      </c>
      <c r="F93" s="19"/>
      <c r="G93" s="1">
        <v>87</v>
      </c>
      <c r="I93" s="4"/>
    </row>
    <row r="94" spans="1:9">
      <c r="A94" s="1">
        <v>88</v>
      </c>
      <c r="B94" s="41"/>
      <c r="C94" s="19"/>
      <c r="D94" s="19">
        <f t="shared" si="5"/>
        <v>446.70891134326644</v>
      </c>
      <c r="E94" s="4">
        <f t="shared" si="4"/>
        <v>0.3503400000000001</v>
      </c>
      <c r="F94" s="19"/>
      <c r="G94" s="1">
        <v>88</v>
      </c>
      <c r="I94" s="4"/>
    </row>
    <row r="95" spans="1:9">
      <c r="A95" s="1">
        <v>89</v>
      </c>
      <c r="B95" s="41"/>
      <c r="C95" s="25"/>
      <c r="D95" s="19">
        <f t="shared" si="5"/>
        <v>470.32306536438767</v>
      </c>
      <c r="E95" s="4">
        <f t="shared" si="4"/>
        <v>0.33274999999999999</v>
      </c>
      <c r="F95" s="19"/>
      <c r="G95" s="1">
        <v>89</v>
      </c>
      <c r="I95" s="4"/>
    </row>
    <row r="96" spans="1:9">
      <c r="A96" s="1">
        <v>90</v>
      </c>
      <c r="B96" s="41"/>
      <c r="C96" s="25"/>
      <c r="D96" s="19">
        <f t="shared" si="5"/>
        <v>496.92004826316122</v>
      </c>
      <c r="E96" s="4">
        <f t="shared" si="4"/>
        <v>0.31494</v>
      </c>
      <c r="F96" s="19"/>
      <c r="G96" s="1">
        <v>90</v>
      </c>
      <c r="I96" s="4"/>
    </row>
    <row r="97" spans="1:9">
      <c r="A97" s="1">
        <v>91</v>
      </c>
      <c r="B97" s="40"/>
      <c r="C97" s="25"/>
      <c r="D97" s="19">
        <f t="shared" si="5"/>
        <v>527.09575292176078</v>
      </c>
      <c r="E97" s="4">
        <f t="shared" si="4"/>
        <v>0.29691000000000001</v>
      </c>
      <c r="F97" s="19"/>
      <c r="G97" s="1">
        <v>91</v>
      </c>
      <c r="I97" s="4"/>
    </row>
    <row r="98" spans="1:9">
      <c r="A98" s="1">
        <v>92</v>
      </c>
      <c r="B98" s="40"/>
      <c r="C98" s="25"/>
      <c r="D98" s="19">
        <f t="shared" si="5"/>
        <v>561.61630661020592</v>
      </c>
      <c r="E98" s="4">
        <f t="shared" ref="E98:E106" si="6">1-IF(A98&lt;I$3,0,IF(A98&lt;I$4,G$3*(A98-I$3)^2,G$2+G$4*(A98-I$4)+(A98&gt;I$5)*G$5*(A98-I$5)^2))</f>
        <v>0.27866000000000002</v>
      </c>
      <c r="F98" s="19"/>
      <c r="G98" s="1">
        <v>92</v>
      </c>
      <c r="I98" s="4"/>
    </row>
    <row r="99" spans="1:9">
      <c r="A99" s="1">
        <v>93</v>
      </c>
      <c r="B99" s="40"/>
      <c r="C99" s="25"/>
      <c r="D99" s="19">
        <f t="shared" si="5"/>
        <v>601.48353126561381</v>
      </c>
      <c r="E99" s="4">
        <f t="shared" si="6"/>
        <v>0.26018999999999992</v>
      </c>
      <c r="F99" s="19"/>
      <c r="G99" s="1">
        <v>93</v>
      </c>
      <c r="I99" s="4"/>
    </row>
    <row r="100" spans="1:9">
      <c r="A100" s="1">
        <v>94</v>
      </c>
      <c r="B100" s="40"/>
      <c r="C100" s="25"/>
      <c r="D100" s="19">
        <f t="shared" si="5"/>
        <v>648.03312629399602</v>
      </c>
      <c r="E100" s="4">
        <f t="shared" si="6"/>
        <v>0.24149999999999994</v>
      </c>
      <c r="F100" s="19"/>
      <c r="G100" s="1">
        <v>94</v>
      </c>
      <c r="I100" s="4"/>
    </row>
    <row r="101" spans="1:9">
      <c r="A101" s="1">
        <v>95</v>
      </c>
      <c r="B101" s="40"/>
      <c r="C101" s="25"/>
      <c r="D101" s="19">
        <f t="shared" si="5"/>
        <v>703.08639202120503</v>
      </c>
      <c r="E101" s="4">
        <f t="shared" si="6"/>
        <v>0.22258999999999995</v>
      </c>
      <c r="F101" s="19"/>
      <c r="G101" s="1">
        <v>95</v>
      </c>
      <c r="I101" s="4"/>
    </row>
    <row r="102" spans="1:9">
      <c r="A102" s="1">
        <v>96</v>
      </c>
      <c r="B102" s="40"/>
      <c r="C102" s="25"/>
      <c r="D102" s="19">
        <f t="shared" si="5"/>
        <v>769.19296176152568</v>
      </c>
      <c r="E102" s="4">
        <f t="shared" si="6"/>
        <v>0.20345999999999997</v>
      </c>
      <c r="F102" s="19"/>
      <c r="G102" s="1">
        <v>96</v>
      </c>
      <c r="I102" s="4"/>
    </row>
    <row r="103" spans="1:9">
      <c r="A103" s="1">
        <v>97</v>
      </c>
      <c r="B103" s="40"/>
      <c r="C103" s="25"/>
      <c r="D103" s="19">
        <f t="shared" si="5"/>
        <v>850.03530498071802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40"/>
      <c r="C104" s="25"/>
      <c r="D104" s="19">
        <f t="shared" si="5"/>
        <v>951.13650176248984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5"/>
      <c r="D105" s="19">
        <f t="shared" si="5"/>
        <v>1081.1744386873925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9">
        <f>E$4/E106</f>
        <v>1254.6095879429217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/>
  <cols>
    <col min="1" max="5" width="9.6640625" style="93" customWidth="1"/>
    <col min="6" max="6" width="13" style="93" customWidth="1"/>
    <col min="7" max="7" width="10.6640625" style="93" customWidth="1"/>
    <col min="8" max="16384" width="9.6640625" style="93"/>
  </cols>
  <sheetData>
    <row r="1" spans="1:9" ht="47.25">
      <c r="A1" s="89" t="s">
        <v>112</v>
      </c>
      <c r="B1" s="90"/>
      <c r="C1" s="91"/>
      <c r="D1" s="92" t="s">
        <v>32</v>
      </c>
      <c r="E1" s="92" t="s">
        <v>72</v>
      </c>
      <c r="F1" s="92" t="s">
        <v>73</v>
      </c>
      <c r="G1" s="92" t="s">
        <v>74</v>
      </c>
      <c r="H1" s="92" t="s">
        <v>75</v>
      </c>
      <c r="I1" s="92" t="s">
        <v>76</v>
      </c>
    </row>
    <row r="2" spans="1:9" ht="22.5">
      <c r="A2" s="89"/>
      <c r="B2" s="90"/>
      <c r="C2" s="91"/>
      <c r="D2" s="92"/>
      <c r="E2" s="92"/>
      <c r="F2" s="94">
        <f>(+H$3-H$4)*F$4/2</f>
        <v>2.1000000000000001E-2</v>
      </c>
      <c r="G2" s="94">
        <f>(+I$4-I$3)*G$4/2</f>
        <v>9.7500000000000003E-2</v>
      </c>
      <c r="H2" s="92"/>
      <c r="I2" s="92"/>
    </row>
    <row r="3" spans="1:9" ht="22.5">
      <c r="A3" s="89"/>
      <c r="B3" s="90"/>
      <c r="C3" s="91"/>
      <c r="D3" s="92"/>
      <c r="E3" s="92"/>
      <c r="F3" s="94">
        <f>F4/(2*(+H3-H4))</f>
        <v>1.7142857142857144E-3</v>
      </c>
      <c r="G3" s="94">
        <f>G4/(2*(+I4-I3))</f>
        <v>2.5641025641025641E-4</v>
      </c>
      <c r="H3" s="90">
        <v>20.5</v>
      </c>
      <c r="I3" s="90">
        <v>26</v>
      </c>
    </row>
    <row r="4" spans="1:9" ht="15.75">
      <c r="A4" s="90"/>
      <c r="B4" s="90"/>
      <c r="C4" s="90"/>
      <c r="D4" s="95">
        <f>Parameters!G29</f>
        <v>0.27304398148148146</v>
      </c>
      <c r="E4" s="96">
        <f>D4*1440</f>
        <v>393.18333333333328</v>
      </c>
      <c r="F4" s="94">
        <v>1.2E-2</v>
      </c>
      <c r="G4" s="94">
        <v>0.01</v>
      </c>
      <c r="H4" s="90">
        <v>17</v>
      </c>
      <c r="I4" s="90">
        <v>45.5</v>
      </c>
    </row>
    <row r="5" spans="1:9" ht="15.75">
      <c r="A5" s="90"/>
      <c r="B5" s="90"/>
      <c r="C5" s="90"/>
      <c r="D5" s="95"/>
      <c r="E5" s="90">
        <f>E4*60</f>
        <v>23590.999999999996</v>
      </c>
      <c r="F5" s="94">
        <v>1.1000000000000001E-3</v>
      </c>
      <c r="G5" s="94">
        <v>1.1E-4</v>
      </c>
      <c r="H5" s="90">
        <v>15</v>
      </c>
      <c r="I5" s="90">
        <v>54</v>
      </c>
    </row>
    <row r="6" spans="1:9" ht="47.25">
      <c r="A6" s="97" t="s">
        <v>70</v>
      </c>
      <c r="B6" s="97" t="s">
        <v>93</v>
      </c>
      <c r="C6" s="97" t="s">
        <v>94</v>
      </c>
      <c r="D6" s="37" t="s">
        <v>145</v>
      </c>
      <c r="E6" s="37" t="s">
        <v>149</v>
      </c>
      <c r="F6" s="32" t="s">
        <v>148</v>
      </c>
      <c r="G6" s="97" t="s">
        <v>70</v>
      </c>
      <c r="I6" s="98"/>
    </row>
    <row r="7" spans="1:9">
      <c r="A7" s="93">
        <v>1</v>
      </c>
      <c r="B7" s="99"/>
      <c r="G7" s="93">
        <v>1</v>
      </c>
    </row>
    <row r="8" spans="1:9">
      <c r="A8" s="93">
        <v>2</v>
      </c>
      <c r="B8" s="99"/>
      <c r="G8" s="93">
        <v>2</v>
      </c>
    </row>
    <row r="9" spans="1:9">
      <c r="A9" s="93">
        <v>3</v>
      </c>
      <c r="B9" s="99"/>
      <c r="C9" s="100"/>
      <c r="D9" s="100"/>
      <c r="E9" s="101">
        <f t="shared" ref="E9:E33" si="0">1-IF(A9&gt;=H$3,0,IF(A9&gt;=H$4,F$3*(A9-H$3)^2,F$2+F$4*(H$4-A9)+(A9&lt;H$5)*F$5*(H$5-A9)^2))</f>
        <v>0.65259999999999996</v>
      </c>
      <c r="G9" s="93">
        <v>3</v>
      </c>
    </row>
    <row r="10" spans="1:9">
      <c r="A10" s="93">
        <v>4</v>
      </c>
      <c r="B10" s="102"/>
      <c r="C10" s="100"/>
      <c r="D10" s="103">
        <f t="shared" ref="D10:D41" si="1">E$4/E10</f>
        <v>569.91351403585054</v>
      </c>
      <c r="E10" s="101">
        <f t="shared" si="0"/>
        <v>0.68989999999999996</v>
      </c>
      <c r="F10" s="103"/>
      <c r="G10" s="93">
        <v>4</v>
      </c>
    </row>
    <row r="11" spans="1:9">
      <c r="A11" s="93">
        <v>5</v>
      </c>
      <c r="B11" s="102"/>
      <c r="C11" s="100"/>
      <c r="D11" s="103">
        <f t="shared" si="1"/>
        <v>542.32183908045977</v>
      </c>
      <c r="E11" s="101">
        <f t="shared" si="0"/>
        <v>0.72499999999999998</v>
      </c>
      <c r="F11" s="103"/>
      <c r="G11" s="93">
        <v>5</v>
      </c>
      <c r="I11" s="101"/>
    </row>
    <row r="12" spans="1:9">
      <c r="A12" s="93">
        <v>6</v>
      </c>
      <c r="B12" s="102"/>
      <c r="C12" s="100"/>
      <c r="D12" s="103">
        <f t="shared" si="1"/>
        <v>518.77996217618852</v>
      </c>
      <c r="E12" s="101">
        <f t="shared" si="0"/>
        <v>0.75790000000000002</v>
      </c>
      <c r="F12" s="103"/>
      <c r="G12" s="93">
        <v>6</v>
      </c>
      <c r="I12" s="101"/>
    </row>
    <row r="13" spans="1:9">
      <c r="A13" s="93">
        <v>7</v>
      </c>
      <c r="B13" s="102"/>
      <c r="C13" s="100"/>
      <c r="D13" s="103">
        <f t="shared" si="1"/>
        <v>498.58398850283197</v>
      </c>
      <c r="E13" s="101">
        <f t="shared" si="0"/>
        <v>0.78859999999999997</v>
      </c>
      <c r="F13" s="103"/>
      <c r="G13" s="93">
        <v>7</v>
      </c>
      <c r="I13" s="101"/>
    </row>
    <row r="14" spans="1:9">
      <c r="A14" s="93">
        <v>8</v>
      </c>
      <c r="B14" s="102"/>
      <c r="C14" s="100"/>
      <c r="D14" s="103">
        <f t="shared" si="1"/>
        <v>481.1936523477338</v>
      </c>
      <c r="E14" s="101">
        <f t="shared" si="0"/>
        <v>0.81709999999999994</v>
      </c>
      <c r="F14" s="103"/>
      <c r="G14" s="93">
        <v>8</v>
      </c>
      <c r="I14" s="101"/>
    </row>
    <row r="15" spans="1:9">
      <c r="A15" s="93">
        <v>9</v>
      </c>
      <c r="B15" s="102"/>
      <c r="C15" s="100"/>
      <c r="D15" s="103">
        <f t="shared" si="1"/>
        <v>466.18844360129634</v>
      </c>
      <c r="E15" s="101">
        <f t="shared" si="0"/>
        <v>0.84339999999999993</v>
      </c>
      <c r="F15" s="103"/>
      <c r="G15" s="93">
        <v>9</v>
      </c>
      <c r="I15" s="101"/>
    </row>
    <row r="16" spans="1:9">
      <c r="A16" s="93">
        <v>10</v>
      </c>
      <c r="B16" s="102"/>
      <c r="C16" s="100"/>
      <c r="D16" s="103">
        <f t="shared" si="1"/>
        <v>453.2372718539865</v>
      </c>
      <c r="E16" s="101">
        <f t="shared" si="0"/>
        <v>0.86749999999999994</v>
      </c>
      <c r="F16" s="103"/>
      <c r="G16" s="93">
        <v>10</v>
      </c>
      <c r="I16" s="101"/>
    </row>
    <row r="17" spans="1:9">
      <c r="A17" s="93">
        <v>11</v>
      </c>
      <c r="B17" s="102"/>
      <c r="C17" s="100"/>
      <c r="D17" s="103">
        <f t="shared" si="1"/>
        <v>442.0770556929765</v>
      </c>
      <c r="E17" s="101">
        <f t="shared" si="0"/>
        <v>0.88939999999999997</v>
      </c>
      <c r="F17" s="103"/>
      <c r="G17" s="93">
        <v>11</v>
      </c>
      <c r="I17" s="101"/>
    </row>
    <row r="18" spans="1:9">
      <c r="A18" s="93">
        <v>12</v>
      </c>
      <c r="B18" s="102"/>
      <c r="C18" s="100"/>
      <c r="D18" s="103">
        <f t="shared" si="1"/>
        <v>432.49734169324967</v>
      </c>
      <c r="E18" s="101">
        <f t="shared" si="0"/>
        <v>0.90910000000000002</v>
      </c>
      <c r="F18" s="103"/>
      <c r="G18" s="93">
        <v>12</v>
      </c>
      <c r="I18" s="101"/>
    </row>
    <row r="19" spans="1:9">
      <c r="A19" s="93">
        <v>13</v>
      </c>
      <c r="B19" s="102"/>
      <c r="C19" s="100"/>
      <c r="D19" s="103">
        <f t="shared" si="1"/>
        <v>424.32908842362752</v>
      </c>
      <c r="E19" s="101">
        <f t="shared" si="0"/>
        <v>0.92659999999999998</v>
      </c>
      <c r="F19" s="103"/>
      <c r="G19" s="93">
        <v>13</v>
      </c>
      <c r="I19" s="101"/>
    </row>
    <row r="20" spans="1:9">
      <c r="A20" s="93">
        <v>14</v>
      </c>
      <c r="B20" s="102"/>
      <c r="C20" s="100"/>
      <c r="D20" s="103">
        <f t="shared" si="1"/>
        <v>417.43638744381917</v>
      </c>
      <c r="E20" s="101">
        <f t="shared" si="0"/>
        <v>0.94189999999999996</v>
      </c>
      <c r="F20" s="103"/>
      <c r="G20" s="93">
        <v>14</v>
      </c>
      <c r="I20" s="101"/>
    </row>
    <row r="21" spans="1:9">
      <c r="A21" s="93">
        <v>15</v>
      </c>
      <c r="B21" s="102"/>
      <c r="C21" s="100"/>
      <c r="D21" s="103">
        <f t="shared" si="1"/>
        <v>411.71029668411865</v>
      </c>
      <c r="E21" s="101">
        <f t="shared" si="0"/>
        <v>0.95499999999999996</v>
      </c>
      <c r="F21" s="103"/>
      <c r="G21" s="93">
        <v>15</v>
      </c>
      <c r="I21" s="101"/>
    </row>
    <row r="22" spans="1:9">
      <c r="A22" s="93">
        <v>16</v>
      </c>
      <c r="B22" s="102"/>
      <c r="C22" s="100"/>
      <c r="D22" s="103">
        <f t="shared" si="1"/>
        <v>406.6011720096518</v>
      </c>
      <c r="E22" s="101">
        <f t="shared" si="0"/>
        <v>0.96699999999999997</v>
      </c>
      <c r="F22" s="103"/>
      <c r="G22" s="93">
        <v>16</v>
      </c>
      <c r="I22" s="101"/>
    </row>
    <row r="23" spans="1:9">
      <c r="A23" s="93">
        <v>17</v>
      </c>
      <c r="B23" s="102"/>
      <c r="C23" s="100"/>
      <c r="D23" s="103">
        <f t="shared" si="1"/>
        <v>401.61729656111675</v>
      </c>
      <c r="E23" s="101">
        <f t="shared" si="0"/>
        <v>0.97899999999999998</v>
      </c>
      <c r="F23" s="103"/>
      <c r="G23" s="93">
        <v>17</v>
      </c>
      <c r="I23" s="101"/>
    </row>
    <row r="24" spans="1:9">
      <c r="A24" s="93">
        <v>18</v>
      </c>
      <c r="B24" s="102"/>
      <c r="C24" s="100"/>
      <c r="D24" s="103">
        <f t="shared" si="1"/>
        <v>397.44163658243076</v>
      </c>
      <c r="E24" s="101">
        <f t="shared" si="0"/>
        <v>0.98928571428571432</v>
      </c>
      <c r="F24" s="103"/>
      <c r="G24" s="93">
        <v>18</v>
      </c>
      <c r="I24" s="101"/>
    </row>
    <row r="25" spans="1:9">
      <c r="A25" s="93">
        <v>19</v>
      </c>
      <c r="B25" s="102"/>
      <c r="C25" s="100"/>
      <c r="D25" s="103">
        <f t="shared" si="1"/>
        <v>394.70576987427694</v>
      </c>
      <c r="E25" s="101">
        <f t="shared" si="0"/>
        <v>0.99614285714285711</v>
      </c>
      <c r="F25" s="103"/>
      <c r="G25" s="93">
        <v>19</v>
      </c>
      <c r="I25" s="101"/>
    </row>
    <row r="26" spans="1:9">
      <c r="A26" s="93">
        <v>20</v>
      </c>
      <c r="B26" s="102"/>
      <c r="C26" s="100"/>
      <c r="D26" s="103">
        <f t="shared" si="1"/>
        <v>393.35191272450095</v>
      </c>
      <c r="E26" s="101">
        <f t="shared" si="0"/>
        <v>0.99957142857142856</v>
      </c>
      <c r="F26" s="103"/>
      <c r="G26" s="93">
        <v>20</v>
      </c>
      <c r="I26" s="101"/>
    </row>
    <row r="27" spans="1:9">
      <c r="A27" s="93">
        <v>21</v>
      </c>
      <c r="B27" s="102"/>
      <c r="C27" s="100"/>
      <c r="D27" s="103">
        <f t="shared" si="1"/>
        <v>393.18333333333328</v>
      </c>
      <c r="E27" s="101">
        <f t="shared" si="0"/>
        <v>1</v>
      </c>
      <c r="F27" s="103"/>
      <c r="G27" s="93">
        <v>21</v>
      </c>
      <c r="I27" s="101"/>
    </row>
    <row r="28" spans="1:9">
      <c r="A28" s="93">
        <v>22</v>
      </c>
      <c r="B28" s="102"/>
      <c r="C28" s="100"/>
      <c r="D28" s="103">
        <f t="shared" si="1"/>
        <v>393.18333333333328</v>
      </c>
      <c r="E28" s="101">
        <f t="shared" si="0"/>
        <v>1</v>
      </c>
      <c r="F28" s="103"/>
      <c r="G28" s="93">
        <v>22</v>
      </c>
      <c r="I28" s="101"/>
    </row>
    <row r="29" spans="1:9">
      <c r="A29" s="93">
        <v>23</v>
      </c>
      <c r="B29" s="102"/>
      <c r="C29" s="100"/>
      <c r="D29" s="103">
        <f t="shared" si="1"/>
        <v>393.18333333333328</v>
      </c>
      <c r="E29" s="101">
        <f t="shared" si="0"/>
        <v>1</v>
      </c>
      <c r="F29" s="103"/>
      <c r="G29" s="93">
        <v>23</v>
      </c>
      <c r="I29" s="101"/>
    </row>
    <row r="30" spans="1:9">
      <c r="A30" s="93">
        <v>24</v>
      </c>
      <c r="B30" s="102"/>
      <c r="C30" s="100"/>
      <c r="D30" s="103">
        <f t="shared" si="1"/>
        <v>393.18333333333328</v>
      </c>
      <c r="E30" s="101">
        <f t="shared" si="0"/>
        <v>1</v>
      </c>
      <c r="F30" s="103"/>
      <c r="G30" s="93">
        <v>24</v>
      </c>
      <c r="I30" s="101"/>
    </row>
    <row r="31" spans="1:9">
      <c r="A31" s="93">
        <v>25</v>
      </c>
      <c r="B31" s="102"/>
      <c r="C31" s="100"/>
      <c r="D31" s="103">
        <f t="shared" si="1"/>
        <v>393.18333333333328</v>
      </c>
      <c r="E31" s="101">
        <f t="shared" si="0"/>
        <v>1</v>
      </c>
      <c r="F31" s="103"/>
      <c r="G31" s="93">
        <v>25</v>
      </c>
      <c r="I31" s="101"/>
    </row>
    <row r="32" spans="1:9">
      <c r="A32" s="93">
        <v>26</v>
      </c>
      <c r="B32" s="102"/>
      <c r="C32" s="100"/>
      <c r="D32" s="103">
        <f t="shared" si="1"/>
        <v>393.18333333333328</v>
      </c>
      <c r="E32" s="101">
        <f t="shared" si="0"/>
        <v>1</v>
      </c>
      <c r="F32" s="103"/>
      <c r="G32" s="93">
        <v>26</v>
      </c>
      <c r="I32" s="101"/>
    </row>
    <row r="33" spans="1:13">
      <c r="A33" s="93">
        <v>27</v>
      </c>
      <c r="B33" s="102">
        <v>0.27304398148148146</v>
      </c>
      <c r="C33" s="103">
        <f>B33*1440</f>
        <v>393.18333333333328</v>
      </c>
      <c r="D33" s="103">
        <f t="shared" si="1"/>
        <v>393.18333333333328</v>
      </c>
      <c r="E33" s="101">
        <f t="shared" si="0"/>
        <v>1</v>
      </c>
      <c r="F33" s="103">
        <f>100*(D33/C33)</f>
        <v>100</v>
      </c>
      <c r="G33" s="93">
        <v>27</v>
      </c>
      <c r="I33" s="101"/>
    </row>
    <row r="34" spans="1:13">
      <c r="A34" s="93">
        <v>28</v>
      </c>
      <c r="B34" s="102"/>
      <c r="C34" s="103"/>
      <c r="D34" s="103">
        <f t="shared" si="1"/>
        <v>393.58701232032848</v>
      </c>
      <c r="E34" s="101">
        <f t="shared" ref="E34:E65" si="2">1-IF(A34&lt;I$3,0,IF(A34&lt;I$4,G$3*(A34-I$3)^2,G$2+G$4*(A34-I$4)+(A34&gt;I$5)*G$5*(A34-I$5)^2))</f>
        <v>0.99897435897435893</v>
      </c>
      <c r="F34" s="103"/>
      <c r="G34" s="93">
        <v>28</v>
      </c>
      <c r="I34" s="101"/>
    </row>
    <row r="35" spans="1:13">
      <c r="A35" s="93">
        <v>29</v>
      </c>
      <c r="B35" s="102"/>
      <c r="C35" s="103"/>
      <c r="D35" s="103">
        <f t="shared" si="1"/>
        <v>394.09277820611663</v>
      </c>
      <c r="E35" s="101">
        <f t="shared" si="2"/>
        <v>0.99769230769230766</v>
      </c>
      <c r="F35" s="103"/>
      <c r="G35" s="93">
        <v>29</v>
      </c>
      <c r="I35" s="101"/>
    </row>
    <row r="36" spans="1:13">
      <c r="A36" s="93">
        <v>30</v>
      </c>
      <c r="B36" s="102"/>
      <c r="C36" s="103"/>
      <c r="D36" s="103">
        <f t="shared" si="1"/>
        <v>394.80303810504631</v>
      </c>
      <c r="E36" s="101">
        <f t="shared" si="2"/>
        <v>0.99589743589743585</v>
      </c>
      <c r="F36" s="103"/>
      <c r="G36" s="93">
        <v>30</v>
      </c>
      <c r="I36" s="101"/>
    </row>
    <row r="37" spans="1:13">
      <c r="A37" s="93">
        <v>31</v>
      </c>
      <c r="B37" s="102"/>
      <c r="C37" s="103"/>
      <c r="D37" s="103">
        <f t="shared" si="1"/>
        <v>395.71999999999991</v>
      </c>
      <c r="E37" s="101">
        <f t="shared" si="2"/>
        <v>0.99358974358974361</v>
      </c>
      <c r="F37" s="103"/>
      <c r="G37" s="93">
        <v>31</v>
      </c>
      <c r="I37" s="101"/>
    </row>
    <row r="38" spans="1:13">
      <c r="A38" s="93">
        <v>32</v>
      </c>
      <c r="B38" s="102"/>
      <c r="C38" s="103"/>
      <c r="D38" s="103">
        <f t="shared" si="1"/>
        <v>396.84653209109729</v>
      </c>
      <c r="E38" s="101">
        <f t="shared" si="2"/>
        <v>0.99076923076923074</v>
      </c>
      <c r="F38" s="103"/>
      <c r="G38" s="93">
        <v>32</v>
      </c>
      <c r="I38" s="101"/>
    </row>
    <row r="39" spans="1:13">
      <c r="A39" s="93">
        <v>33</v>
      </c>
      <c r="B39" s="102"/>
      <c r="C39" s="103"/>
      <c r="D39" s="103">
        <f t="shared" si="1"/>
        <v>398.18618540638789</v>
      </c>
      <c r="E39" s="101">
        <f t="shared" si="2"/>
        <v>0.98743589743589744</v>
      </c>
      <c r="F39" s="103"/>
      <c r="G39" s="93">
        <v>33</v>
      </c>
      <c r="I39" s="101"/>
    </row>
    <row r="40" spans="1:13">
      <c r="A40" s="93">
        <v>34</v>
      </c>
      <c r="B40" s="102"/>
      <c r="C40" s="103"/>
      <c r="D40" s="103">
        <f t="shared" si="1"/>
        <v>399.74322210636075</v>
      </c>
      <c r="E40" s="101">
        <f t="shared" si="2"/>
        <v>0.9835897435897436</v>
      </c>
      <c r="F40" s="103"/>
      <c r="G40" s="93">
        <v>34</v>
      </c>
      <c r="I40" s="101"/>
    </row>
    <row r="41" spans="1:13">
      <c r="A41" s="93">
        <v>35</v>
      </c>
      <c r="B41" s="102">
        <v>0.29221064814814812</v>
      </c>
      <c r="C41" s="103">
        <f>B41*1440</f>
        <v>420.7833333333333</v>
      </c>
      <c r="D41" s="103">
        <f t="shared" si="1"/>
        <v>401.52264990835289</v>
      </c>
      <c r="E41" s="101">
        <f t="shared" si="2"/>
        <v>0.97923076923076924</v>
      </c>
      <c r="F41" s="103">
        <f>100*(D41/C41)</f>
        <v>95.422660096253708</v>
      </c>
      <c r="G41" s="93">
        <v>35</v>
      </c>
      <c r="H41" s="104" t="s">
        <v>113</v>
      </c>
      <c r="I41" s="101"/>
    </row>
    <row r="42" spans="1:13">
      <c r="A42" s="93">
        <v>36</v>
      </c>
      <c r="B42" s="102"/>
      <c r="C42" s="103"/>
      <c r="D42" s="103">
        <f t="shared" ref="D42:D73" si="3">E$4/E42</f>
        <v>403.53026315789469</v>
      </c>
      <c r="E42" s="101">
        <f t="shared" si="2"/>
        <v>0.97435897435897434</v>
      </c>
      <c r="F42" s="103"/>
      <c r="G42" s="93">
        <v>36</v>
      </c>
      <c r="I42" s="101"/>
    </row>
    <row r="43" spans="1:13">
      <c r="A43" s="93">
        <v>37</v>
      </c>
      <c r="B43" s="102"/>
      <c r="C43" s="103"/>
      <c r="D43" s="103">
        <f t="shared" si="3"/>
        <v>405.77269118814496</v>
      </c>
      <c r="E43" s="101">
        <f t="shared" si="2"/>
        <v>0.96897435897435902</v>
      </c>
      <c r="F43" s="103"/>
      <c r="G43" s="93">
        <v>37</v>
      </c>
      <c r="I43" s="101"/>
    </row>
    <row r="44" spans="1:13">
      <c r="A44" s="93">
        <v>38</v>
      </c>
      <c r="B44" s="102"/>
      <c r="C44" s="103"/>
      <c r="D44" s="103">
        <f t="shared" si="3"/>
        <v>408.2574547390841</v>
      </c>
      <c r="E44" s="101">
        <f t="shared" si="2"/>
        <v>0.96307692307692305</v>
      </c>
      <c r="F44" s="103"/>
      <c r="G44" s="93">
        <v>38</v>
      </c>
      <c r="I44" s="101"/>
    </row>
    <row r="45" spans="1:13">
      <c r="A45" s="93">
        <v>39</v>
      </c>
      <c r="B45" s="102"/>
      <c r="C45" s="103"/>
      <c r="D45" s="103">
        <f t="shared" si="3"/>
        <v>410.99303135888493</v>
      </c>
      <c r="E45" s="101">
        <f t="shared" si="2"/>
        <v>0.95666666666666667</v>
      </c>
      <c r="F45" s="103"/>
      <c r="G45" s="93">
        <v>39</v>
      </c>
      <c r="I45" s="101"/>
    </row>
    <row r="46" spans="1:13">
      <c r="A46" s="93">
        <v>40</v>
      </c>
      <c r="B46" s="102">
        <v>0.30581018518518521</v>
      </c>
      <c r="C46" s="103">
        <f>B46*1440</f>
        <v>440.36666666666673</v>
      </c>
      <c r="D46" s="103">
        <f t="shared" si="3"/>
        <v>413.9889308855291</v>
      </c>
      <c r="E46" s="101">
        <f t="shared" si="2"/>
        <v>0.94974358974358974</v>
      </c>
      <c r="F46" s="103">
        <f>100*(D46/C46)</f>
        <v>94.010051673346993</v>
      </c>
      <c r="G46" s="93">
        <v>40</v>
      </c>
      <c r="H46" s="104" t="s">
        <v>114</v>
      </c>
      <c r="I46" s="101"/>
      <c r="M46" s="104"/>
    </row>
    <row r="47" spans="1:13">
      <c r="A47" s="93">
        <v>41</v>
      </c>
      <c r="B47" s="102"/>
      <c r="C47" s="103"/>
      <c r="D47" s="103">
        <f t="shared" si="3"/>
        <v>417.25578231292513</v>
      </c>
      <c r="E47" s="101">
        <f t="shared" si="2"/>
        <v>0.94230769230769229</v>
      </c>
      <c r="F47" s="103"/>
      <c r="G47" s="93">
        <v>41</v>
      </c>
      <c r="H47" s="104"/>
      <c r="I47" s="101"/>
      <c r="M47" s="104"/>
    </row>
    <row r="48" spans="1:13">
      <c r="A48" s="93">
        <v>42</v>
      </c>
      <c r="B48" s="102"/>
      <c r="C48" s="103"/>
      <c r="D48" s="103">
        <f t="shared" si="3"/>
        <v>420.80543358946204</v>
      </c>
      <c r="E48" s="101">
        <f t="shared" si="2"/>
        <v>0.93435897435897441</v>
      </c>
      <c r="F48" s="103"/>
      <c r="G48" s="93">
        <v>42</v>
      </c>
      <c r="H48" s="104"/>
      <c r="I48" s="101"/>
      <c r="M48" s="104"/>
    </row>
    <row r="49" spans="1:13">
      <c r="A49" s="93">
        <v>43</v>
      </c>
      <c r="B49" s="102"/>
      <c r="C49" s="103"/>
      <c r="D49" s="103">
        <f t="shared" si="3"/>
        <v>424.65106618665186</v>
      </c>
      <c r="E49" s="101">
        <f t="shared" si="2"/>
        <v>0.92589743589743589</v>
      </c>
      <c r="F49" s="103"/>
      <c r="G49" s="93">
        <v>43</v>
      </c>
      <c r="H49" s="104"/>
      <c r="I49" s="101"/>
      <c r="M49" s="104"/>
    </row>
    <row r="50" spans="1:13">
      <c r="A50" s="93">
        <v>44</v>
      </c>
      <c r="B50" s="102"/>
      <c r="C50" s="103"/>
      <c r="D50" s="103">
        <f t="shared" si="3"/>
        <v>428.80732662192389</v>
      </c>
      <c r="E50" s="101">
        <f t="shared" si="2"/>
        <v>0.91692307692307695</v>
      </c>
      <c r="F50" s="103"/>
      <c r="G50" s="93">
        <v>44</v>
      </c>
      <c r="H50" s="104"/>
      <c r="I50" s="101"/>
      <c r="M50" s="104"/>
    </row>
    <row r="51" spans="1:13">
      <c r="A51" s="93">
        <v>45</v>
      </c>
      <c r="B51" s="102">
        <v>0.3240972222222222</v>
      </c>
      <c r="C51" s="103">
        <f>B51*1440</f>
        <v>466.7</v>
      </c>
      <c r="D51" s="103">
        <f t="shared" si="3"/>
        <v>433.29047753602703</v>
      </c>
      <c r="E51" s="101">
        <f t="shared" si="2"/>
        <v>0.90743589743589748</v>
      </c>
      <c r="F51" s="103">
        <f>100*(D51/C51)</f>
        <v>92.841327948580897</v>
      </c>
      <c r="G51" s="93">
        <v>45</v>
      </c>
      <c r="H51" s="104" t="s">
        <v>115</v>
      </c>
      <c r="I51" s="101"/>
      <c r="M51" s="104"/>
    </row>
    <row r="52" spans="1:13">
      <c r="A52" s="93">
        <v>46</v>
      </c>
      <c r="B52" s="102"/>
      <c r="C52" s="103"/>
      <c r="D52" s="103">
        <f t="shared" si="3"/>
        <v>438.08727948003713</v>
      </c>
      <c r="E52" s="101">
        <f t="shared" si="2"/>
        <v>0.89749999999999996</v>
      </c>
      <c r="F52" s="103"/>
      <c r="G52" s="93">
        <v>46</v>
      </c>
      <c r="H52" s="104"/>
      <c r="I52" s="101"/>
      <c r="M52" s="104"/>
    </row>
    <row r="53" spans="1:13">
      <c r="A53" s="93">
        <v>47</v>
      </c>
      <c r="B53" s="102"/>
      <c r="C53" s="103"/>
      <c r="D53" s="103">
        <f t="shared" si="3"/>
        <v>443.02347417840372</v>
      </c>
      <c r="E53" s="101">
        <f t="shared" si="2"/>
        <v>0.88749999999999996</v>
      </c>
      <c r="F53" s="103"/>
      <c r="G53" s="93">
        <v>47</v>
      </c>
      <c r="H53" s="104"/>
      <c r="I53" s="101"/>
      <c r="M53" s="104"/>
    </row>
    <row r="54" spans="1:13">
      <c r="A54" s="93">
        <v>48</v>
      </c>
      <c r="B54" s="102"/>
      <c r="C54" s="103"/>
      <c r="D54" s="103">
        <f t="shared" si="3"/>
        <v>448.0721747388414</v>
      </c>
      <c r="E54" s="101">
        <f t="shared" si="2"/>
        <v>0.87749999999999995</v>
      </c>
      <c r="F54" s="103"/>
      <c r="G54" s="93">
        <v>48</v>
      </c>
      <c r="H54" s="104"/>
      <c r="I54" s="101"/>
      <c r="M54" s="104"/>
    </row>
    <row r="55" spans="1:13">
      <c r="A55" s="93">
        <v>49</v>
      </c>
      <c r="B55" s="102"/>
      <c r="C55" s="103"/>
      <c r="D55" s="103">
        <f t="shared" si="3"/>
        <v>453.2372718539865</v>
      </c>
      <c r="E55" s="101">
        <f t="shared" si="2"/>
        <v>0.86749999999999994</v>
      </c>
      <c r="F55" s="103"/>
      <c r="G55" s="93">
        <v>49</v>
      </c>
      <c r="H55" s="104"/>
      <c r="I55" s="101"/>
      <c r="M55" s="104"/>
    </row>
    <row r="56" spans="1:13">
      <c r="A56" s="93">
        <v>50</v>
      </c>
      <c r="B56" s="102">
        <v>0.32787037037037037</v>
      </c>
      <c r="C56" s="103">
        <f>B56*1440</f>
        <v>472.13333333333333</v>
      </c>
      <c r="D56" s="103">
        <f t="shared" si="3"/>
        <v>458.52283770651115</v>
      </c>
      <c r="E56" s="101">
        <f t="shared" si="2"/>
        <v>0.85749999999999993</v>
      </c>
      <c r="F56" s="103">
        <f>100*(D56/C56)</f>
        <v>97.117234758509852</v>
      </c>
      <c r="G56" s="93">
        <v>50</v>
      </c>
      <c r="H56" s="104" t="s">
        <v>116</v>
      </c>
      <c r="I56" s="101"/>
      <c r="M56" s="104"/>
    </row>
    <row r="57" spans="1:13">
      <c r="A57" s="93">
        <v>51</v>
      </c>
      <c r="B57" s="102"/>
      <c r="C57" s="103"/>
      <c r="D57" s="103">
        <f t="shared" si="3"/>
        <v>463.93313667649943</v>
      </c>
      <c r="E57" s="101">
        <f t="shared" si="2"/>
        <v>0.84750000000000003</v>
      </c>
      <c r="F57" s="103"/>
      <c r="G57" s="93">
        <v>51</v>
      </c>
      <c r="I57" s="101"/>
    </row>
    <row r="58" spans="1:13">
      <c r="A58" s="93">
        <v>52</v>
      </c>
      <c r="B58" s="102"/>
      <c r="C58" s="103"/>
      <c r="D58" s="103">
        <f t="shared" si="3"/>
        <v>469.47263681592034</v>
      </c>
      <c r="E58" s="101">
        <f t="shared" si="2"/>
        <v>0.83750000000000002</v>
      </c>
      <c r="F58" s="103"/>
      <c r="G58" s="93">
        <v>52</v>
      </c>
      <c r="I58" s="101"/>
    </row>
    <row r="59" spans="1:13">
      <c r="A59" s="93">
        <v>53</v>
      </c>
      <c r="B59" s="102"/>
      <c r="C59" s="103"/>
      <c r="D59" s="103">
        <f t="shared" si="3"/>
        <v>475.14602215508552</v>
      </c>
      <c r="E59" s="101">
        <f t="shared" si="2"/>
        <v>0.82750000000000001</v>
      </c>
      <c r="F59" s="103"/>
      <c r="G59" s="93">
        <v>53</v>
      </c>
      <c r="I59" s="101"/>
    </row>
    <row r="60" spans="1:13">
      <c r="A60" s="93">
        <v>54</v>
      </c>
      <c r="B60" s="102"/>
      <c r="C60" s="103"/>
      <c r="D60" s="103">
        <f t="shared" si="3"/>
        <v>480.95820591233428</v>
      </c>
      <c r="E60" s="101">
        <f t="shared" si="2"/>
        <v>0.8175</v>
      </c>
      <c r="F60" s="103"/>
      <c r="G60" s="93">
        <v>54</v>
      </c>
      <c r="I60" s="101"/>
    </row>
    <row r="61" spans="1:13">
      <c r="A61" s="93">
        <v>55</v>
      </c>
      <c r="B61" s="102">
        <v>0.36291666666666667</v>
      </c>
      <c r="C61" s="103">
        <f>B61*1440</f>
        <v>522.6</v>
      </c>
      <c r="D61" s="103">
        <f t="shared" si="3"/>
        <v>486.98068261104703</v>
      </c>
      <c r="E61" s="101">
        <f t="shared" si="2"/>
        <v>0.80739000000000005</v>
      </c>
      <c r="F61" s="103">
        <f>100*(D61/C61)</f>
        <v>93.184210220253931</v>
      </c>
      <c r="G61" s="93">
        <v>55</v>
      </c>
      <c r="H61" s="104" t="s">
        <v>117</v>
      </c>
      <c r="I61" s="101"/>
    </row>
    <row r="62" spans="1:13">
      <c r="A62" s="93">
        <v>56</v>
      </c>
      <c r="B62" s="102"/>
      <c r="C62" s="103"/>
      <c r="D62" s="103">
        <f t="shared" si="3"/>
        <v>493.29201482113427</v>
      </c>
      <c r="E62" s="101">
        <f t="shared" si="2"/>
        <v>0.79705999999999999</v>
      </c>
      <c r="F62" s="103"/>
      <c r="G62" s="93">
        <v>56</v>
      </c>
      <c r="I62" s="101"/>
    </row>
    <row r="63" spans="1:13">
      <c r="A63" s="93">
        <v>57</v>
      </c>
      <c r="B63" s="102"/>
      <c r="C63" s="103"/>
      <c r="D63" s="103">
        <f t="shared" si="3"/>
        <v>499.9088801583365</v>
      </c>
      <c r="E63" s="101">
        <f t="shared" si="2"/>
        <v>0.78651000000000004</v>
      </c>
      <c r="F63" s="103"/>
      <c r="G63" s="93">
        <v>57</v>
      </c>
      <c r="I63" s="101"/>
    </row>
    <row r="64" spans="1:13">
      <c r="A64" s="93">
        <v>58</v>
      </c>
      <c r="B64" s="102"/>
      <c r="C64" s="103"/>
      <c r="D64" s="103">
        <f t="shared" si="3"/>
        <v>506.84937393112807</v>
      </c>
      <c r="E64" s="101">
        <f t="shared" si="2"/>
        <v>0.77573999999999999</v>
      </c>
      <c r="F64" s="103"/>
      <c r="G64" s="93">
        <v>58</v>
      </c>
      <c r="I64" s="101"/>
    </row>
    <row r="65" spans="1:9">
      <c r="A65" s="93">
        <v>59</v>
      </c>
      <c r="B65" s="102"/>
      <c r="C65" s="103"/>
      <c r="D65" s="103">
        <f t="shared" si="3"/>
        <v>514.13315898441749</v>
      </c>
      <c r="E65" s="101">
        <f t="shared" si="2"/>
        <v>0.76475000000000004</v>
      </c>
      <c r="F65" s="103"/>
      <c r="G65" s="93">
        <v>59</v>
      </c>
      <c r="I65" s="101"/>
    </row>
    <row r="66" spans="1:9">
      <c r="A66" s="93">
        <v>60</v>
      </c>
      <c r="B66" s="102">
        <v>0.38896990740740739</v>
      </c>
      <c r="C66" s="103">
        <f>B66*1440</f>
        <v>560.11666666666667</v>
      </c>
      <c r="D66" s="103">
        <f t="shared" si="3"/>
        <v>521.78163512664662</v>
      </c>
      <c r="E66" s="101">
        <f t="shared" ref="E66:E97" si="4">1-IF(A66&lt;I$3,0,IF(A66&lt;I$4,G$3*(A66-I$3)^2,G$2+G$4*(A66-I$4)+(A66&gt;I$5)*G$5*(A66-I$5)^2))</f>
        <v>0.75353999999999999</v>
      </c>
      <c r="F66" s="103">
        <f>100*(D66/C66)</f>
        <v>93.1558845109614</v>
      </c>
      <c r="G66" s="93">
        <v>60</v>
      </c>
      <c r="H66" s="104" t="s">
        <v>118</v>
      </c>
      <c r="I66" s="101"/>
    </row>
    <row r="67" spans="1:9">
      <c r="A67" s="93">
        <v>61</v>
      </c>
      <c r="B67" s="102"/>
      <c r="C67" s="103"/>
      <c r="D67" s="103">
        <f t="shared" si="3"/>
        <v>529.81813118450532</v>
      </c>
      <c r="E67" s="101">
        <f t="shared" si="4"/>
        <v>0.74211000000000005</v>
      </c>
      <c r="F67" s="103"/>
      <c r="G67" s="93">
        <v>61</v>
      </c>
      <c r="I67" s="101"/>
    </row>
    <row r="68" spans="1:9">
      <c r="A68" s="93">
        <v>62</v>
      </c>
      <c r="B68" s="102"/>
      <c r="C68" s="103"/>
      <c r="D68" s="103">
        <f t="shared" si="3"/>
        <v>538.26812328304527</v>
      </c>
      <c r="E68" s="101">
        <f t="shared" si="4"/>
        <v>0.73046</v>
      </c>
      <c r="F68" s="103"/>
      <c r="G68" s="93">
        <v>62</v>
      </c>
      <c r="I68" s="101"/>
    </row>
    <row r="69" spans="1:9">
      <c r="A69" s="93">
        <v>63</v>
      </c>
      <c r="B69" s="102"/>
      <c r="C69" s="103"/>
      <c r="D69" s="103">
        <f t="shared" si="3"/>
        <v>547.15948361838218</v>
      </c>
      <c r="E69" s="101">
        <f t="shared" si="4"/>
        <v>0.71859000000000006</v>
      </c>
      <c r="F69" s="103"/>
      <c r="G69" s="93">
        <v>63</v>
      </c>
      <c r="I69" s="101"/>
    </row>
    <row r="70" spans="1:9">
      <c r="A70" s="93">
        <v>64</v>
      </c>
      <c r="B70" s="102"/>
      <c r="C70" s="103"/>
      <c r="D70" s="103">
        <f t="shared" si="3"/>
        <v>556.52276480301953</v>
      </c>
      <c r="E70" s="101">
        <f t="shared" si="4"/>
        <v>0.70650000000000002</v>
      </c>
      <c r="F70" s="103"/>
      <c r="G70" s="93">
        <v>64</v>
      </c>
      <c r="I70" s="101"/>
    </row>
    <row r="71" spans="1:9">
      <c r="A71" s="93">
        <v>65</v>
      </c>
      <c r="B71" s="102">
        <v>0.43149305555555556</v>
      </c>
      <c r="C71" s="103">
        <f>B71*1440</f>
        <v>621.35</v>
      </c>
      <c r="D71" s="103">
        <f t="shared" si="3"/>
        <v>566.39152585507316</v>
      </c>
      <c r="E71" s="101">
        <f t="shared" si="4"/>
        <v>0.69419000000000008</v>
      </c>
      <c r="F71" s="103">
        <f>100*(D71/C71)</f>
        <v>91.154989274172877</v>
      </c>
      <c r="G71" s="93">
        <v>65</v>
      </c>
      <c r="H71" s="104" t="s">
        <v>119</v>
      </c>
      <c r="I71" s="101"/>
    </row>
    <row r="72" spans="1:9">
      <c r="A72" s="93">
        <v>66</v>
      </c>
      <c r="B72" s="102"/>
      <c r="C72" s="103"/>
      <c r="D72" s="103">
        <f t="shared" si="3"/>
        <v>576.80270711694004</v>
      </c>
      <c r="E72" s="101">
        <f t="shared" si="4"/>
        <v>0.68165999999999993</v>
      </c>
      <c r="F72" s="103"/>
      <c r="G72" s="93">
        <v>66</v>
      </c>
      <c r="I72" s="101"/>
    </row>
    <row r="73" spans="1:9">
      <c r="A73" s="93">
        <v>67</v>
      </c>
      <c r="B73" s="102"/>
      <c r="C73" s="103"/>
      <c r="D73" s="103">
        <f t="shared" si="3"/>
        <v>587.7970628833973</v>
      </c>
      <c r="E73" s="101">
        <f t="shared" si="4"/>
        <v>0.66891</v>
      </c>
      <c r="F73" s="103"/>
      <c r="G73" s="93">
        <v>67</v>
      </c>
      <c r="I73" s="101"/>
    </row>
    <row r="74" spans="1:9">
      <c r="A74" s="93">
        <v>68</v>
      </c>
      <c r="B74" s="102"/>
      <c r="C74" s="103"/>
      <c r="D74" s="103">
        <f t="shared" ref="D74:D105" si="5">E$4/E74</f>
        <v>599.41966236749295</v>
      </c>
      <c r="E74" s="101">
        <f t="shared" si="4"/>
        <v>0.65593999999999997</v>
      </c>
      <c r="F74" s="103"/>
      <c r="G74" s="93">
        <v>68</v>
      </c>
      <c r="I74" s="101"/>
    </row>
    <row r="75" spans="1:9">
      <c r="A75" s="93">
        <v>69</v>
      </c>
      <c r="B75" s="102"/>
      <c r="C75" s="103"/>
      <c r="D75" s="103">
        <f t="shared" si="5"/>
        <v>611.72047193050696</v>
      </c>
      <c r="E75" s="101">
        <f t="shared" si="4"/>
        <v>0.64274999999999993</v>
      </c>
      <c r="F75" s="103"/>
      <c r="G75" s="93">
        <v>69</v>
      </c>
      <c r="I75" s="101"/>
    </row>
    <row r="76" spans="1:9">
      <c r="A76" s="93">
        <v>70</v>
      </c>
      <c r="B76" s="102">
        <v>0.48353009259259261</v>
      </c>
      <c r="C76" s="103">
        <f>B76*1440</f>
        <v>696.2833333333333</v>
      </c>
      <c r="D76" s="103">
        <f t="shared" si="5"/>
        <v>624.75503437463578</v>
      </c>
      <c r="E76" s="101">
        <f t="shared" si="4"/>
        <v>0.62934000000000001</v>
      </c>
      <c r="F76" s="103">
        <f>100*(D76/C76)</f>
        <v>89.727127516284426</v>
      </c>
      <c r="G76" s="93">
        <v>70</v>
      </c>
      <c r="H76" s="104" t="s">
        <v>120</v>
      </c>
      <c r="I76" s="101"/>
    </row>
    <row r="77" spans="1:9">
      <c r="A77" s="93">
        <v>71</v>
      </c>
      <c r="B77" s="102"/>
      <c r="C77" s="103"/>
      <c r="D77" s="103">
        <f t="shared" si="5"/>
        <v>638.58526470795232</v>
      </c>
      <c r="E77" s="101">
        <f t="shared" si="4"/>
        <v>0.61570999999999998</v>
      </c>
      <c r="F77" s="103"/>
      <c r="G77" s="93">
        <v>71</v>
      </c>
      <c r="I77" s="101"/>
    </row>
    <row r="78" spans="1:9">
      <c r="A78" s="93">
        <v>72</v>
      </c>
      <c r="B78" s="102"/>
      <c r="C78" s="103"/>
      <c r="D78" s="103">
        <f t="shared" si="5"/>
        <v>653.28038635784617</v>
      </c>
      <c r="E78" s="101">
        <f t="shared" si="4"/>
        <v>0.60185999999999995</v>
      </c>
      <c r="F78" s="103"/>
      <c r="G78" s="93">
        <v>72</v>
      </c>
      <c r="I78" s="101"/>
    </row>
    <row r="79" spans="1:9">
      <c r="A79" s="93">
        <v>73</v>
      </c>
      <c r="B79" s="102"/>
      <c r="C79" s="103"/>
      <c r="D79" s="103">
        <f t="shared" si="5"/>
        <v>668.91803762114591</v>
      </c>
      <c r="E79" s="101">
        <f t="shared" si="4"/>
        <v>0.58778999999999992</v>
      </c>
      <c r="F79" s="103"/>
      <c r="G79" s="93">
        <v>73</v>
      </c>
      <c r="I79" s="101"/>
    </row>
    <row r="80" spans="1:9">
      <c r="A80" s="93">
        <v>74</v>
      </c>
      <c r="B80" s="102"/>
      <c r="C80" s="103"/>
      <c r="D80" s="103">
        <f t="shared" si="5"/>
        <v>685.58558558558559</v>
      </c>
      <c r="E80" s="101">
        <f t="shared" si="4"/>
        <v>0.5734999999999999</v>
      </c>
      <c r="F80" s="103"/>
      <c r="G80" s="93">
        <v>74</v>
      </c>
      <c r="I80" s="101"/>
    </row>
    <row r="81" spans="1:9">
      <c r="A81" s="93">
        <v>75</v>
      </c>
      <c r="B81" s="102"/>
      <c r="C81" s="103"/>
      <c r="D81" s="103">
        <f t="shared" si="5"/>
        <v>703.38169436543262</v>
      </c>
      <c r="E81" s="101">
        <f t="shared" si="4"/>
        <v>0.5589900000000001</v>
      </c>
      <c r="F81" s="103"/>
      <c r="G81" s="93">
        <v>75</v>
      </c>
      <c r="I81" s="101"/>
    </row>
    <row r="82" spans="1:9">
      <c r="A82" s="93">
        <v>76</v>
      </c>
      <c r="B82" s="102"/>
      <c r="C82" s="103"/>
      <c r="D82" s="103">
        <f t="shared" si="5"/>
        <v>722.41820698440688</v>
      </c>
      <c r="E82" s="101">
        <f t="shared" si="4"/>
        <v>0.54425999999999997</v>
      </c>
      <c r="F82" s="103"/>
      <c r="G82" s="93">
        <v>76</v>
      </c>
      <c r="I82" s="101"/>
    </row>
    <row r="83" spans="1:9">
      <c r="A83" s="93">
        <v>77</v>
      </c>
      <c r="B83" s="102"/>
      <c r="C83" s="103"/>
      <c r="D83" s="103">
        <f t="shared" si="5"/>
        <v>742.82241660526597</v>
      </c>
      <c r="E83" s="101">
        <f t="shared" si="4"/>
        <v>0.52930999999999995</v>
      </c>
      <c r="F83" s="103"/>
      <c r="G83" s="93">
        <v>77</v>
      </c>
      <c r="I83" s="101"/>
    </row>
    <row r="84" spans="1:9">
      <c r="A84" s="93">
        <v>78</v>
      </c>
      <c r="B84" s="102"/>
      <c r="C84" s="103"/>
      <c r="D84" s="103">
        <f t="shared" si="5"/>
        <v>764.73982443173702</v>
      </c>
      <c r="E84" s="101">
        <f t="shared" si="4"/>
        <v>0.51414000000000004</v>
      </c>
      <c r="F84" s="103"/>
      <c r="G84" s="93">
        <v>78</v>
      </c>
      <c r="I84" s="101"/>
    </row>
    <row r="85" spans="1:9">
      <c r="A85" s="93">
        <v>79</v>
      </c>
      <c r="B85" s="102"/>
      <c r="C85" s="103"/>
      <c r="D85" s="103">
        <f t="shared" si="5"/>
        <v>788.33751044277346</v>
      </c>
      <c r="E85" s="101">
        <f t="shared" si="4"/>
        <v>0.49875000000000003</v>
      </c>
      <c r="F85" s="103"/>
      <c r="G85" s="93">
        <v>79</v>
      </c>
      <c r="I85" s="101"/>
    </row>
    <row r="86" spans="1:9">
      <c r="A86" s="93">
        <v>80</v>
      </c>
      <c r="B86" s="102">
        <v>0.72173611111111113</v>
      </c>
      <c r="C86" s="103">
        <f>B86*1440</f>
        <v>1039.3</v>
      </c>
      <c r="D86" s="103">
        <f t="shared" si="5"/>
        <v>813.80828193346292</v>
      </c>
      <c r="E86" s="101">
        <f t="shared" si="4"/>
        <v>0.48314000000000001</v>
      </c>
      <c r="F86" s="103">
        <f>100*(D86/C86)</f>
        <v>78.303500619018848</v>
      </c>
      <c r="G86" s="93">
        <v>80</v>
      </c>
      <c r="H86" s="104" t="s">
        <v>121</v>
      </c>
      <c r="I86" s="101"/>
    </row>
    <row r="87" spans="1:9">
      <c r="A87" s="93">
        <v>81</v>
      </c>
      <c r="B87" s="102"/>
      <c r="C87" s="103"/>
      <c r="D87" s="103">
        <f t="shared" si="5"/>
        <v>841.37581762284833</v>
      </c>
      <c r="E87" s="101">
        <f t="shared" si="4"/>
        <v>0.46731</v>
      </c>
      <c r="F87" s="103"/>
      <c r="G87" s="93">
        <v>81</v>
      </c>
      <c r="I87" s="101"/>
    </row>
    <row r="88" spans="1:9">
      <c r="A88" s="93">
        <v>82</v>
      </c>
      <c r="B88" s="102"/>
      <c r="C88" s="103"/>
      <c r="D88" s="103">
        <f t="shared" si="5"/>
        <v>871.3010976672723</v>
      </c>
      <c r="E88" s="101">
        <f t="shared" si="4"/>
        <v>0.45125999999999999</v>
      </c>
      <c r="F88" s="103"/>
      <c r="G88" s="93">
        <v>82</v>
      </c>
      <c r="I88" s="101"/>
    </row>
    <row r="89" spans="1:9">
      <c r="A89" s="93">
        <v>83</v>
      </c>
      <c r="B89" s="102"/>
      <c r="C89" s="103"/>
      <c r="D89" s="103">
        <f t="shared" si="5"/>
        <v>903.89051089297061</v>
      </c>
      <c r="E89" s="101">
        <f t="shared" si="4"/>
        <v>0.43498999999999999</v>
      </c>
      <c r="F89" s="103"/>
      <c r="G89" s="93">
        <v>83</v>
      </c>
      <c r="I89" s="101"/>
    </row>
    <row r="90" spans="1:9">
      <c r="A90" s="93">
        <v>84</v>
      </c>
      <c r="B90" s="102"/>
      <c r="C90" s="103"/>
      <c r="D90" s="103">
        <f t="shared" si="5"/>
        <v>939.50617283950612</v>
      </c>
      <c r="E90" s="101">
        <f t="shared" si="4"/>
        <v>0.41849999999999998</v>
      </c>
      <c r="F90" s="103"/>
      <c r="G90" s="93">
        <v>84</v>
      </c>
      <c r="I90" s="101"/>
    </row>
    <row r="91" spans="1:9">
      <c r="A91" s="93">
        <v>85</v>
      </c>
      <c r="B91" s="102">
        <v>0.76061342592592596</v>
      </c>
      <c r="C91" s="103">
        <f>B91*1440</f>
        <v>1095.2833333333333</v>
      </c>
      <c r="D91" s="103">
        <f t="shared" si="5"/>
        <v>978.57919145158735</v>
      </c>
      <c r="E91" s="101">
        <f t="shared" si="4"/>
        <v>0.40178999999999998</v>
      </c>
      <c r="F91" s="103">
        <f>100*(D91/C91)</f>
        <v>89.34484454113128</v>
      </c>
      <c r="G91" s="93">
        <v>85</v>
      </c>
      <c r="H91" s="104" t="s">
        <v>122</v>
      </c>
      <c r="I91" s="101"/>
    </row>
    <row r="92" spans="1:9">
      <c r="A92" s="93">
        <v>86</v>
      </c>
      <c r="B92" s="102"/>
      <c r="C92" s="103"/>
      <c r="D92" s="103">
        <f t="shared" si="5"/>
        <v>1021.626911950666</v>
      </c>
      <c r="E92" s="101">
        <f t="shared" si="4"/>
        <v>0.38485999999999998</v>
      </c>
      <c r="F92" s="103"/>
      <c r="G92" s="93">
        <v>86</v>
      </c>
      <c r="I92" s="101"/>
    </row>
    <row r="93" spans="1:9">
      <c r="A93" s="93">
        <v>87</v>
      </c>
      <c r="B93" s="102"/>
      <c r="C93" s="103"/>
      <c r="D93" s="103">
        <f t="shared" si="5"/>
        <v>1069.2756066828024</v>
      </c>
      <c r="E93" s="101">
        <f t="shared" si="4"/>
        <v>0.36770999999999998</v>
      </c>
      <c r="F93" s="103"/>
      <c r="G93" s="93">
        <v>87</v>
      </c>
      <c r="I93" s="101"/>
    </row>
    <row r="94" spans="1:9">
      <c r="A94" s="93">
        <v>88</v>
      </c>
      <c r="B94" s="102"/>
      <c r="C94" s="103"/>
      <c r="D94" s="103">
        <f t="shared" si="5"/>
        <v>1122.2907271031945</v>
      </c>
      <c r="E94" s="101">
        <f t="shared" si="4"/>
        <v>0.3503400000000001</v>
      </c>
      <c r="F94" s="103"/>
      <c r="G94" s="93">
        <v>88</v>
      </c>
      <c r="I94" s="101"/>
    </row>
    <row r="95" spans="1:9">
      <c r="A95" s="93">
        <v>89</v>
      </c>
      <c r="B95" s="102"/>
      <c r="C95" s="100"/>
      <c r="D95" s="103">
        <f t="shared" si="5"/>
        <v>1181.6178312046079</v>
      </c>
      <c r="E95" s="101">
        <f t="shared" si="4"/>
        <v>0.33274999999999999</v>
      </c>
      <c r="F95" s="103"/>
      <c r="G95" s="93">
        <v>89</v>
      </c>
      <c r="I95" s="101"/>
    </row>
    <row r="96" spans="1:9">
      <c r="A96" s="93">
        <v>90</v>
      </c>
      <c r="B96" s="102"/>
      <c r="C96" s="100"/>
      <c r="D96" s="103">
        <f t="shared" si="5"/>
        <v>1248.4388560784064</v>
      </c>
      <c r="E96" s="101">
        <f t="shared" si="4"/>
        <v>0.31494</v>
      </c>
      <c r="F96" s="103"/>
      <c r="G96" s="93">
        <v>90</v>
      </c>
      <c r="I96" s="101"/>
    </row>
    <row r="97" spans="1:9">
      <c r="A97" s="93">
        <v>91</v>
      </c>
      <c r="B97" s="99"/>
      <c r="C97" s="100"/>
      <c r="D97" s="103">
        <f t="shared" si="5"/>
        <v>1324.2508953330412</v>
      </c>
      <c r="E97" s="101">
        <f t="shared" si="4"/>
        <v>0.29691000000000001</v>
      </c>
      <c r="F97" s="103"/>
      <c r="G97" s="93">
        <v>91</v>
      </c>
      <c r="I97" s="101"/>
    </row>
    <row r="98" spans="1:9">
      <c r="A98" s="93">
        <v>92</v>
      </c>
      <c r="B98" s="99"/>
      <c r="C98" s="100"/>
      <c r="D98" s="103">
        <f t="shared" si="5"/>
        <v>1410.9787315486014</v>
      </c>
      <c r="E98" s="101">
        <f t="shared" ref="E98:E106" si="6">1-IF(A98&lt;I$3,0,IF(A98&lt;I$4,G$3*(A98-I$3)^2,G$2+G$4*(A98-I$4)+(A98&gt;I$5)*G$5*(A98-I$5)^2))</f>
        <v>0.27866000000000002</v>
      </c>
      <c r="F98" s="103"/>
      <c r="G98" s="93">
        <v>92</v>
      </c>
      <c r="I98" s="101"/>
    </row>
    <row r="99" spans="1:9">
      <c r="A99" s="93">
        <v>93</v>
      </c>
      <c r="B99" s="99"/>
      <c r="C99" s="100"/>
      <c r="D99" s="103">
        <f t="shared" si="5"/>
        <v>1511.1392956429279</v>
      </c>
      <c r="E99" s="101">
        <f t="shared" si="6"/>
        <v>0.26018999999999992</v>
      </c>
      <c r="F99" s="103"/>
      <c r="G99" s="93">
        <v>93</v>
      </c>
      <c r="I99" s="101"/>
    </row>
    <row r="100" spans="1:9">
      <c r="A100" s="93">
        <v>94</v>
      </c>
      <c r="B100" s="99"/>
      <c r="C100" s="100"/>
      <c r="D100" s="103">
        <f t="shared" si="5"/>
        <v>1628.0883367839892</v>
      </c>
      <c r="E100" s="101">
        <f t="shared" si="6"/>
        <v>0.24149999999999994</v>
      </c>
      <c r="F100" s="103"/>
      <c r="G100" s="93">
        <v>94</v>
      </c>
      <c r="I100" s="101"/>
    </row>
    <row r="101" spans="1:9">
      <c r="A101" s="93">
        <v>95</v>
      </c>
      <c r="B101" s="99"/>
      <c r="C101" s="100"/>
      <c r="D101" s="103">
        <f t="shared" si="5"/>
        <v>1766.4016053431571</v>
      </c>
      <c r="E101" s="101">
        <f t="shared" si="6"/>
        <v>0.22258999999999995</v>
      </c>
      <c r="F101" s="103"/>
      <c r="G101" s="93">
        <v>95</v>
      </c>
      <c r="I101" s="101"/>
    </row>
    <row r="102" spans="1:9">
      <c r="A102" s="93">
        <v>96</v>
      </c>
      <c r="B102" s="99"/>
      <c r="C102" s="100"/>
      <c r="D102" s="103">
        <f t="shared" si="5"/>
        <v>1932.4846816737115</v>
      </c>
      <c r="E102" s="101">
        <f t="shared" si="6"/>
        <v>0.20345999999999997</v>
      </c>
      <c r="F102" s="103"/>
      <c r="G102" s="93">
        <v>96</v>
      </c>
      <c r="I102" s="101"/>
    </row>
    <row r="103" spans="1:9">
      <c r="A103" s="93">
        <v>97</v>
      </c>
      <c r="B103" s="99"/>
      <c r="C103" s="100"/>
      <c r="D103" s="103">
        <f t="shared" si="5"/>
        <v>2135.5892310756249</v>
      </c>
      <c r="E103" s="101">
        <f t="shared" si="6"/>
        <v>0.18411</v>
      </c>
      <c r="G103" s="93">
        <v>97</v>
      </c>
      <c r="I103" s="101"/>
    </row>
    <row r="104" spans="1:9">
      <c r="A104" s="93">
        <v>98</v>
      </c>
      <c r="B104" s="99"/>
      <c r="C104" s="100"/>
      <c r="D104" s="103">
        <f t="shared" si="5"/>
        <v>2389.5911835014799</v>
      </c>
      <c r="E104" s="101">
        <f t="shared" si="6"/>
        <v>0.16453999999999991</v>
      </c>
      <c r="G104" s="93">
        <v>98</v>
      </c>
      <c r="I104" s="101"/>
    </row>
    <row r="105" spans="1:9">
      <c r="A105" s="93">
        <v>99</v>
      </c>
      <c r="C105" s="100"/>
      <c r="D105" s="103">
        <f t="shared" si="5"/>
        <v>2716.2924582613709</v>
      </c>
      <c r="E105" s="101">
        <f t="shared" si="6"/>
        <v>0.14474999999999993</v>
      </c>
      <c r="G105" s="93">
        <v>99</v>
      </c>
      <c r="I105" s="101"/>
    </row>
    <row r="106" spans="1:9">
      <c r="A106" s="93">
        <v>100</v>
      </c>
      <c r="D106" s="103">
        <f>E$4/E106</f>
        <v>3152.0228742450972</v>
      </c>
      <c r="E106" s="101">
        <f t="shared" si="6"/>
        <v>0.12473999999999996</v>
      </c>
      <c r="G106" s="93">
        <v>100</v>
      </c>
      <c r="I106" s="10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30" t="s">
        <v>123</v>
      </c>
      <c r="B1" s="31"/>
      <c r="C1" s="32"/>
      <c r="D1" s="33" t="s">
        <v>32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</row>
    <row r="2" spans="1:9" ht="22.5">
      <c r="A2" s="30"/>
      <c r="B2" s="31"/>
      <c r="C2" s="32"/>
      <c r="D2" s="33"/>
      <c r="E2" s="33"/>
      <c r="F2" s="34">
        <f>(+H$3-H$4)*F$4/2</f>
        <v>2.1000000000000001E-2</v>
      </c>
      <c r="G2" s="34">
        <f>(+I$4-I$3)*G$4/2</f>
        <v>9.7500000000000003E-2</v>
      </c>
      <c r="H2" s="33"/>
      <c r="I2" s="33"/>
    </row>
    <row r="3" spans="1:9" ht="22.5">
      <c r="A3" s="30"/>
      <c r="B3" s="31"/>
      <c r="C3" s="32"/>
      <c r="D3" s="33"/>
      <c r="E3" s="33"/>
      <c r="F3" s="34">
        <f>F4/(2*(+H3-H4))</f>
        <v>1.7142857142857144E-3</v>
      </c>
      <c r="G3" s="34">
        <f>G4/(2*(+I4-I3))</f>
        <v>2.5641025641025641E-4</v>
      </c>
      <c r="H3" s="31">
        <v>20.5</v>
      </c>
      <c r="I3" s="31">
        <v>26</v>
      </c>
    </row>
    <row r="4" spans="1:9" ht="15.75">
      <c r="A4" s="31"/>
      <c r="B4" s="31"/>
      <c r="C4" s="31"/>
      <c r="D4" s="35">
        <f>Parameters!G32</f>
        <v>0.66666666666666663</v>
      </c>
      <c r="E4" s="81">
        <f>D4*1440</f>
        <v>960</v>
      </c>
      <c r="F4" s="34">
        <v>1.2E-2</v>
      </c>
      <c r="G4" s="34">
        <v>0.01</v>
      </c>
      <c r="H4" s="31">
        <v>17</v>
      </c>
      <c r="I4" s="31">
        <v>45.5</v>
      </c>
    </row>
    <row r="5" spans="1:9" ht="15.75">
      <c r="A5" s="31"/>
      <c r="B5" s="31"/>
      <c r="C5" s="31"/>
      <c r="D5" s="35"/>
      <c r="E5" s="31">
        <f>E4*60</f>
        <v>57600</v>
      </c>
      <c r="F5" s="34">
        <v>1.1000000000000001E-3</v>
      </c>
      <c r="G5" s="34">
        <v>1.1E-4</v>
      </c>
      <c r="H5" s="31">
        <v>15</v>
      </c>
      <c r="I5" s="31">
        <v>54</v>
      </c>
    </row>
    <row r="6" spans="1:9" ht="47.25">
      <c r="A6" s="37" t="s">
        <v>70</v>
      </c>
      <c r="B6" s="37" t="s">
        <v>93</v>
      </c>
      <c r="C6" s="37" t="s">
        <v>94</v>
      </c>
      <c r="D6" s="37" t="s">
        <v>145</v>
      </c>
      <c r="E6" s="37" t="s">
        <v>149</v>
      </c>
      <c r="F6" s="32" t="s">
        <v>148</v>
      </c>
      <c r="G6" s="37" t="s">
        <v>70</v>
      </c>
      <c r="I6" s="38"/>
    </row>
    <row r="7" spans="1:9">
      <c r="A7" s="1">
        <v>1</v>
      </c>
      <c r="B7" s="40"/>
      <c r="G7" s="1">
        <v>1</v>
      </c>
    </row>
    <row r="8" spans="1:9">
      <c r="A8" s="1">
        <v>2</v>
      </c>
      <c r="B8" s="40"/>
      <c r="G8" s="1">
        <v>2</v>
      </c>
    </row>
    <row r="9" spans="1:9">
      <c r="A9" s="1">
        <v>3</v>
      </c>
      <c r="B9" s="40"/>
      <c r="C9" s="25"/>
      <c r="D9" s="25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1"/>
      <c r="C10" s="25"/>
      <c r="D10" s="19">
        <f t="shared" ref="D10:D41" si="1">E$4/E10</f>
        <v>1391.5060153645456</v>
      </c>
      <c r="E10" s="4">
        <f t="shared" si="0"/>
        <v>0.68989999999999996</v>
      </c>
      <c r="F10" s="19"/>
      <c r="G10" s="1">
        <v>4</v>
      </c>
    </row>
    <row r="11" spans="1:9">
      <c r="A11" s="1">
        <v>5</v>
      </c>
      <c r="B11" s="41"/>
      <c r="C11" s="25"/>
      <c r="D11" s="19">
        <f t="shared" si="1"/>
        <v>1324.1379310344828</v>
      </c>
      <c r="E11" s="4">
        <f t="shared" si="0"/>
        <v>0.72499999999999998</v>
      </c>
      <c r="F11" s="19"/>
      <c r="G11" s="1">
        <v>5</v>
      </c>
      <c r="I11" s="4"/>
    </row>
    <row r="12" spans="1:9">
      <c r="A12" s="1">
        <v>6</v>
      </c>
      <c r="B12" s="41"/>
      <c r="C12" s="25"/>
      <c r="D12" s="19">
        <f t="shared" si="1"/>
        <v>1266.6578704314552</v>
      </c>
      <c r="E12" s="4">
        <f t="shared" si="0"/>
        <v>0.75790000000000002</v>
      </c>
      <c r="F12" s="19"/>
      <c r="G12" s="1">
        <v>6</v>
      </c>
      <c r="I12" s="4"/>
    </row>
    <row r="13" spans="1:9">
      <c r="A13" s="1">
        <v>7</v>
      </c>
      <c r="B13" s="41"/>
      <c r="C13" s="25"/>
      <c r="D13" s="19">
        <f t="shared" si="1"/>
        <v>1217.3471975653056</v>
      </c>
      <c r="E13" s="4">
        <f t="shared" si="0"/>
        <v>0.78859999999999997</v>
      </c>
      <c r="F13" s="19"/>
      <c r="G13" s="1">
        <v>7</v>
      </c>
      <c r="I13" s="4"/>
    </row>
    <row r="14" spans="1:9">
      <c r="A14" s="1">
        <v>8</v>
      </c>
      <c r="B14" s="41"/>
      <c r="C14" s="25"/>
      <c r="D14" s="19">
        <f t="shared" si="1"/>
        <v>1174.8867947619631</v>
      </c>
      <c r="E14" s="4">
        <f t="shared" si="0"/>
        <v>0.81709999999999994</v>
      </c>
      <c r="F14" s="19"/>
      <c r="G14" s="1">
        <v>8</v>
      </c>
      <c r="I14" s="4"/>
    </row>
    <row r="15" spans="1:9">
      <c r="A15" s="1">
        <v>9</v>
      </c>
      <c r="B15" s="41"/>
      <c r="C15" s="25"/>
      <c r="D15" s="19">
        <f t="shared" si="1"/>
        <v>1138.249940716149</v>
      </c>
      <c r="E15" s="4">
        <f t="shared" si="0"/>
        <v>0.84339999999999993</v>
      </c>
      <c r="F15" s="19"/>
      <c r="G15" s="1">
        <v>9</v>
      </c>
      <c r="I15" s="4"/>
    </row>
    <row r="16" spans="1:9">
      <c r="A16" s="1">
        <v>10</v>
      </c>
      <c r="B16" s="41"/>
      <c r="C16" s="25"/>
      <c r="D16" s="19">
        <f t="shared" si="1"/>
        <v>1106.628242074928</v>
      </c>
      <c r="E16" s="4">
        <f t="shared" si="0"/>
        <v>0.86749999999999994</v>
      </c>
      <c r="F16" s="19"/>
      <c r="G16" s="1">
        <v>10</v>
      </c>
      <c r="I16" s="4"/>
    </row>
    <row r="17" spans="1:9">
      <c r="A17" s="1">
        <v>11</v>
      </c>
      <c r="B17" s="41"/>
      <c r="C17" s="25"/>
      <c r="D17" s="19">
        <f t="shared" si="1"/>
        <v>1079.3793568697999</v>
      </c>
      <c r="E17" s="4">
        <f t="shared" si="0"/>
        <v>0.88939999999999997</v>
      </c>
      <c r="F17" s="19"/>
      <c r="G17" s="1">
        <v>11</v>
      </c>
      <c r="I17" s="4"/>
    </row>
    <row r="18" spans="1:9">
      <c r="A18" s="1">
        <v>12</v>
      </c>
      <c r="B18" s="41"/>
      <c r="C18" s="25"/>
      <c r="D18" s="19">
        <f t="shared" si="1"/>
        <v>1055.989440105599</v>
      </c>
      <c r="E18" s="4">
        <f t="shared" si="0"/>
        <v>0.90910000000000002</v>
      </c>
      <c r="F18" s="19"/>
      <c r="G18" s="1">
        <v>12</v>
      </c>
      <c r="I18" s="4"/>
    </row>
    <row r="19" spans="1:9">
      <c r="A19" s="1">
        <v>13</v>
      </c>
      <c r="B19" s="41"/>
      <c r="C19" s="25"/>
      <c r="D19" s="19">
        <f t="shared" si="1"/>
        <v>1036.0457586876753</v>
      </c>
      <c r="E19" s="4">
        <f t="shared" si="0"/>
        <v>0.92659999999999998</v>
      </c>
      <c r="F19" s="19"/>
      <c r="G19" s="1">
        <v>13</v>
      </c>
      <c r="I19" s="4"/>
    </row>
    <row r="20" spans="1:9">
      <c r="A20" s="1">
        <v>14</v>
      </c>
      <c r="B20" s="41"/>
      <c r="C20" s="25"/>
      <c r="D20" s="19">
        <f t="shared" si="1"/>
        <v>1019.2164773330503</v>
      </c>
      <c r="E20" s="4">
        <f t="shared" si="0"/>
        <v>0.94189999999999996</v>
      </c>
      <c r="F20" s="19"/>
      <c r="G20" s="1">
        <v>14</v>
      </c>
      <c r="I20" s="4"/>
    </row>
    <row r="21" spans="1:9">
      <c r="A21" s="1">
        <v>15</v>
      </c>
      <c r="B21" s="41"/>
      <c r="C21" s="25"/>
      <c r="D21" s="19">
        <f t="shared" si="1"/>
        <v>1005.2356020942409</v>
      </c>
      <c r="E21" s="4">
        <f t="shared" si="0"/>
        <v>0.95499999999999996</v>
      </c>
      <c r="F21" s="19"/>
      <c r="G21" s="1">
        <v>15</v>
      </c>
      <c r="I21" s="4"/>
    </row>
    <row r="22" spans="1:9">
      <c r="A22" s="1">
        <v>16</v>
      </c>
      <c r="B22" s="41"/>
      <c r="C22" s="25"/>
      <c r="D22" s="19">
        <f t="shared" si="1"/>
        <v>992.76111685625654</v>
      </c>
      <c r="E22" s="4">
        <f t="shared" si="0"/>
        <v>0.96699999999999997</v>
      </c>
      <c r="F22" s="19"/>
      <c r="G22" s="1">
        <v>16</v>
      </c>
      <c r="I22" s="4"/>
    </row>
    <row r="23" spans="1:9">
      <c r="A23" s="1">
        <v>17</v>
      </c>
      <c r="B23" s="41"/>
      <c r="C23" s="25"/>
      <c r="D23" s="19">
        <f t="shared" si="1"/>
        <v>980.5924412665986</v>
      </c>
      <c r="E23" s="4">
        <f t="shared" si="0"/>
        <v>0.97899999999999998</v>
      </c>
      <c r="F23" s="19"/>
      <c r="G23" s="1">
        <v>17</v>
      </c>
      <c r="I23" s="4"/>
    </row>
    <row r="24" spans="1:9">
      <c r="A24" s="1">
        <v>18</v>
      </c>
      <c r="B24" s="41"/>
      <c r="C24" s="25"/>
      <c r="D24" s="19">
        <f t="shared" si="1"/>
        <v>970.39711191335732</v>
      </c>
      <c r="E24" s="4">
        <f t="shared" si="0"/>
        <v>0.98928571428571432</v>
      </c>
      <c r="F24" s="19"/>
      <c r="G24" s="1">
        <v>18</v>
      </c>
      <c r="I24" s="4"/>
    </row>
    <row r="25" spans="1:9">
      <c r="A25" s="1">
        <v>19</v>
      </c>
      <c r="B25" s="41"/>
      <c r="C25" s="25"/>
      <c r="D25" s="19">
        <f t="shared" si="1"/>
        <v>963.71719489459349</v>
      </c>
      <c r="E25" s="4">
        <f t="shared" si="0"/>
        <v>0.99614285714285711</v>
      </c>
      <c r="F25" s="19"/>
      <c r="G25" s="1">
        <v>19</v>
      </c>
      <c r="I25" s="4"/>
    </row>
    <row r="26" spans="1:9">
      <c r="A26" s="1">
        <v>20</v>
      </c>
      <c r="B26" s="41"/>
      <c r="C26" s="25"/>
      <c r="D26" s="19">
        <f t="shared" si="1"/>
        <v>960.41160497356009</v>
      </c>
      <c r="E26" s="4">
        <f t="shared" si="0"/>
        <v>0.99957142857142856</v>
      </c>
      <c r="F26" s="19"/>
      <c r="G26" s="1">
        <v>20</v>
      </c>
      <c r="I26" s="4"/>
    </row>
    <row r="27" spans="1:9">
      <c r="A27" s="1">
        <v>21</v>
      </c>
      <c r="B27" s="41"/>
      <c r="C27" s="25"/>
      <c r="D27" s="19">
        <f t="shared" si="1"/>
        <v>960</v>
      </c>
      <c r="E27" s="4">
        <f t="shared" si="0"/>
        <v>1</v>
      </c>
      <c r="F27" s="19"/>
      <c r="G27" s="1">
        <v>21</v>
      </c>
      <c r="I27" s="4"/>
    </row>
    <row r="28" spans="1:9">
      <c r="A28" s="1">
        <v>22</v>
      </c>
      <c r="B28" s="41"/>
      <c r="C28" s="25"/>
      <c r="D28" s="19">
        <f t="shared" si="1"/>
        <v>960</v>
      </c>
      <c r="E28" s="4">
        <f t="shared" si="0"/>
        <v>1</v>
      </c>
      <c r="F28" s="19"/>
      <c r="G28" s="1">
        <v>22</v>
      </c>
      <c r="I28" s="4"/>
    </row>
    <row r="29" spans="1:9">
      <c r="A29" s="1">
        <v>23</v>
      </c>
      <c r="B29" s="41"/>
      <c r="C29" s="25"/>
      <c r="D29" s="19">
        <f t="shared" si="1"/>
        <v>960</v>
      </c>
      <c r="E29" s="4">
        <f t="shared" si="0"/>
        <v>1</v>
      </c>
      <c r="F29" s="19"/>
      <c r="G29" s="1">
        <v>23</v>
      </c>
      <c r="I29" s="4"/>
    </row>
    <row r="30" spans="1:9">
      <c r="A30" s="1">
        <v>24</v>
      </c>
      <c r="B30" s="41"/>
      <c r="C30" s="25"/>
      <c r="D30" s="19">
        <f t="shared" si="1"/>
        <v>960</v>
      </c>
      <c r="E30" s="4">
        <f t="shared" si="0"/>
        <v>1</v>
      </c>
      <c r="F30" s="19"/>
      <c r="G30" s="1">
        <v>24</v>
      </c>
      <c r="I30" s="4"/>
    </row>
    <row r="31" spans="1:9">
      <c r="A31" s="1">
        <v>25</v>
      </c>
      <c r="B31" s="41"/>
      <c r="C31" s="25"/>
      <c r="D31" s="19">
        <f t="shared" si="1"/>
        <v>960</v>
      </c>
      <c r="E31" s="4">
        <f t="shared" si="0"/>
        <v>1</v>
      </c>
      <c r="F31" s="19"/>
      <c r="G31" s="1">
        <v>25</v>
      </c>
      <c r="I31" s="4"/>
    </row>
    <row r="32" spans="1:9">
      <c r="A32" s="1">
        <v>26</v>
      </c>
      <c r="B32" s="41"/>
      <c r="C32" s="25"/>
      <c r="D32" s="19">
        <f t="shared" si="1"/>
        <v>960</v>
      </c>
      <c r="E32" s="4">
        <f t="shared" si="0"/>
        <v>1</v>
      </c>
      <c r="F32" s="19"/>
      <c r="G32" s="1">
        <v>26</v>
      </c>
      <c r="I32" s="4"/>
    </row>
    <row r="33" spans="1:16">
      <c r="A33" s="1">
        <v>27</v>
      </c>
      <c r="B33" s="41"/>
      <c r="C33" s="19"/>
      <c r="D33" s="19">
        <f t="shared" si="1"/>
        <v>960</v>
      </c>
      <c r="E33" s="4">
        <f t="shared" si="0"/>
        <v>1</v>
      </c>
      <c r="F33" s="19"/>
      <c r="G33" s="1">
        <v>27</v>
      </c>
      <c r="I33" s="4"/>
    </row>
    <row r="34" spans="1:16">
      <c r="A34" s="1">
        <v>28</v>
      </c>
      <c r="B34" s="41"/>
      <c r="C34" s="19"/>
      <c r="D34" s="19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19"/>
      <c r="G34" s="1">
        <v>28</v>
      </c>
      <c r="I34" s="4"/>
    </row>
    <row r="35" spans="1:16">
      <c r="A35" s="1">
        <v>29</v>
      </c>
      <c r="B35" s="41"/>
      <c r="C35" s="19"/>
      <c r="D35" s="19">
        <f t="shared" si="1"/>
        <v>962.22050886661532</v>
      </c>
      <c r="E35" s="4">
        <f t="shared" si="2"/>
        <v>0.99769230769230766</v>
      </c>
      <c r="F35" s="19"/>
      <c r="G35" s="1">
        <v>29</v>
      </c>
      <c r="I35" s="4"/>
    </row>
    <row r="36" spans="1:16">
      <c r="A36" s="1">
        <v>30</v>
      </c>
      <c r="B36" s="41"/>
      <c r="C36" s="19"/>
      <c r="D36" s="19">
        <f t="shared" si="1"/>
        <v>963.9546858908343</v>
      </c>
      <c r="E36" s="4">
        <f t="shared" si="2"/>
        <v>0.99589743589743585</v>
      </c>
      <c r="F36" s="19"/>
      <c r="G36" s="1">
        <v>30</v>
      </c>
      <c r="I36" s="4"/>
    </row>
    <row r="37" spans="1:16">
      <c r="A37" s="1">
        <v>31</v>
      </c>
      <c r="B37" s="41"/>
      <c r="C37" s="19"/>
      <c r="D37" s="19">
        <f t="shared" si="1"/>
        <v>966.19354838709671</v>
      </c>
      <c r="E37" s="4">
        <f t="shared" si="2"/>
        <v>0.99358974358974361</v>
      </c>
      <c r="F37" s="19"/>
      <c r="G37" s="1">
        <v>31</v>
      </c>
      <c r="I37" s="4"/>
    </row>
    <row r="38" spans="1:16">
      <c r="A38" s="1">
        <v>32</v>
      </c>
      <c r="B38" s="41"/>
      <c r="C38" s="19"/>
      <c r="D38" s="19">
        <f t="shared" si="1"/>
        <v>968.94409937888202</v>
      </c>
      <c r="E38" s="4">
        <f t="shared" si="2"/>
        <v>0.99076923076923074</v>
      </c>
      <c r="F38" s="19"/>
      <c r="G38" s="1">
        <v>32</v>
      </c>
      <c r="I38" s="4"/>
    </row>
    <row r="39" spans="1:16">
      <c r="A39" s="1">
        <v>33</v>
      </c>
      <c r="B39" s="41"/>
      <c r="C39" s="19"/>
      <c r="D39" s="19">
        <f t="shared" si="1"/>
        <v>972.21500908854841</v>
      </c>
      <c r="E39" s="4">
        <f t="shared" si="2"/>
        <v>0.98743589743589744</v>
      </c>
      <c r="F39" s="19"/>
      <c r="G39" s="1">
        <v>33</v>
      </c>
      <c r="I39" s="4"/>
    </row>
    <row r="40" spans="1:16">
      <c r="A40" s="1">
        <v>34</v>
      </c>
      <c r="B40" s="41"/>
      <c r="C40" s="19"/>
      <c r="D40" s="19">
        <f t="shared" si="1"/>
        <v>976.01668404588111</v>
      </c>
      <c r="E40" s="4">
        <f t="shared" si="2"/>
        <v>0.9835897435897436</v>
      </c>
      <c r="F40" s="19"/>
      <c r="G40" s="1">
        <v>34</v>
      </c>
      <c r="I40" s="4"/>
    </row>
    <row r="41" spans="1:16">
      <c r="A41" s="1">
        <v>35</v>
      </c>
      <c r="B41" s="41"/>
      <c r="C41" s="19"/>
      <c r="D41" s="19">
        <f t="shared" si="1"/>
        <v>980.36135113904163</v>
      </c>
      <c r="E41" s="4">
        <f t="shared" si="2"/>
        <v>0.97923076923076924</v>
      </c>
      <c r="F41" s="19"/>
      <c r="G41" s="1">
        <v>35</v>
      </c>
      <c r="H41" s="23"/>
      <c r="I41" s="4"/>
    </row>
    <row r="42" spans="1:16">
      <c r="A42" s="1">
        <v>36</v>
      </c>
      <c r="B42" s="41"/>
      <c r="C42" s="19"/>
      <c r="D42" s="19">
        <f t="shared" ref="D42:D73" si="3">E$4/E42</f>
        <v>985.26315789473688</v>
      </c>
      <c r="E42" s="4">
        <f t="shared" si="2"/>
        <v>0.97435897435897434</v>
      </c>
      <c r="F42" s="19"/>
      <c r="G42" s="1">
        <v>36</v>
      </c>
      <c r="I42" s="4"/>
    </row>
    <row r="43" spans="1:16">
      <c r="A43" s="1">
        <v>37</v>
      </c>
      <c r="B43" s="41"/>
      <c r="C43" s="19"/>
      <c r="D43" s="19">
        <f t="shared" si="3"/>
        <v>990.73829055305634</v>
      </c>
      <c r="E43" s="4">
        <f t="shared" si="2"/>
        <v>0.96897435897435902</v>
      </c>
      <c r="F43" s="19"/>
      <c r="G43" s="1">
        <v>37</v>
      </c>
      <c r="I43" s="4"/>
    </row>
    <row r="44" spans="1:16">
      <c r="A44" s="1">
        <v>38</v>
      </c>
      <c r="B44" s="41"/>
      <c r="C44" s="19"/>
      <c r="D44" s="19">
        <f t="shared" si="3"/>
        <v>996.80511182108626</v>
      </c>
      <c r="E44" s="4">
        <f t="shared" si="2"/>
        <v>0.96307692307692305</v>
      </c>
      <c r="F44" s="19"/>
      <c r="G44" s="1">
        <v>38</v>
      </c>
      <c r="I44" s="4"/>
    </row>
    <row r="45" spans="1:16">
      <c r="A45" s="1">
        <v>39</v>
      </c>
      <c r="B45" s="41"/>
      <c r="C45" s="19"/>
      <c r="D45" s="19">
        <f t="shared" si="3"/>
        <v>1003.4843205574913</v>
      </c>
      <c r="E45" s="4">
        <f t="shared" si="2"/>
        <v>0.95666666666666667</v>
      </c>
      <c r="F45" s="19"/>
      <c r="G45" s="1">
        <v>39</v>
      </c>
      <c r="I45" s="4"/>
    </row>
    <row r="46" spans="1:16">
      <c r="A46" s="1">
        <v>40</v>
      </c>
      <c r="B46" s="41"/>
      <c r="C46" s="19"/>
      <c r="D46" s="19">
        <f t="shared" si="3"/>
        <v>1010.7991360691145</v>
      </c>
      <c r="E46" s="4">
        <f t="shared" si="2"/>
        <v>0.94974358974358974</v>
      </c>
      <c r="F46" s="19"/>
      <c r="G46" s="1">
        <v>40</v>
      </c>
      <c r="H46" s="23"/>
      <c r="I46" s="4"/>
      <c r="M46" s="23"/>
      <c r="N46" s="23"/>
      <c r="O46" s="23"/>
      <c r="P46" s="23"/>
    </row>
    <row r="47" spans="1:16">
      <c r="A47" s="1">
        <v>41</v>
      </c>
      <c r="B47" s="41"/>
      <c r="C47" s="19"/>
      <c r="D47" s="19">
        <f t="shared" si="3"/>
        <v>1018.7755102040817</v>
      </c>
      <c r="E47" s="4">
        <f t="shared" si="2"/>
        <v>0.94230769230769229</v>
      </c>
      <c r="F47" s="19"/>
      <c r="G47" s="1">
        <v>41</v>
      </c>
      <c r="H47" s="23"/>
      <c r="I47" s="4"/>
      <c r="M47" s="23"/>
      <c r="N47" s="23"/>
      <c r="O47" s="23"/>
      <c r="P47" s="23"/>
    </row>
    <row r="48" spans="1:16">
      <c r="A48" s="1">
        <v>42</v>
      </c>
      <c r="B48" s="41">
        <v>0.79167824074074078</v>
      </c>
      <c r="C48" s="19">
        <f>B48*1440</f>
        <v>1140.0166666666667</v>
      </c>
      <c r="D48" s="19">
        <f t="shared" si="3"/>
        <v>1027.4423710208562</v>
      </c>
      <c r="E48" s="4">
        <f t="shared" si="2"/>
        <v>0.93435897435897441</v>
      </c>
      <c r="F48" s="19">
        <f>100*(D48/C48)</f>
        <v>90.125206153786309</v>
      </c>
      <c r="G48" s="1">
        <v>42</v>
      </c>
      <c r="H48" s="23"/>
      <c r="I48" s="4"/>
      <c r="M48" s="23"/>
      <c r="N48" s="23"/>
      <c r="O48" s="23"/>
      <c r="P48" s="23"/>
    </row>
    <row r="49" spans="1:16">
      <c r="A49" s="1">
        <v>43</v>
      </c>
      <c r="B49" s="41"/>
      <c r="C49" s="19"/>
      <c r="D49" s="19">
        <f t="shared" si="3"/>
        <v>1036.8319025200776</v>
      </c>
      <c r="E49" s="4">
        <f t="shared" si="2"/>
        <v>0.92589743589743589</v>
      </c>
      <c r="F49" s="19"/>
      <c r="G49" s="1">
        <v>43</v>
      </c>
      <c r="H49" s="23"/>
      <c r="I49" s="4"/>
      <c r="M49" s="23"/>
      <c r="N49" s="23"/>
      <c r="O49" s="23"/>
      <c r="P49" s="23"/>
    </row>
    <row r="50" spans="1:16">
      <c r="A50" s="1">
        <v>44</v>
      </c>
      <c r="B50" s="41"/>
      <c r="C50" s="19"/>
      <c r="D50" s="19">
        <f t="shared" si="3"/>
        <v>1046.979865771812</v>
      </c>
      <c r="E50" s="4">
        <f t="shared" si="2"/>
        <v>0.91692307692307695</v>
      </c>
      <c r="F50" s="19"/>
      <c r="G50" s="1">
        <v>44</v>
      </c>
      <c r="H50" s="23"/>
      <c r="I50" s="4"/>
      <c r="M50" s="23"/>
      <c r="N50" s="23"/>
      <c r="O50" s="23"/>
      <c r="P50" s="23"/>
    </row>
    <row r="51" spans="1:16">
      <c r="A51" s="1">
        <v>45</v>
      </c>
      <c r="B51" s="41">
        <v>0.79202546296296295</v>
      </c>
      <c r="C51" s="19">
        <f>B51*1440</f>
        <v>1140.5166666666667</v>
      </c>
      <c r="D51" s="19">
        <f t="shared" si="3"/>
        <v>1057.9259677875104</v>
      </c>
      <c r="E51" s="4">
        <f t="shared" si="2"/>
        <v>0.90743589743589748</v>
      </c>
      <c r="F51" s="19">
        <f>100*(D51/C51)</f>
        <v>92.75848382641</v>
      </c>
      <c r="G51" s="1">
        <v>45</v>
      </c>
      <c r="H51" s="23"/>
      <c r="I51" s="4"/>
      <c r="M51" s="23"/>
      <c r="N51" s="23"/>
      <c r="O51" s="23"/>
      <c r="P51" s="23"/>
    </row>
    <row r="52" spans="1:16">
      <c r="A52" s="1">
        <v>46</v>
      </c>
      <c r="B52" s="41"/>
      <c r="C52" s="19"/>
      <c r="D52" s="19">
        <f t="shared" si="3"/>
        <v>1069.6378830083565</v>
      </c>
      <c r="E52" s="4">
        <f t="shared" si="2"/>
        <v>0.89749999999999996</v>
      </c>
      <c r="F52" s="19"/>
      <c r="G52" s="1">
        <v>46</v>
      </c>
      <c r="H52" s="23"/>
      <c r="I52" s="4"/>
      <c r="M52" s="23"/>
      <c r="N52" s="23"/>
      <c r="O52" s="23"/>
      <c r="P52" s="23"/>
    </row>
    <row r="53" spans="1:16">
      <c r="A53" s="1">
        <v>47</v>
      </c>
      <c r="B53" s="41"/>
      <c r="C53" s="19"/>
      <c r="D53" s="19">
        <f t="shared" si="3"/>
        <v>1081.6901408450706</v>
      </c>
      <c r="E53" s="4">
        <f t="shared" si="2"/>
        <v>0.88749999999999996</v>
      </c>
      <c r="F53" s="19"/>
      <c r="G53" s="1">
        <v>47</v>
      </c>
      <c r="H53" s="23"/>
      <c r="I53" s="4"/>
      <c r="M53" s="23"/>
      <c r="N53" s="23"/>
      <c r="O53" s="23"/>
      <c r="P53" s="23"/>
    </row>
    <row r="54" spans="1:16">
      <c r="A54" s="1">
        <v>48</v>
      </c>
      <c r="B54" s="41"/>
      <c r="C54" s="19"/>
      <c r="D54" s="19">
        <f t="shared" si="3"/>
        <v>1094.017094017094</v>
      </c>
      <c r="E54" s="4">
        <f t="shared" si="2"/>
        <v>0.87749999999999995</v>
      </c>
      <c r="F54" s="19"/>
      <c r="G54" s="1">
        <v>48</v>
      </c>
      <c r="H54" s="23"/>
      <c r="I54" s="4"/>
      <c r="M54" s="23"/>
      <c r="N54" s="23"/>
      <c r="O54" s="23"/>
      <c r="P54" s="23"/>
    </row>
    <row r="55" spans="1:16">
      <c r="A55" s="1">
        <v>49</v>
      </c>
      <c r="B55" s="41">
        <v>0.82611111111111113</v>
      </c>
      <c r="C55" s="19">
        <f>B55*1440</f>
        <v>1189.6000000000001</v>
      </c>
      <c r="D55" s="19">
        <f t="shared" si="3"/>
        <v>1106.628242074928</v>
      </c>
      <c r="E55" s="4">
        <f t="shared" si="2"/>
        <v>0.86749999999999994</v>
      </c>
      <c r="F55" s="19">
        <f>100*(D55/C55)</f>
        <v>93.025238910131804</v>
      </c>
      <c r="G55" s="1">
        <v>49</v>
      </c>
      <c r="H55" s="23"/>
      <c r="I55" s="4"/>
      <c r="M55" s="23"/>
      <c r="N55" s="23"/>
      <c r="O55" s="23"/>
      <c r="P55" s="23"/>
    </row>
    <row r="56" spans="1:16">
      <c r="A56" s="1">
        <v>50</v>
      </c>
      <c r="B56" s="41"/>
      <c r="C56" s="19"/>
      <c r="D56" s="19">
        <f t="shared" si="3"/>
        <v>1119.533527696793</v>
      </c>
      <c r="E56" s="4">
        <f t="shared" si="2"/>
        <v>0.85749999999999993</v>
      </c>
      <c r="F56" s="19"/>
      <c r="G56" s="1">
        <v>50</v>
      </c>
      <c r="H56" s="23"/>
      <c r="I56" s="4"/>
      <c r="M56" s="23"/>
      <c r="N56" s="23"/>
      <c r="O56" s="23"/>
      <c r="P56" s="23"/>
    </row>
    <row r="57" spans="1:16">
      <c r="A57" s="1">
        <v>51</v>
      </c>
      <c r="B57" s="41">
        <v>0.79746527777777776</v>
      </c>
      <c r="C57" s="19">
        <f>B57*1440</f>
        <v>1148.3499999999999</v>
      </c>
      <c r="D57" s="19">
        <f t="shared" si="3"/>
        <v>1132.7433628318583</v>
      </c>
      <c r="E57" s="4">
        <f t="shared" si="2"/>
        <v>0.84750000000000003</v>
      </c>
      <c r="F57" s="19">
        <f>100*(D57/C57)</f>
        <v>98.640951176197007</v>
      </c>
      <c r="G57" s="1">
        <v>51</v>
      </c>
      <c r="I57" s="4"/>
    </row>
    <row r="58" spans="1:16">
      <c r="A58" s="1">
        <v>52</v>
      </c>
      <c r="B58" s="41"/>
      <c r="C58" s="19"/>
      <c r="D58" s="19">
        <f t="shared" si="3"/>
        <v>1146.2686567164178</v>
      </c>
      <c r="E58" s="4">
        <f t="shared" si="2"/>
        <v>0.83750000000000002</v>
      </c>
      <c r="F58" s="19"/>
      <c r="G58" s="1">
        <v>52</v>
      </c>
      <c r="I58" s="4"/>
    </row>
    <row r="59" spans="1:16">
      <c r="A59" s="1">
        <v>53</v>
      </c>
      <c r="B59" s="41"/>
      <c r="C59" s="19"/>
      <c r="D59" s="19">
        <f t="shared" si="3"/>
        <v>1160.1208459214502</v>
      </c>
      <c r="E59" s="4">
        <f t="shared" si="2"/>
        <v>0.82750000000000001</v>
      </c>
      <c r="F59" s="19"/>
      <c r="G59" s="1">
        <v>53</v>
      </c>
      <c r="I59" s="4"/>
    </row>
    <row r="60" spans="1:16">
      <c r="A60" s="1">
        <v>54</v>
      </c>
      <c r="B60" s="41"/>
      <c r="C60" s="19"/>
      <c r="D60" s="19">
        <f t="shared" si="3"/>
        <v>1174.3119266055046</v>
      </c>
      <c r="E60" s="4">
        <f t="shared" si="2"/>
        <v>0.8175</v>
      </c>
      <c r="F60" s="19"/>
      <c r="G60" s="1">
        <v>54</v>
      </c>
      <c r="I60" s="4"/>
    </row>
    <row r="61" spans="1:16">
      <c r="A61" s="1">
        <v>55</v>
      </c>
      <c r="B61" s="41"/>
      <c r="C61" s="19"/>
      <c r="D61" s="19">
        <f t="shared" si="3"/>
        <v>1189.0164604466243</v>
      </c>
      <c r="E61" s="4">
        <f t="shared" si="2"/>
        <v>0.80739000000000005</v>
      </c>
      <c r="F61" s="19"/>
      <c r="G61" s="1">
        <v>55</v>
      </c>
      <c r="H61" s="23"/>
      <c r="I61" s="4"/>
    </row>
    <row r="62" spans="1:16">
      <c r="A62" s="1">
        <v>56</v>
      </c>
      <c r="B62" s="41"/>
      <c r="C62" s="19"/>
      <c r="D62" s="19">
        <f t="shared" si="3"/>
        <v>1204.4262665294959</v>
      </c>
      <c r="E62" s="4">
        <f t="shared" si="2"/>
        <v>0.79705999999999999</v>
      </c>
      <c r="F62" s="19"/>
      <c r="G62" s="1">
        <v>56</v>
      </c>
      <c r="I62" s="4"/>
    </row>
    <row r="63" spans="1:16">
      <c r="A63" s="1">
        <v>57</v>
      </c>
      <c r="B63" s="41"/>
      <c r="C63" s="19"/>
      <c r="D63" s="19">
        <f t="shared" si="3"/>
        <v>1220.5820650722812</v>
      </c>
      <c r="E63" s="4">
        <f t="shared" si="2"/>
        <v>0.78651000000000004</v>
      </c>
      <c r="F63" s="19"/>
      <c r="G63" s="1">
        <v>57</v>
      </c>
      <c r="I63" s="4"/>
    </row>
    <row r="64" spans="1:16">
      <c r="A64" s="1">
        <v>58</v>
      </c>
      <c r="B64" s="41"/>
      <c r="C64" s="19"/>
      <c r="D64" s="19">
        <f t="shared" si="3"/>
        <v>1237.5280377446052</v>
      </c>
      <c r="E64" s="4">
        <f t="shared" si="2"/>
        <v>0.77573999999999999</v>
      </c>
      <c r="F64" s="19"/>
      <c r="G64" s="1">
        <v>58</v>
      </c>
      <c r="I64" s="4"/>
    </row>
    <row r="65" spans="1:9">
      <c r="A65" s="1">
        <v>59</v>
      </c>
      <c r="B65" s="41"/>
      <c r="C65" s="19"/>
      <c r="D65" s="19">
        <f t="shared" si="3"/>
        <v>1255.3121935272964</v>
      </c>
      <c r="E65" s="4">
        <f t="shared" si="2"/>
        <v>0.76475000000000004</v>
      </c>
      <c r="F65" s="19"/>
      <c r="G65" s="1">
        <v>59</v>
      </c>
      <c r="I65" s="4"/>
    </row>
    <row r="66" spans="1:9">
      <c r="A66" s="1">
        <v>60</v>
      </c>
      <c r="B66" s="41"/>
      <c r="C66" s="19"/>
      <c r="D66" s="19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19"/>
      <c r="G66" s="1">
        <v>60</v>
      </c>
      <c r="H66" s="23"/>
      <c r="I66" s="4"/>
    </row>
    <row r="67" spans="1:9">
      <c r="A67" s="1">
        <v>61</v>
      </c>
      <c r="B67" s="41"/>
      <c r="C67" s="19"/>
      <c r="D67" s="19">
        <f t="shared" si="3"/>
        <v>1293.6087641993774</v>
      </c>
      <c r="E67" s="4">
        <f t="shared" si="4"/>
        <v>0.74211000000000005</v>
      </c>
      <c r="F67" s="19"/>
      <c r="G67" s="1">
        <v>61</v>
      </c>
      <c r="I67" s="4"/>
    </row>
    <row r="68" spans="1:9">
      <c r="A68" s="1">
        <v>62</v>
      </c>
      <c r="B68" s="41"/>
      <c r="C68" s="19"/>
      <c r="D68" s="19">
        <f t="shared" si="3"/>
        <v>1314.2403417024889</v>
      </c>
      <c r="E68" s="4">
        <f t="shared" si="4"/>
        <v>0.73046</v>
      </c>
      <c r="F68" s="19"/>
      <c r="G68" s="1">
        <v>62</v>
      </c>
      <c r="I68" s="4"/>
    </row>
    <row r="69" spans="1:9">
      <c r="A69" s="1">
        <v>63</v>
      </c>
      <c r="B69" s="41"/>
      <c r="C69" s="19"/>
      <c r="D69" s="19">
        <f t="shared" si="3"/>
        <v>1335.9495679038116</v>
      </c>
      <c r="E69" s="4">
        <f t="shared" si="4"/>
        <v>0.71859000000000006</v>
      </c>
      <c r="F69" s="19"/>
      <c r="G69" s="1">
        <v>63</v>
      </c>
      <c r="I69" s="4"/>
    </row>
    <row r="70" spans="1:9">
      <c r="A70" s="1">
        <v>64</v>
      </c>
      <c r="B70" s="41"/>
      <c r="C70" s="19"/>
      <c r="D70" s="19">
        <f t="shared" si="3"/>
        <v>1358.8110403397027</v>
      </c>
      <c r="E70" s="4">
        <f t="shared" si="4"/>
        <v>0.70650000000000002</v>
      </c>
      <c r="F70" s="19"/>
      <c r="G70" s="1">
        <v>64</v>
      </c>
      <c r="I70" s="4"/>
    </row>
    <row r="71" spans="1:9">
      <c r="A71" s="1">
        <v>65</v>
      </c>
      <c r="B71" s="41"/>
      <c r="C71" s="19"/>
      <c r="D71" s="19">
        <f t="shared" si="3"/>
        <v>1382.9066970137858</v>
      </c>
      <c r="E71" s="4">
        <f t="shared" si="4"/>
        <v>0.69419000000000008</v>
      </c>
      <c r="F71" s="19"/>
      <c r="G71" s="1">
        <v>65</v>
      </c>
      <c r="H71" s="23"/>
      <c r="I71" s="4"/>
    </row>
    <row r="72" spans="1:9">
      <c r="A72" s="1">
        <v>66</v>
      </c>
      <c r="B72" s="41"/>
      <c r="C72" s="19"/>
      <c r="D72" s="19">
        <f t="shared" si="3"/>
        <v>1408.3267318017781</v>
      </c>
      <c r="E72" s="4">
        <f t="shared" si="4"/>
        <v>0.68165999999999993</v>
      </c>
      <c r="F72" s="19"/>
      <c r="G72" s="1">
        <v>66</v>
      </c>
      <c r="I72" s="4"/>
    </row>
    <row r="73" spans="1:9">
      <c r="A73" s="1">
        <v>67</v>
      </c>
      <c r="B73" s="41"/>
      <c r="C73" s="19"/>
      <c r="D73" s="19">
        <f t="shared" si="3"/>
        <v>1435.1706507601918</v>
      </c>
      <c r="E73" s="4">
        <f t="shared" si="4"/>
        <v>0.66891</v>
      </c>
      <c r="F73" s="19"/>
      <c r="G73" s="1">
        <v>67</v>
      </c>
      <c r="I73" s="4"/>
    </row>
    <row r="74" spans="1:9">
      <c r="A74" s="1">
        <v>68</v>
      </c>
      <c r="B74" s="41"/>
      <c r="C74" s="19"/>
      <c r="D74" s="19">
        <f t="shared" ref="D74:D105" si="5">E$4/E74</f>
        <v>1463.5484952892034</v>
      </c>
      <c r="E74" s="4">
        <f t="shared" si="4"/>
        <v>0.65593999999999997</v>
      </c>
      <c r="F74" s="19"/>
      <c r="G74" s="1">
        <v>68</v>
      </c>
      <c r="I74" s="4"/>
    </row>
    <row r="75" spans="1:9">
      <c r="A75" s="1">
        <v>69</v>
      </c>
      <c r="B75" s="41"/>
      <c r="C75" s="19"/>
      <c r="D75" s="19">
        <f t="shared" si="5"/>
        <v>1493.5822637106187</v>
      </c>
      <c r="E75" s="4">
        <f t="shared" si="4"/>
        <v>0.64274999999999993</v>
      </c>
      <c r="F75" s="19"/>
      <c r="G75" s="1">
        <v>69</v>
      </c>
      <c r="I75" s="4"/>
    </row>
    <row r="76" spans="1:9">
      <c r="A76" s="1">
        <v>70</v>
      </c>
      <c r="B76" s="41"/>
      <c r="C76" s="19"/>
      <c r="D76" s="19">
        <f t="shared" si="5"/>
        <v>1525.4075698350653</v>
      </c>
      <c r="E76" s="4">
        <f t="shared" si="4"/>
        <v>0.62934000000000001</v>
      </c>
      <c r="F76" s="19"/>
      <c r="G76" s="1">
        <v>70</v>
      </c>
      <c r="H76" s="23"/>
      <c r="I76" s="4"/>
    </row>
    <row r="77" spans="1:9">
      <c r="A77" s="1">
        <v>71</v>
      </c>
      <c r="B77" s="41"/>
      <c r="C77" s="19"/>
      <c r="D77" s="19">
        <f t="shared" si="5"/>
        <v>1559.1755859089508</v>
      </c>
      <c r="E77" s="4">
        <f t="shared" si="4"/>
        <v>0.61570999999999998</v>
      </c>
      <c r="F77" s="19"/>
      <c r="G77" s="1">
        <v>71</v>
      </c>
      <c r="I77" s="4"/>
    </row>
    <row r="78" spans="1:9">
      <c r="A78" s="1">
        <v>72</v>
      </c>
      <c r="B78" s="41"/>
      <c r="C78" s="19"/>
      <c r="D78" s="19">
        <f t="shared" si="5"/>
        <v>1595.0553284817067</v>
      </c>
      <c r="E78" s="4">
        <f t="shared" si="4"/>
        <v>0.60185999999999995</v>
      </c>
      <c r="F78" s="19"/>
      <c r="G78" s="1">
        <v>72</v>
      </c>
      <c r="I78" s="4"/>
    </row>
    <row r="79" spans="1:9">
      <c r="A79" s="1">
        <v>73</v>
      </c>
      <c r="B79" s="41"/>
      <c r="C79" s="19"/>
      <c r="D79" s="19">
        <f t="shared" si="5"/>
        <v>1633.2363599244629</v>
      </c>
      <c r="E79" s="4">
        <f t="shared" si="4"/>
        <v>0.58778999999999992</v>
      </c>
      <c r="F79" s="19"/>
      <c r="G79" s="1">
        <v>73</v>
      </c>
      <c r="I79" s="4"/>
    </row>
    <row r="80" spans="1:9">
      <c r="A80" s="1">
        <v>74</v>
      </c>
      <c r="B80" s="41"/>
      <c r="C80" s="19"/>
      <c r="D80" s="19">
        <f t="shared" si="5"/>
        <v>1673.9319965126419</v>
      </c>
      <c r="E80" s="4">
        <f t="shared" si="4"/>
        <v>0.5734999999999999</v>
      </c>
      <c r="F80" s="19"/>
      <c r="G80" s="1">
        <v>74</v>
      </c>
      <c r="I80" s="4"/>
    </row>
    <row r="81" spans="1:9">
      <c r="A81" s="1">
        <v>75</v>
      </c>
      <c r="B81" s="41"/>
      <c r="C81" s="19"/>
      <c r="D81" s="19">
        <f t="shared" si="5"/>
        <v>1717.3831374443189</v>
      </c>
      <c r="E81" s="4">
        <f t="shared" si="4"/>
        <v>0.5589900000000001</v>
      </c>
      <c r="F81" s="19"/>
      <c r="G81" s="1">
        <v>75</v>
      </c>
      <c r="I81" s="4"/>
    </row>
    <row r="82" spans="1:9">
      <c r="A82" s="1">
        <v>76</v>
      </c>
      <c r="B82" s="41"/>
      <c r="C82" s="19"/>
      <c r="D82" s="19">
        <f t="shared" si="5"/>
        <v>1763.8628596626613</v>
      </c>
      <c r="E82" s="4">
        <f t="shared" si="4"/>
        <v>0.54425999999999997</v>
      </c>
      <c r="F82" s="19"/>
      <c r="G82" s="1">
        <v>76</v>
      </c>
      <c r="I82" s="4"/>
    </row>
    <row r="83" spans="1:9">
      <c r="A83" s="1">
        <v>77</v>
      </c>
      <c r="B83" s="41"/>
      <c r="C83" s="19"/>
      <c r="D83" s="19">
        <f t="shared" si="5"/>
        <v>1813.6819633107255</v>
      </c>
      <c r="E83" s="4">
        <f t="shared" si="4"/>
        <v>0.52930999999999995</v>
      </c>
      <c r="F83" s="19"/>
      <c r="G83" s="1">
        <v>77</v>
      </c>
      <c r="I83" s="4"/>
    </row>
    <row r="84" spans="1:9">
      <c r="A84" s="1">
        <v>78</v>
      </c>
      <c r="B84" s="41"/>
      <c r="C84" s="19"/>
      <c r="D84" s="19">
        <f t="shared" si="5"/>
        <v>1867.1957054498773</v>
      </c>
      <c r="E84" s="4">
        <f t="shared" si="4"/>
        <v>0.51414000000000004</v>
      </c>
      <c r="F84" s="19"/>
      <c r="G84" s="1">
        <v>78</v>
      </c>
      <c r="I84" s="4"/>
    </row>
    <row r="85" spans="1:9">
      <c r="A85" s="1">
        <v>79</v>
      </c>
      <c r="B85" s="41"/>
      <c r="C85" s="19"/>
      <c r="D85" s="19">
        <f t="shared" si="5"/>
        <v>1924.812030075188</v>
      </c>
      <c r="E85" s="4">
        <f t="shared" si="4"/>
        <v>0.49875000000000003</v>
      </c>
      <c r="F85" s="19"/>
      <c r="G85" s="1">
        <v>79</v>
      </c>
      <c r="I85" s="4"/>
    </row>
    <row r="86" spans="1:9">
      <c r="A86" s="1">
        <v>80</v>
      </c>
      <c r="B86" s="41"/>
      <c r="C86" s="19"/>
      <c r="D86" s="19">
        <f t="shared" si="5"/>
        <v>1987.0016972306164</v>
      </c>
      <c r="E86" s="4">
        <f t="shared" si="4"/>
        <v>0.48314000000000001</v>
      </c>
      <c r="F86" s="19"/>
      <c r="G86" s="1">
        <v>80</v>
      </c>
      <c r="H86" s="23"/>
      <c r="I86" s="4"/>
    </row>
    <row r="87" spans="1:9">
      <c r="A87" s="1">
        <v>81</v>
      </c>
      <c r="B87" s="41"/>
      <c r="C87" s="19"/>
      <c r="D87" s="19">
        <f t="shared" si="5"/>
        <v>2054.3108429094177</v>
      </c>
      <c r="E87" s="4">
        <f t="shared" si="4"/>
        <v>0.46731</v>
      </c>
      <c r="F87" s="19"/>
      <c r="G87" s="1">
        <v>81</v>
      </c>
      <c r="I87" s="4"/>
    </row>
    <row r="88" spans="1:9">
      <c r="A88" s="1">
        <v>82</v>
      </c>
      <c r="B88" s="41"/>
      <c r="C88" s="19"/>
      <c r="D88" s="19">
        <f t="shared" si="5"/>
        <v>2127.3766786331607</v>
      </c>
      <c r="E88" s="4">
        <f t="shared" si="4"/>
        <v>0.45125999999999999</v>
      </c>
      <c r="F88" s="19"/>
      <c r="G88" s="1">
        <v>82</v>
      </c>
      <c r="I88" s="4"/>
    </row>
    <row r="89" spans="1:9">
      <c r="A89" s="1">
        <v>83</v>
      </c>
      <c r="B89" s="41"/>
      <c r="C89" s="19"/>
      <c r="D89" s="19">
        <f t="shared" si="5"/>
        <v>2206.9472861445092</v>
      </c>
      <c r="E89" s="4">
        <f t="shared" si="4"/>
        <v>0.43498999999999999</v>
      </c>
      <c r="F89" s="19"/>
      <c r="G89" s="1">
        <v>83</v>
      </c>
      <c r="I89" s="4"/>
    </row>
    <row r="90" spans="1:9">
      <c r="A90" s="1">
        <v>84</v>
      </c>
      <c r="B90" s="41"/>
      <c r="C90" s="19"/>
      <c r="D90" s="19">
        <f t="shared" si="5"/>
        <v>2293.9068100358422</v>
      </c>
      <c r="E90" s="4">
        <f t="shared" si="4"/>
        <v>0.41849999999999998</v>
      </c>
      <c r="F90" s="19"/>
      <c r="G90" s="1">
        <v>84</v>
      </c>
      <c r="I90" s="4"/>
    </row>
    <row r="91" spans="1:9">
      <c r="A91" s="1">
        <v>85</v>
      </c>
      <c r="B91" s="41"/>
      <c r="C91" s="19"/>
      <c r="D91" s="19">
        <f t="shared" si="5"/>
        <v>2389.3078473829614</v>
      </c>
      <c r="E91" s="4">
        <f t="shared" si="4"/>
        <v>0.40178999999999998</v>
      </c>
      <c r="F91" s="19"/>
      <c r="G91" s="1">
        <v>85</v>
      </c>
      <c r="H91" s="23"/>
      <c r="I91" s="4"/>
    </row>
    <row r="92" spans="1:9">
      <c r="A92" s="1">
        <v>86</v>
      </c>
      <c r="B92" s="41"/>
      <c r="C92" s="19"/>
      <c r="D92" s="19">
        <f t="shared" si="5"/>
        <v>2494.4135529803048</v>
      </c>
      <c r="E92" s="4">
        <f t="shared" si="4"/>
        <v>0.38485999999999998</v>
      </c>
      <c r="F92" s="19"/>
      <c r="G92" s="1">
        <v>86</v>
      </c>
      <c r="I92" s="4"/>
    </row>
    <row r="93" spans="1:9">
      <c r="A93" s="1">
        <v>87</v>
      </c>
      <c r="B93" s="41"/>
      <c r="C93" s="19"/>
      <c r="D93" s="19">
        <f t="shared" si="5"/>
        <v>2610.7530390797097</v>
      </c>
      <c r="E93" s="4">
        <f t="shared" si="4"/>
        <v>0.36770999999999998</v>
      </c>
      <c r="F93" s="19"/>
      <c r="G93" s="1">
        <v>87</v>
      </c>
      <c r="I93" s="4"/>
    </row>
    <row r="94" spans="1:9">
      <c r="A94" s="1">
        <v>88</v>
      </c>
      <c r="B94" s="41"/>
      <c r="C94" s="19"/>
      <c r="D94" s="19">
        <f t="shared" si="5"/>
        <v>2740.1952389107714</v>
      </c>
      <c r="E94" s="4">
        <f t="shared" si="4"/>
        <v>0.3503400000000001</v>
      </c>
      <c r="F94" s="19"/>
      <c r="G94" s="1">
        <v>88</v>
      </c>
      <c r="I94" s="4"/>
    </row>
    <row r="95" spans="1:9">
      <c r="A95" s="1">
        <v>89</v>
      </c>
      <c r="B95" s="41"/>
      <c r="C95" s="25"/>
      <c r="D95" s="19">
        <f t="shared" si="5"/>
        <v>2885.0488354620588</v>
      </c>
      <c r="E95" s="4">
        <f t="shared" si="4"/>
        <v>0.33274999999999999</v>
      </c>
      <c r="F95" s="19"/>
      <c r="G95" s="1">
        <v>89</v>
      </c>
      <c r="I95" s="4"/>
    </row>
    <row r="96" spans="1:9">
      <c r="A96" s="1">
        <v>90</v>
      </c>
      <c r="B96" s="41"/>
      <c r="C96" s="25"/>
      <c r="D96" s="19">
        <f t="shared" si="5"/>
        <v>3048.1996570775386</v>
      </c>
      <c r="E96" s="4">
        <f t="shared" si="4"/>
        <v>0.31494</v>
      </c>
      <c r="F96" s="19"/>
      <c r="G96" s="1">
        <v>90</v>
      </c>
      <c r="I96" s="4"/>
    </row>
    <row r="97" spans="1:9">
      <c r="A97" s="1">
        <v>91</v>
      </c>
      <c r="B97" s="40"/>
      <c r="C97" s="25"/>
      <c r="D97" s="19">
        <f t="shared" si="5"/>
        <v>3233.3030211175101</v>
      </c>
      <c r="E97" s="4">
        <f t="shared" si="4"/>
        <v>0.29691000000000001</v>
      </c>
      <c r="F97" s="19"/>
      <c r="G97" s="1">
        <v>91</v>
      </c>
      <c r="I97" s="4"/>
    </row>
    <row r="98" spans="1:9">
      <c r="A98" s="1">
        <v>92</v>
      </c>
      <c r="B98" s="40"/>
      <c r="C98" s="25"/>
      <c r="D98" s="19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19"/>
      <c r="G98" s="1">
        <v>92</v>
      </c>
      <c r="I98" s="4"/>
    </row>
    <row r="99" spans="1:9">
      <c r="A99" s="1">
        <v>93</v>
      </c>
      <c r="B99" s="40"/>
      <c r="C99" s="25"/>
      <c r="D99" s="19">
        <f t="shared" si="5"/>
        <v>3689.6114377954582</v>
      </c>
      <c r="E99" s="4">
        <f t="shared" si="6"/>
        <v>0.26018999999999992</v>
      </c>
      <c r="F99" s="19"/>
      <c r="G99" s="1">
        <v>93</v>
      </c>
      <c r="I99" s="4"/>
    </row>
    <row r="100" spans="1:9">
      <c r="A100" s="1">
        <v>94</v>
      </c>
      <c r="B100" s="40"/>
      <c r="C100" s="25"/>
      <c r="D100" s="19">
        <f t="shared" si="5"/>
        <v>3975.1552795031066</v>
      </c>
      <c r="E100" s="4">
        <f t="shared" si="6"/>
        <v>0.24149999999999994</v>
      </c>
      <c r="F100" s="19"/>
      <c r="G100" s="1">
        <v>94</v>
      </c>
      <c r="I100" s="4"/>
    </row>
    <row r="101" spans="1:9">
      <c r="A101" s="1">
        <v>95</v>
      </c>
      <c r="B101" s="40"/>
      <c r="C101" s="25"/>
      <c r="D101" s="19">
        <f t="shared" si="5"/>
        <v>4312.8622130374242</v>
      </c>
      <c r="E101" s="4">
        <f t="shared" si="6"/>
        <v>0.22258999999999995</v>
      </c>
      <c r="F101" s="19"/>
      <c r="G101" s="1">
        <v>95</v>
      </c>
      <c r="I101" s="4"/>
    </row>
    <row r="102" spans="1:9">
      <c r="A102" s="1">
        <v>96</v>
      </c>
      <c r="B102" s="40"/>
      <c r="C102" s="25"/>
      <c r="D102" s="19">
        <f t="shared" si="5"/>
        <v>4718.3721616042467</v>
      </c>
      <c r="E102" s="4">
        <f t="shared" si="6"/>
        <v>0.20345999999999997</v>
      </c>
      <c r="F102" s="19"/>
      <c r="G102" s="1">
        <v>96</v>
      </c>
      <c r="I102" s="4"/>
    </row>
    <row r="103" spans="1:9">
      <c r="A103" s="1">
        <v>97</v>
      </c>
      <c r="B103" s="40"/>
      <c r="C103" s="25"/>
      <c r="D103" s="19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40"/>
      <c r="C104" s="25"/>
      <c r="D104" s="19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5"/>
      <c r="D105" s="19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9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>
      <c r="D107" s="19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T106"/>
  <sheetViews>
    <sheetView workbookViewId="0">
      <selection activeCell="K36" sqref="K36"/>
    </sheetView>
  </sheetViews>
  <sheetFormatPr defaultRowHeight="15"/>
  <cols>
    <col min="1" max="3" width="8.88671875" style="318"/>
    <col min="4" max="4" width="10.5546875" style="318" customWidth="1"/>
    <col min="5" max="5" width="9.6640625" style="318" customWidth="1"/>
    <col min="6" max="6" width="9.88671875" style="318" customWidth="1"/>
    <col min="7" max="7" width="10.77734375" style="318" customWidth="1"/>
    <col min="8" max="8" width="12.44140625" style="318" customWidth="1"/>
    <col min="9" max="9" width="12.77734375" style="318" customWidth="1"/>
    <col min="10" max="10" width="8.88671875" style="318"/>
    <col min="11" max="11" width="9" style="318" bestFit="1" customWidth="1"/>
    <col min="12" max="12" width="8.88671875" style="318"/>
    <col min="13" max="13" width="9" style="318" bestFit="1" customWidth="1"/>
    <col min="14" max="14" width="14" style="318" customWidth="1"/>
    <col min="15" max="15" width="8.88671875" style="318"/>
    <col min="16" max="16" width="34.109375" style="318" customWidth="1"/>
    <col min="17" max="17" width="22.6640625" style="318" customWidth="1"/>
    <col min="18" max="18" width="10.88671875" style="318" customWidth="1"/>
    <col min="19" max="19" width="9.77734375" style="318" bestFit="1" customWidth="1"/>
    <col min="20" max="16384" width="8.88671875" style="318"/>
  </cols>
  <sheetData>
    <row r="1" spans="1:19" ht="47.25">
      <c r="A1" s="220" t="s">
        <v>2380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J1" s="246"/>
      <c r="M1" s="224"/>
    </row>
    <row r="2" spans="1:19" ht="22.5">
      <c r="A2" s="220"/>
      <c r="B2" s="221"/>
      <c r="C2" s="222"/>
      <c r="D2" s="223"/>
      <c r="E2" s="223"/>
      <c r="F2" s="328">
        <f>(+H$3-H$4)*F$4/2</f>
        <v>1.6E-2</v>
      </c>
      <c r="G2" s="329">
        <f>(+I$4-I$3)*G$4/2</f>
        <v>9.1759499999999994E-2</v>
      </c>
      <c r="H2" s="225"/>
      <c r="I2" s="225"/>
      <c r="J2" s="246"/>
      <c r="M2" s="224"/>
    </row>
    <row r="3" spans="1:19" ht="15" customHeight="1">
      <c r="A3" s="220"/>
      <c r="B3" s="221"/>
      <c r="C3" s="222"/>
      <c r="D3" s="223"/>
      <c r="E3" s="223"/>
      <c r="F3" s="328">
        <f>F4/(2*(+H3-H4))</f>
        <v>4.0000000000000001E-3</v>
      </c>
      <c r="G3" s="329">
        <f>G4/(2*(+I4-I3))</f>
        <v>2.5687830687830688E-4</v>
      </c>
      <c r="H3" s="226">
        <v>19</v>
      </c>
      <c r="I3" s="321">
        <v>30.1</v>
      </c>
      <c r="J3" s="281" t="s">
        <v>154</v>
      </c>
      <c r="M3" s="224"/>
    </row>
    <row r="4" spans="1:19" ht="15.75">
      <c r="A4" s="221"/>
      <c r="B4" s="221"/>
      <c r="C4" s="221"/>
      <c r="D4" s="228">
        <f>Parameters!$G$12</f>
        <v>3.0208333333333333E-3</v>
      </c>
      <c r="E4" s="229">
        <f>D4*1440</f>
        <v>4.3499999999999996</v>
      </c>
      <c r="F4" s="219">
        <v>1.6E-2</v>
      </c>
      <c r="G4" s="230">
        <v>9.7099999999999999E-3</v>
      </c>
      <c r="H4" s="226">
        <v>17</v>
      </c>
      <c r="I4" s="321">
        <v>49</v>
      </c>
      <c r="J4" s="283" t="s">
        <v>56</v>
      </c>
      <c r="M4" s="224"/>
    </row>
    <row r="5" spans="1:19" ht="15.75">
      <c r="A5" s="221"/>
      <c r="B5" s="221"/>
      <c r="C5" s="221"/>
      <c r="D5" s="228"/>
      <c r="E5" s="221">
        <f>E4*60</f>
        <v>261</v>
      </c>
      <c r="F5" s="219">
        <v>6.9999999999999999E-4</v>
      </c>
      <c r="G5" s="230">
        <v>4.6999999999999999E-4</v>
      </c>
      <c r="H5" s="226">
        <v>15</v>
      </c>
      <c r="I5" s="321">
        <v>78.5</v>
      </c>
      <c r="J5" s="283" t="s">
        <v>57</v>
      </c>
      <c r="M5" s="224"/>
    </row>
    <row r="6" spans="1:19" ht="78.75">
      <c r="A6" s="232" t="s">
        <v>70</v>
      </c>
      <c r="B6" s="232" t="s">
        <v>989</v>
      </c>
      <c r="C6" s="232" t="s">
        <v>990</v>
      </c>
      <c r="D6" s="232" t="s">
        <v>1066</v>
      </c>
      <c r="E6" s="232" t="s">
        <v>1025</v>
      </c>
      <c r="F6" s="222" t="s">
        <v>2376</v>
      </c>
      <c r="G6" s="232" t="s">
        <v>959</v>
      </c>
      <c r="H6" s="284" t="s">
        <v>1067</v>
      </c>
      <c r="I6" s="235" t="s">
        <v>992</v>
      </c>
      <c r="J6" s="232" t="s">
        <v>2302</v>
      </c>
      <c r="K6" s="232" t="s">
        <v>735</v>
      </c>
      <c r="L6" s="224" t="s">
        <v>1184</v>
      </c>
      <c r="M6" s="224" t="s">
        <v>428</v>
      </c>
      <c r="N6" s="318" t="s">
        <v>429</v>
      </c>
      <c r="O6" s="318" t="s">
        <v>430</v>
      </c>
      <c r="P6" s="318" t="s">
        <v>432</v>
      </c>
      <c r="Q6" s="318" t="s">
        <v>433</v>
      </c>
      <c r="R6" s="318" t="s">
        <v>434</v>
      </c>
      <c r="S6" s="318" t="s">
        <v>1180</v>
      </c>
    </row>
    <row r="7" spans="1:19">
      <c r="A7" s="224">
        <v>1</v>
      </c>
      <c r="D7" s="224"/>
      <c r="E7" s="224"/>
    </row>
    <row r="8" spans="1:19">
      <c r="A8" s="224">
        <v>2</v>
      </c>
      <c r="D8" s="224"/>
      <c r="E8" s="224"/>
    </row>
    <row r="9" spans="1:19">
      <c r="A9" s="224">
        <v>3</v>
      </c>
      <c r="D9" s="231"/>
      <c r="E9" s="246"/>
      <c r="G9" s="429">
        <v>6.7758899676375401</v>
      </c>
      <c r="H9" s="429"/>
      <c r="I9" s="429"/>
    </row>
    <row r="10" spans="1:19">
      <c r="A10" s="224">
        <v>4</v>
      </c>
      <c r="D10" s="231">
        <f t="shared" ref="D10:D72" si="0">E$4/E10</f>
        <v>6.292492405612613</v>
      </c>
      <c r="E10" s="246">
        <f t="shared" ref="E10:E19" si="1">ROUND(1-IF(A10&gt;=H$3,0,IF(A10&gt;=H$4,F$3*(A10-H$3)^2,F$2+F$4*(H$4-A10)+(A10&lt;H$5)*F$5*(H$5-A10)^2)),4)</f>
        <v>0.69130000000000003</v>
      </c>
      <c r="G10" s="429">
        <v>6.4612565697478184</v>
      </c>
      <c r="H10" s="429"/>
      <c r="I10" s="429"/>
    </row>
    <row r="11" spans="1:19">
      <c r="A11" s="224">
        <v>5</v>
      </c>
      <c r="D11" s="231">
        <f t="shared" si="0"/>
        <v>6.0249307479224372</v>
      </c>
      <c r="E11" s="246">
        <f t="shared" si="1"/>
        <v>0.72199999999999998</v>
      </c>
      <c r="G11" s="429">
        <v>6.1865189289012008</v>
      </c>
      <c r="H11" s="429"/>
      <c r="I11" s="429"/>
    </row>
    <row r="12" spans="1:19">
      <c r="A12" s="224">
        <v>6</v>
      </c>
      <c r="D12" s="231">
        <f t="shared" si="0"/>
        <v>5.789964062292027</v>
      </c>
      <c r="E12" s="246">
        <f t="shared" si="1"/>
        <v>0.75129999999999997</v>
      </c>
      <c r="G12" s="429">
        <v>5.9452504547672929</v>
      </c>
      <c r="H12" s="429"/>
      <c r="I12" s="429"/>
    </row>
    <row r="13" spans="1:19">
      <c r="A13" s="224">
        <v>7</v>
      </c>
      <c r="D13" s="231">
        <f t="shared" si="0"/>
        <v>5.5826488706365502</v>
      </c>
      <c r="E13" s="246">
        <f t="shared" si="1"/>
        <v>0.7792</v>
      </c>
      <c r="G13" s="429">
        <v>5.7323750855578375</v>
      </c>
      <c r="H13" s="429"/>
      <c r="I13" s="429"/>
    </row>
    <row r="14" spans="1:19">
      <c r="A14" s="224">
        <v>8</v>
      </c>
      <c r="D14" s="231">
        <f t="shared" si="0"/>
        <v>5.3990318977286833</v>
      </c>
      <c r="E14" s="246">
        <f t="shared" si="1"/>
        <v>0.80569999999999997</v>
      </c>
      <c r="G14" s="429">
        <v>5.5438335195068476</v>
      </c>
      <c r="H14" s="429"/>
      <c r="I14" s="429"/>
    </row>
    <row r="15" spans="1:19">
      <c r="A15" s="224">
        <v>9</v>
      </c>
      <c r="D15" s="231">
        <f t="shared" si="0"/>
        <v>5.2359171882522864</v>
      </c>
      <c r="E15" s="246">
        <f t="shared" si="1"/>
        <v>0.83079999999999998</v>
      </c>
      <c r="G15" s="429">
        <v>5.3763440860215059</v>
      </c>
      <c r="H15" s="429"/>
      <c r="I15" s="429"/>
    </row>
    <row r="16" spans="1:19">
      <c r="A16" s="224">
        <v>10</v>
      </c>
      <c r="D16" s="231">
        <f t="shared" si="0"/>
        <v>5.0906963136337033</v>
      </c>
      <c r="E16" s="246">
        <f t="shared" si="1"/>
        <v>0.85450000000000004</v>
      </c>
      <c r="G16" s="429">
        <v>5.227228398673688</v>
      </c>
      <c r="H16" s="243"/>
      <c r="I16" s="244"/>
    </row>
    <row r="17" spans="1:20">
      <c r="A17" s="224">
        <v>11</v>
      </c>
      <c r="D17" s="231">
        <f t="shared" si="0"/>
        <v>4.961222627737226</v>
      </c>
      <c r="E17" s="246">
        <f t="shared" si="1"/>
        <v>0.87680000000000002</v>
      </c>
      <c r="G17" s="429">
        <v>5.0942822384428226</v>
      </c>
      <c r="H17" s="429"/>
      <c r="I17" s="429"/>
    </row>
    <row r="18" spans="1:20">
      <c r="A18" s="224">
        <v>12</v>
      </c>
      <c r="D18" s="231">
        <f t="shared" si="0"/>
        <v>4.8457168319037534</v>
      </c>
      <c r="E18" s="246">
        <f t="shared" si="1"/>
        <v>0.89770000000000005</v>
      </c>
      <c r="G18" s="429">
        <v>4.975678586016115</v>
      </c>
      <c r="H18" s="429"/>
      <c r="I18" s="429"/>
    </row>
    <row r="19" spans="1:20">
      <c r="A19" s="224">
        <v>13</v>
      </c>
      <c r="D19" s="231">
        <f t="shared" si="0"/>
        <v>4.742695159180113</v>
      </c>
      <c r="E19" s="246">
        <f t="shared" si="1"/>
        <v>0.91720000000000002</v>
      </c>
      <c r="G19" s="429">
        <v>4.8698938799244074</v>
      </c>
      <c r="H19" s="429"/>
      <c r="I19" s="429"/>
    </row>
    <row r="20" spans="1:20">
      <c r="A20" s="224">
        <v>14</v>
      </c>
      <c r="D20" s="231">
        <f t="shared" si="0"/>
        <v>4.6509141451940552</v>
      </c>
      <c r="E20" s="246">
        <f t="shared" ref="E20:E40" si="2">ROUND(1-IF(A20&gt;=H$3,0,IF(A20&gt;=H$4,F$3*(A20-H$3)^2,F$2+F$4*(H$4-A20)+(A20&lt;H$5)*F$5*(H$5-A20)^2)),4)</f>
        <v>0.93530000000000002</v>
      </c>
      <c r="G20" s="429">
        <v>4.7756513061762718</v>
      </c>
      <c r="H20" s="429"/>
      <c r="I20" s="429"/>
    </row>
    <row r="21" spans="1:20">
      <c r="A21" s="224">
        <v>15</v>
      </c>
      <c r="D21" s="231">
        <f t="shared" si="0"/>
        <v>4.5693277310924367</v>
      </c>
      <c r="E21" s="246">
        <f t="shared" si="2"/>
        <v>0.95199999999999996</v>
      </c>
      <c r="G21" s="429">
        <v>4.6918767507002803</v>
      </c>
      <c r="H21" s="429"/>
      <c r="I21" s="429"/>
    </row>
    <row r="22" spans="1:20">
      <c r="A22" s="224">
        <v>16</v>
      </c>
      <c r="D22" s="231">
        <f t="shared" si="0"/>
        <v>4.4938016528925617</v>
      </c>
      <c r="E22" s="246">
        <f t="shared" si="2"/>
        <v>0.96799999999999997</v>
      </c>
      <c r="G22" s="429">
        <v>4.6143250688705235</v>
      </c>
      <c r="H22" s="429"/>
      <c r="I22" s="429"/>
    </row>
    <row r="23" spans="1:20">
      <c r="A23" s="224">
        <v>17</v>
      </c>
      <c r="D23" s="231">
        <f t="shared" si="0"/>
        <v>4.4207317073170724</v>
      </c>
      <c r="E23" s="246">
        <f t="shared" si="2"/>
        <v>0.98399999999999999</v>
      </c>
      <c r="G23" s="429">
        <v>4.5392953929539299</v>
      </c>
      <c r="H23" s="429"/>
      <c r="I23" s="429"/>
    </row>
    <row r="24" spans="1:20">
      <c r="A24" s="224">
        <v>18</v>
      </c>
      <c r="D24" s="231">
        <f t="shared" si="0"/>
        <v>4.3674698795180715</v>
      </c>
      <c r="E24" s="246">
        <f t="shared" si="2"/>
        <v>0.996</v>
      </c>
      <c r="G24" s="429">
        <v>4.4846050870147254</v>
      </c>
      <c r="H24" s="429"/>
      <c r="I24" s="429"/>
    </row>
    <row r="25" spans="1:20">
      <c r="A25" s="224">
        <v>19</v>
      </c>
      <c r="D25" s="231">
        <f t="shared" si="0"/>
        <v>4.3499999999999996</v>
      </c>
      <c r="E25" s="246">
        <f t="shared" si="2"/>
        <v>1</v>
      </c>
      <c r="G25" s="429">
        <v>4.4666666666666668</v>
      </c>
      <c r="H25" s="429"/>
      <c r="I25" s="429"/>
    </row>
    <row r="26" spans="1:20">
      <c r="A26" s="224">
        <v>20</v>
      </c>
      <c r="D26" s="231">
        <f t="shared" si="0"/>
        <v>4.3499999999999996</v>
      </c>
      <c r="E26" s="246">
        <f t="shared" si="2"/>
        <v>1</v>
      </c>
      <c r="G26" s="429">
        <v>4.4666666666666668</v>
      </c>
      <c r="H26" s="429"/>
      <c r="I26" s="429"/>
    </row>
    <row r="27" spans="1:20" ht="15.75">
      <c r="A27" s="224">
        <v>21</v>
      </c>
      <c r="B27" s="322">
        <v>3.0208333333333333E-3</v>
      </c>
      <c r="C27" s="231">
        <f>B27*1440</f>
        <v>4.3499999999999996</v>
      </c>
      <c r="D27" s="231">
        <f t="shared" si="0"/>
        <v>4.3499999999999996</v>
      </c>
      <c r="E27" s="246">
        <f>ROUND(1-IF(A27&lt;I$3,0,IF(A27&lt;I$4,G$3*(A27-I$3)^2,G$2+G$4*(A27-I$4)+(A27&gt;I$5)*G$5*(A27-I$5)^2)),4)</f>
        <v>1</v>
      </c>
      <c r="G27" s="429">
        <v>4.4666666666666668</v>
      </c>
      <c r="H27" s="429"/>
      <c r="I27" s="429"/>
      <c r="J27" s="413">
        <v>21</v>
      </c>
      <c r="K27" s="414" t="s">
        <v>2381</v>
      </c>
      <c r="L27" s="413"/>
      <c r="M27" s="413" t="s">
        <v>2383</v>
      </c>
      <c r="N27" s="413" t="s">
        <v>2382</v>
      </c>
      <c r="O27" s="415" t="s">
        <v>272</v>
      </c>
      <c r="P27" s="413" t="s">
        <v>2303</v>
      </c>
      <c r="Q27" s="413" t="s">
        <v>2304</v>
      </c>
      <c r="R27" s="416">
        <v>45200</v>
      </c>
      <c r="S27" s="174" t="s">
        <v>976</v>
      </c>
      <c r="T27" s="412"/>
    </row>
    <row r="28" spans="1:20">
      <c r="A28" s="224">
        <v>22</v>
      </c>
      <c r="D28" s="231">
        <f t="shared" si="0"/>
        <v>4.3499999999999996</v>
      </c>
      <c r="E28" s="246">
        <f t="shared" si="2"/>
        <v>1</v>
      </c>
      <c r="G28" s="429">
        <v>4.4666666666666668</v>
      </c>
      <c r="H28" s="429"/>
      <c r="I28" s="429"/>
    </row>
    <row r="29" spans="1:20">
      <c r="A29" s="224">
        <v>23</v>
      </c>
      <c r="D29" s="231">
        <f t="shared" si="0"/>
        <v>4.3499999999999996</v>
      </c>
      <c r="E29" s="246">
        <f t="shared" si="2"/>
        <v>1</v>
      </c>
      <c r="G29" s="429">
        <v>4.4666666666666668</v>
      </c>
      <c r="H29" s="429"/>
      <c r="I29" s="429"/>
    </row>
    <row r="30" spans="1:20">
      <c r="A30" s="224">
        <v>24</v>
      </c>
      <c r="D30" s="231">
        <f t="shared" si="0"/>
        <v>4.3499999999999996</v>
      </c>
      <c r="E30" s="246">
        <f t="shared" si="2"/>
        <v>1</v>
      </c>
      <c r="G30" s="429">
        <v>4.4666666666666668</v>
      </c>
      <c r="H30" s="429"/>
      <c r="I30" s="429"/>
    </row>
    <row r="31" spans="1:20">
      <c r="A31" s="224">
        <v>25</v>
      </c>
      <c r="D31" s="231">
        <f t="shared" si="0"/>
        <v>4.3499999999999996</v>
      </c>
      <c r="E31" s="246">
        <f t="shared" si="2"/>
        <v>1</v>
      </c>
      <c r="G31" s="429">
        <v>4.4666666666666668</v>
      </c>
      <c r="H31" s="429"/>
      <c r="I31" s="429"/>
    </row>
    <row r="32" spans="1:20">
      <c r="A32" s="224">
        <v>26</v>
      </c>
      <c r="D32" s="231">
        <f t="shared" si="0"/>
        <v>4.3499999999999996</v>
      </c>
      <c r="E32" s="246">
        <f t="shared" si="2"/>
        <v>1</v>
      </c>
      <c r="G32" s="429">
        <v>4.4666666666666668</v>
      </c>
      <c r="H32" s="429"/>
      <c r="I32" s="429"/>
    </row>
    <row r="33" spans="1:18">
      <c r="A33" s="224">
        <v>27</v>
      </c>
      <c r="D33" s="231">
        <f t="shared" si="0"/>
        <v>4.3499999999999996</v>
      </c>
      <c r="E33" s="246">
        <f t="shared" si="2"/>
        <v>1</v>
      </c>
      <c r="G33" s="429">
        <v>4.4666666666666668</v>
      </c>
      <c r="H33" s="429"/>
      <c r="I33" s="429"/>
    </row>
    <row r="34" spans="1:18">
      <c r="A34" s="224">
        <v>28</v>
      </c>
      <c r="D34" s="231">
        <f t="shared" si="0"/>
        <v>4.3499999999999996</v>
      </c>
      <c r="E34" s="246">
        <f t="shared" si="2"/>
        <v>1</v>
      </c>
      <c r="G34" s="429">
        <v>4.4666666666666668</v>
      </c>
      <c r="H34" s="429"/>
      <c r="I34" s="429"/>
    </row>
    <row r="35" spans="1:18">
      <c r="A35" s="224">
        <v>29</v>
      </c>
      <c r="D35" s="231">
        <f t="shared" si="0"/>
        <v>4.3499999999999996</v>
      </c>
      <c r="E35" s="246">
        <f t="shared" si="2"/>
        <v>1</v>
      </c>
      <c r="G35" s="429">
        <v>4.4666666666666668</v>
      </c>
      <c r="H35" s="429"/>
      <c r="I35" s="429"/>
    </row>
    <row r="36" spans="1:18">
      <c r="A36" s="224">
        <v>30</v>
      </c>
      <c r="D36" s="231">
        <f t="shared" si="0"/>
        <v>4.3499999999999996</v>
      </c>
      <c r="E36" s="246">
        <f t="shared" si="2"/>
        <v>1</v>
      </c>
      <c r="G36" s="429">
        <v>4.4666666666666668</v>
      </c>
      <c r="H36" s="429"/>
      <c r="I36" s="429"/>
    </row>
    <row r="37" spans="1:18">
      <c r="A37" s="224">
        <v>31</v>
      </c>
      <c r="D37" s="231">
        <f t="shared" si="0"/>
        <v>4.3499999999999996</v>
      </c>
      <c r="E37" s="246">
        <f t="shared" si="2"/>
        <v>1</v>
      </c>
      <c r="G37" s="429">
        <v>4.4675601787024073</v>
      </c>
      <c r="H37" s="429"/>
      <c r="I37" s="429"/>
    </row>
    <row r="38" spans="1:18">
      <c r="A38" s="224">
        <v>32</v>
      </c>
      <c r="D38" s="231">
        <f t="shared" si="0"/>
        <v>4.3499999999999996</v>
      </c>
      <c r="E38" s="246">
        <f t="shared" si="2"/>
        <v>1</v>
      </c>
      <c r="G38" s="429">
        <v>4.4711378044711383</v>
      </c>
      <c r="H38" s="429"/>
      <c r="I38" s="429"/>
    </row>
    <row r="39" spans="1:18">
      <c r="A39" s="224">
        <v>33</v>
      </c>
      <c r="D39" s="231">
        <f t="shared" si="0"/>
        <v>4.3499999999999996</v>
      </c>
      <c r="E39" s="246">
        <f t="shared" si="2"/>
        <v>1</v>
      </c>
      <c r="G39" s="429">
        <v>4.4769636831378836</v>
      </c>
      <c r="H39" s="429"/>
      <c r="I39" s="429"/>
    </row>
    <row r="40" spans="1:18">
      <c r="A40" s="224">
        <v>34</v>
      </c>
      <c r="D40" s="231">
        <f t="shared" si="0"/>
        <v>4.3499999999999996</v>
      </c>
      <c r="E40" s="246">
        <f t="shared" si="2"/>
        <v>1</v>
      </c>
      <c r="G40" s="429">
        <v>4.4850553937811695</v>
      </c>
      <c r="H40" s="429"/>
      <c r="I40" s="429"/>
    </row>
    <row r="41" spans="1:18">
      <c r="A41" s="224">
        <v>35</v>
      </c>
      <c r="D41" s="231">
        <f t="shared" si="0"/>
        <v>4.3771382571946065</v>
      </c>
      <c r="E41" s="246">
        <f>ROUND(1-IF(A41&lt;I$3,0,IF(A41&lt;I$4,G$3*(A41-I$3)^2,G$2+G$4*(A41-I$4)+(A41&gt;I$5)*G$5*(A41-I$5)^2)),4)</f>
        <v>0.99380000000000002</v>
      </c>
      <c r="G41" s="429">
        <v>4.4958899513504447</v>
      </c>
      <c r="H41" s="429"/>
      <c r="I41" s="429"/>
    </row>
    <row r="42" spans="1:18">
      <c r="A42" s="224">
        <v>36</v>
      </c>
      <c r="D42" s="231">
        <f t="shared" si="0"/>
        <v>4.3890626576531124</v>
      </c>
      <c r="E42" s="246">
        <f>ROUND(1-IF(A42&lt;I$3,0,IF(A42&lt;I$4,G$3*(A42-I$3)^2,G$2+G$4*(A42-I$4)+(A42&gt;I$5)*G$5*(A42-I$5)^2)),4)</f>
        <v>0.99109999999999998</v>
      </c>
      <c r="G42" s="429">
        <v>4.5090517531462408</v>
      </c>
      <c r="H42" s="429"/>
      <c r="I42" s="429"/>
    </row>
    <row r="43" spans="1:18">
      <c r="A43" s="224">
        <v>37</v>
      </c>
      <c r="D43" s="231">
        <f t="shared" si="0"/>
        <v>4.4037254504960517</v>
      </c>
      <c r="E43" s="246">
        <f>ROUND(1-IF(A43&lt;I$3,0,IF(A43&lt;I$4,G$3*(A43-I$3)^2,G$2+G$4*(A43-I$4)+(A43&gt;I$5)*G$5*(A43-I$5)^2)),4)</f>
        <v>0.98780000000000001</v>
      </c>
      <c r="G43" s="429">
        <v>4.525039678519569</v>
      </c>
      <c r="H43" s="429"/>
      <c r="I43" s="429"/>
    </row>
    <row r="44" spans="1:18">
      <c r="A44" s="224">
        <v>38</v>
      </c>
      <c r="D44" s="231">
        <f t="shared" si="0"/>
        <v>4.4207317073170724</v>
      </c>
      <c r="E44" s="246">
        <f>ROUND(1-IF(A44&lt;I$3,0,IF(A44&lt;I$4,G$3*(A44-I$3)^2,G$2+G$4*(A44-I$4)+(A44&gt;I$5)*G$5*(A44-I$5)^2)),4)</f>
        <v>0.98399999999999999</v>
      </c>
      <c r="G44" s="429">
        <v>4.5434509883701217</v>
      </c>
      <c r="H44" s="429"/>
      <c r="I44" s="429"/>
    </row>
    <row r="45" spans="1:18">
      <c r="A45" s="224">
        <v>39</v>
      </c>
      <c r="D45" s="231">
        <f t="shared" si="0"/>
        <v>4.4401347351229967</v>
      </c>
      <c r="E45" s="246">
        <f>ROUND(1-IF(A45&lt;I$3,0,IF(A45&lt;I$4,G$3*(A45-I$3)^2,G$2+G$4*(A45-I$4)+(A45&gt;I$5)*G$5*(A45-I$5)^2)),4)</f>
        <v>0.97970000000000002</v>
      </c>
      <c r="G45" s="429">
        <v>4.5648100834610794</v>
      </c>
      <c r="H45" s="429"/>
      <c r="I45" s="429"/>
    </row>
    <row r="46" spans="1:18" ht="21" customHeight="1">
      <c r="A46" s="224">
        <v>40</v>
      </c>
      <c r="B46" s="322">
        <v>3.3217592592592591E-3</v>
      </c>
      <c r="C46" s="231">
        <f t="shared" ref="C46:C88" si="3">B46*1440</f>
        <v>4.7833333333333332</v>
      </c>
      <c r="D46" s="231">
        <f t="shared" si="0"/>
        <v>4.4624538366844479</v>
      </c>
      <c r="E46" s="246">
        <f t="shared" ref="E46:E106" si="4">ROUND(1-IF(A46&lt;I$3,0,IF(A46&lt;I$4,G$3*(A46-I$3)^2,G$2+G$4*(A46-I$4)+(A46&gt;I$5)*G$5*(A46-I$5)^2)),4)</f>
        <v>0.9748</v>
      </c>
      <c r="F46" s="25">
        <v>4.833333333333333</v>
      </c>
      <c r="G46" s="429">
        <v>4.5887267995342782</v>
      </c>
      <c r="H46" s="429">
        <f>100*+G46/+F46</f>
        <v>94.93917516277817</v>
      </c>
      <c r="I46" s="429">
        <f>100*+D46/+C46</f>
        <v>93.291717840092986</v>
      </c>
      <c r="J46" s="422">
        <v>40</v>
      </c>
      <c r="K46" s="428">
        <v>0.19930555555555554</v>
      </c>
      <c r="L46" s="422">
        <v>287</v>
      </c>
      <c r="M46" s="422" t="s">
        <v>2305</v>
      </c>
      <c r="N46" s="422" t="s">
        <v>2306</v>
      </c>
      <c r="O46" s="422" t="s">
        <v>241</v>
      </c>
      <c r="P46" s="422" t="s">
        <v>2307</v>
      </c>
      <c r="Q46" s="422" t="s">
        <v>2308</v>
      </c>
      <c r="R46" s="423">
        <v>44764</v>
      </c>
    </row>
    <row r="47" spans="1:18" ht="16.5" customHeight="1">
      <c r="A47" s="224">
        <v>41</v>
      </c>
      <c r="B47" s="322">
        <v>3.8078703703703707E-3</v>
      </c>
      <c r="C47" s="231">
        <f t="shared" si="3"/>
        <v>5.4833333333333343</v>
      </c>
      <c r="D47" s="231">
        <f t="shared" si="0"/>
        <v>4.4868488911810207</v>
      </c>
      <c r="E47" s="246">
        <f t="shared" si="4"/>
        <v>0.96950000000000003</v>
      </c>
      <c r="F47" s="25">
        <v>5.4833333333333343</v>
      </c>
      <c r="G47" s="429">
        <v>4.6152786388372258</v>
      </c>
      <c r="H47" s="429"/>
      <c r="I47" s="429"/>
      <c r="J47" s="422">
        <v>41</v>
      </c>
      <c r="K47" s="422" t="s">
        <v>2309</v>
      </c>
      <c r="L47" s="422">
        <v>329</v>
      </c>
      <c r="M47" s="422" t="s">
        <v>2310</v>
      </c>
      <c r="N47" s="422" t="s">
        <v>2311</v>
      </c>
      <c r="O47" s="422" t="s">
        <v>241</v>
      </c>
      <c r="P47" s="422" t="s">
        <v>2312</v>
      </c>
      <c r="Q47" s="422" t="s">
        <v>2313</v>
      </c>
      <c r="R47" s="423">
        <v>42237</v>
      </c>
    </row>
    <row r="48" spans="1:18" ht="21" customHeight="1">
      <c r="A48" s="224">
        <v>42</v>
      </c>
      <c r="B48" s="322">
        <v>3.3912037037037036E-3</v>
      </c>
      <c r="C48" s="231">
        <f t="shared" si="3"/>
        <v>4.8833333333333329</v>
      </c>
      <c r="D48" s="231">
        <f t="shared" si="0"/>
        <v>4.5143212951432128</v>
      </c>
      <c r="E48" s="246">
        <f t="shared" si="4"/>
        <v>0.96360000000000001</v>
      </c>
      <c r="F48" s="25">
        <v>4.8833333333333329</v>
      </c>
      <c r="G48" s="429">
        <v>4.645036051026068</v>
      </c>
      <c r="H48" s="429"/>
      <c r="I48" s="429"/>
      <c r="J48" s="422">
        <v>42</v>
      </c>
      <c r="K48" s="422" t="s">
        <v>2314</v>
      </c>
      <c r="L48" s="422">
        <v>293</v>
      </c>
      <c r="M48" s="422" t="s">
        <v>2315</v>
      </c>
      <c r="N48" s="422" t="s">
        <v>2316</v>
      </c>
      <c r="O48" s="422" t="s">
        <v>241</v>
      </c>
      <c r="P48" s="422" t="s">
        <v>2312</v>
      </c>
      <c r="Q48" s="422" t="s">
        <v>2308</v>
      </c>
      <c r="R48" s="423">
        <v>41495</v>
      </c>
    </row>
    <row r="49" spans="1:18">
      <c r="A49" s="224">
        <v>43</v>
      </c>
      <c r="B49" s="322">
        <v>3.472222222222222E-3</v>
      </c>
      <c r="C49" s="231">
        <f t="shared" si="3"/>
        <v>5</v>
      </c>
      <c r="D49" s="231">
        <f t="shared" si="0"/>
        <v>4.5440300846129738</v>
      </c>
      <c r="E49" s="246">
        <f t="shared" si="4"/>
        <v>0.95730000000000004</v>
      </c>
      <c r="F49" s="25">
        <v>5</v>
      </c>
      <c r="G49" s="429">
        <v>4.6776276748001537</v>
      </c>
      <c r="H49" s="429"/>
      <c r="I49" s="429"/>
      <c r="J49" s="421">
        <v>43</v>
      </c>
      <c r="K49" s="421"/>
      <c r="L49" s="421"/>
      <c r="M49" s="422"/>
      <c r="N49" s="422"/>
      <c r="O49" s="421"/>
      <c r="P49" s="422"/>
      <c r="Q49" s="422"/>
      <c r="R49" s="423"/>
    </row>
    <row r="50" spans="1:18">
      <c r="A50" s="224">
        <v>44</v>
      </c>
      <c r="B50" s="322">
        <v>3.4375E-3</v>
      </c>
      <c r="C50" s="231">
        <f t="shared" si="3"/>
        <v>4.95</v>
      </c>
      <c r="D50" s="231">
        <f t="shared" si="0"/>
        <v>4.5770202020202015</v>
      </c>
      <c r="E50" s="246">
        <f t="shared" si="4"/>
        <v>0.95040000000000002</v>
      </c>
      <c r="F50" s="25">
        <v>4.95</v>
      </c>
      <c r="G50" s="429">
        <v>4.7136625861826369</v>
      </c>
      <c r="H50" s="429"/>
      <c r="I50" s="429"/>
      <c r="J50" s="421">
        <v>44</v>
      </c>
      <c r="K50" s="421"/>
      <c r="L50" s="421"/>
      <c r="M50" s="422"/>
      <c r="N50" s="422"/>
      <c r="O50" s="421"/>
      <c r="P50" s="422"/>
      <c r="Q50" s="422"/>
      <c r="R50" s="423"/>
    </row>
    <row r="51" spans="1:18">
      <c r="A51" s="224">
        <v>45</v>
      </c>
      <c r="B51" s="322">
        <v>3.7152777777777774E-3</v>
      </c>
      <c r="C51" s="231">
        <f t="shared" si="3"/>
        <v>5.35</v>
      </c>
      <c r="D51" s="231">
        <f t="shared" si="0"/>
        <v>4.6129374337221636</v>
      </c>
      <c r="E51" s="246">
        <f t="shared" si="4"/>
        <v>0.94299999999999995</v>
      </c>
      <c r="F51" s="25">
        <v>5.35</v>
      </c>
      <c r="G51" s="429">
        <v>4.7527842803433353</v>
      </c>
      <c r="H51" s="429"/>
      <c r="I51" s="429"/>
      <c r="J51" s="419">
        <v>45</v>
      </c>
      <c r="K51" s="424">
        <v>0.20624999999999999</v>
      </c>
      <c r="L51" s="419">
        <v>297</v>
      </c>
      <c r="M51" s="1" t="s">
        <v>2317</v>
      </c>
      <c r="N51" s="1" t="s">
        <v>2318</v>
      </c>
      <c r="O51" s="419" t="s">
        <v>241</v>
      </c>
      <c r="P51" s="1" t="s">
        <v>2319</v>
      </c>
      <c r="Q51" s="1" t="s">
        <v>2320</v>
      </c>
      <c r="R51" s="417">
        <v>44746</v>
      </c>
    </row>
    <row r="52" spans="1:18">
      <c r="A52" s="224">
        <v>46</v>
      </c>
      <c r="B52" s="322">
        <v>3.7615740740740739E-3</v>
      </c>
      <c r="C52" s="231">
        <f t="shared" si="3"/>
        <v>5.4166666666666661</v>
      </c>
      <c r="D52" s="231">
        <f t="shared" si="0"/>
        <v>4.6519088867500793</v>
      </c>
      <c r="E52" s="246">
        <f t="shared" si="4"/>
        <v>0.93510000000000004</v>
      </c>
      <c r="F52" s="25">
        <v>5.4166666666666661</v>
      </c>
      <c r="G52" s="429">
        <v>4.7956481282656931</v>
      </c>
      <c r="H52" s="429"/>
      <c r="I52" s="429"/>
      <c r="J52" s="419">
        <v>46</v>
      </c>
      <c r="K52" s="424"/>
      <c r="L52" s="419"/>
      <c r="M52" s="1"/>
      <c r="N52" s="1"/>
      <c r="O52" s="419"/>
      <c r="P52" s="1"/>
      <c r="Q52" s="1"/>
      <c r="R52" s="417"/>
    </row>
    <row r="53" spans="1:18" ht="19.5" customHeight="1">
      <c r="A53" s="224">
        <v>47</v>
      </c>
      <c r="B53" s="322">
        <v>3.5532407407407405E-3</v>
      </c>
      <c r="C53" s="231">
        <f t="shared" si="3"/>
        <v>5.1166666666666663</v>
      </c>
      <c r="D53" s="231">
        <f t="shared" si="0"/>
        <v>4.6945823440535284</v>
      </c>
      <c r="E53" s="246">
        <f t="shared" si="4"/>
        <v>0.92659999999999998</v>
      </c>
      <c r="F53" s="25">
        <v>5.1166666666666663</v>
      </c>
      <c r="G53" s="429">
        <v>4.8419150858175248</v>
      </c>
      <c r="H53" s="429"/>
      <c r="I53" s="429"/>
      <c r="J53" s="418">
        <v>47</v>
      </c>
      <c r="K53" s="418" t="s">
        <v>2321</v>
      </c>
      <c r="L53" s="418">
        <v>307</v>
      </c>
      <c r="M53" s="418" t="s">
        <v>2315</v>
      </c>
      <c r="N53" s="418" t="s">
        <v>2316</v>
      </c>
      <c r="O53" s="419" t="s">
        <v>241</v>
      </c>
      <c r="P53" s="418" t="s">
        <v>2322</v>
      </c>
      <c r="Q53" s="418" t="s">
        <v>426</v>
      </c>
      <c r="R53" s="420">
        <v>43373</v>
      </c>
    </row>
    <row r="54" spans="1:18" ht="22.5" customHeight="1">
      <c r="A54" s="224">
        <v>48</v>
      </c>
      <c r="B54" s="322">
        <v>3.5416666666666665E-3</v>
      </c>
      <c r="C54" s="231">
        <f t="shared" si="3"/>
        <v>5.0999999999999996</v>
      </c>
      <c r="D54" s="231">
        <f t="shared" si="0"/>
        <v>4.7401111474338018</v>
      </c>
      <c r="E54" s="246">
        <f t="shared" si="4"/>
        <v>0.91769999999999996</v>
      </c>
      <c r="F54" s="25">
        <v>5.0999999999999996</v>
      </c>
      <c r="G54" s="429">
        <v>4.8917606687839958</v>
      </c>
      <c r="H54" s="429"/>
      <c r="I54" s="429"/>
      <c r="J54" s="418">
        <v>48</v>
      </c>
      <c r="K54" s="418" t="s">
        <v>2323</v>
      </c>
      <c r="L54" s="418">
        <v>306</v>
      </c>
      <c r="M54" s="418" t="s">
        <v>2315</v>
      </c>
      <c r="N54" s="418" t="s">
        <v>2316</v>
      </c>
      <c r="O54" s="419" t="s">
        <v>241</v>
      </c>
      <c r="P54" s="418" t="s">
        <v>2312</v>
      </c>
      <c r="Q54" s="418" t="s">
        <v>2313</v>
      </c>
      <c r="R54" s="420">
        <v>43700</v>
      </c>
    </row>
    <row r="55" spans="1:18">
      <c r="A55" s="224">
        <v>49</v>
      </c>
      <c r="C55" s="231"/>
      <c r="D55" s="231">
        <f t="shared" si="0"/>
        <v>4.7896939000220211</v>
      </c>
      <c r="E55" s="246">
        <f t="shared" si="4"/>
        <v>0.90820000000000001</v>
      </c>
      <c r="F55" s="25"/>
      <c r="G55" s="429">
        <v>4.9442845546454137</v>
      </c>
      <c r="H55" s="429"/>
      <c r="I55" s="429"/>
      <c r="J55" s="418">
        <v>49</v>
      </c>
      <c r="K55" s="418"/>
      <c r="L55" s="418"/>
      <c r="M55" s="418"/>
      <c r="N55" s="418"/>
      <c r="O55" s="419"/>
      <c r="P55" s="418"/>
      <c r="Q55" s="418"/>
      <c r="R55" s="420"/>
    </row>
    <row r="56" spans="1:18" ht="21" customHeight="1">
      <c r="A56" s="224">
        <v>50</v>
      </c>
      <c r="B56" s="322">
        <v>3.9930555555555561E-3</v>
      </c>
      <c r="C56" s="231">
        <f t="shared" si="3"/>
        <v>5.7500000000000009</v>
      </c>
      <c r="D56" s="231">
        <f t="shared" si="0"/>
        <v>4.8414023372287147</v>
      </c>
      <c r="E56" s="246">
        <f t="shared" si="4"/>
        <v>0.89849999999999997</v>
      </c>
      <c r="F56" s="25">
        <v>5.7500000000000009</v>
      </c>
      <c r="G56" s="429">
        <v>4.99794860318526</v>
      </c>
      <c r="H56" s="429"/>
      <c r="I56" s="429"/>
      <c r="J56" s="418">
        <v>50</v>
      </c>
      <c r="K56" s="418" t="s">
        <v>2324</v>
      </c>
      <c r="L56" s="418">
        <v>345</v>
      </c>
      <c r="M56" s="418" t="s">
        <v>2016</v>
      </c>
      <c r="N56" s="418" t="s">
        <v>2325</v>
      </c>
      <c r="O56" s="419" t="s">
        <v>241</v>
      </c>
      <c r="P56" s="418" t="s">
        <v>2312</v>
      </c>
      <c r="Q56" s="418" t="s">
        <v>2313</v>
      </c>
      <c r="R56" s="420">
        <v>42237</v>
      </c>
    </row>
    <row r="57" spans="1:18">
      <c r="A57" s="224">
        <v>51</v>
      </c>
      <c r="B57" s="322">
        <v>3.6805555555555554E-3</v>
      </c>
      <c r="C57" s="231">
        <f t="shared" si="3"/>
        <v>5.3</v>
      </c>
      <c r="D57" s="231">
        <f t="shared" si="0"/>
        <v>4.8942394239423939</v>
      </c>
      <c r="E57" s="246">
        <f t="shared" si="4"/>
        <v>0.88880000000000003</v>
      </c>
      <c r="F57" s="25">
        <v>5.3</v>
      </c>
      <c r="G57" s="429">
        <v>5.0527903469079938</v>
      </c>
      <c r="H57" s="429"/>
      <c r="I57" s="429"/>
      <c r="J57" s="418">
        <v>51</v>
      </c>
      <c r="K57" s="418" t="s">
        <v>2326</v>
      </c>
      <c r="L57" s="418">
        <v>318</v>
      </c>
      <c r="M57" s="418" t="s">
        <v>2327</v>
      </c>
      <c r="N57" s="418" t="s">
        <v>2328</v>
      </c>
      <c r="O57" s="419" t="s">
        <v>241</v>
      </c>
      <c r="P57" s="418" t="s">
        <v>2312</v>
      </c>
      <c r="Q57" s="418" t="s">
        <v>2308</v>
      </c>
      <c r="R57" s="420">
        <v>41495</v>
      </c>
    </row>
    <row r="58" spans="1:18">
      <c r="A58" s="224">
        <v>52</v>
      </c>
      <c r="B58" s="322">
        <v>3.7037037037037038E-3</v>
      </c>
      <c r="C58" s="231">
        <f t="shared" si="3"/>
        <v>5.3333333333333339</v>
      </c>
      <c r="D58" s="231">
        <f t="shared" si="0"/>
        <v>4.9482425207598677</v>
      </c>
      <c r="E58" s="246">
        <f t="shared" si="4"/>
        <v>0.87909999999999999</v>
      </c>
      <c r="F58" s="25">
        <v>5.3833333333333337</v>
      </c>
      <c r="G58" s="429">
        <v>5.1088489839490645</v>
      </c>
      <c r="H58" s="429"/>
      <c r="I58" s="429"/>
      <c r="J58" s="418">
        <v>52</v>
      </c>
      <c r="K58" s="425">
        <v>0.22222222222222221</v>
      </c>
      <c r="L58" s="418">
        <v>320</v>
      </c>
      <c r="M58" s="418" t="s">
        <v>1245</v>
      </c>
      <c r="N58" s="418" t="s">
        <v>1246</v>
      </c>
      <c r="O58" s="419" t="s">
        <v>241</v>
      </c>
      <c r="P58" s="426" t="s">
        <v>2329</v>
      </c>
      <c r="Q58" s="116" t="s">
        <v>2330</v>
      </c>
      <c r="R58" s="118">
        <v>45101</v>
      </c>
    </row>
    <row r="59" spans="1:18">
      <c r="A59" s="224">
        <v>53</v>
      </c>
      <c r="B59" s="322">
        <v>3.7615740740740739E-3</v>
      </c>
      <c r="C59" s="231">
        <f t="shared" si="3"/>
        <v>5.4166666666666661</v>
      </c>
      <c r="D59" s="231">
        <f t="shared" si="0"/>
        <v>5.0034506556245688</v>
      </c>
      <c r="E59" s="246">
        <f t="shared" si="4"/>
        <v>0.86939999999999995</v>
      </c>
      <c r="F59" s="25">
        <v>5.45</v>
      </c>
      <c r="G59" s="429">
        <v>5.1667630614999034</v>
      </c>
      <c r="H59" s="429"/>
      <c r="I59" s="429"/>
      <c r="J59" s="418">
        <v>53</v>
      </c>
      <c r="K59" s="425">
        <v>0.22569444444444445</v>
      </c>
      <c r="L59" s="418">
        <v>325</v>
      </c>
      <c r="M59" s="418" t="s">
        <v>2315</v>
      </c>
      <c r="N59" s="418" t="s">
        <v>2316</v>
      </c>
      <c r="O59" s="419" t="s">
        <v>241</v>
      </c>
      <c r="P59" s="418" t="s">
        <v>2312</v>
      </c>
      <c r="Q59" s="418" t="s">
        <v>2331</v>
      </c>
      <c r="R59" s="420">
        <v>45523</v>
      </c>
    </row>
    <row r="60" spans="1:18">
      <c r="A60" s="224">
        <v>54</v>
      </c>
      <c r="B60" s="322">
        <v>3.8773148148148143E-3</v>
      </c>
      <c r="C60" s="231">
        <f t="shared" si="3"/>
        <v>5.583333333333333</v>
      </c>
      <c r="D60" s="231">
        <f t="shared" si="0"/>
        <v>5.0599046178899609</v>
      </c>
      <c r="E60" s="246">
        <f t="shared" si="4"/>
        <v>0.85970000000000002</v>
      </c>
      <c r="F60" s="25">
        <v>5.583333333333333</v>
      </c>
      <c r="G60" s="429">
        <v>5.2253938543128999</v>
      </c>
      <c r="H60" s="429"/>
      <c r="I60" s="429"/>
      <c r="J60" s="418">
        <v>54</v>
      </c>
      <c r="K60" s="418" t="s">
        <v>2332</v>
      </c>
      <c r="L60" s="418">
        <v>335</v>
      </c>
      <c r="M60" s="418" t="s">
        <v>2016</v>
      </c>
      <c r="N60" s="418" t="s">
        <v>2325</v>
      </c>
      <c r="O60" s="419" t="s">
        <v>241</v>
      </c>
      <c r="P60" s="418" t="s">
        <v>2312</v>
      </c>
      <c r="Q60" s="418" t="s">
        <v>2313</v>
      </c>
      <c r="R60" s="420">
        <v>43700</v>
      </c>
    </row>
    <row r="61" spans="1:18">
      <c r="A61" s="224">
        <v>55</v>
      </c>
      <c r="B61" s="322">
        <v>3.7615740740740739E-3</v>
      </c>
      <c r="C61" s="231">
        <f t="shared" si="3"/>
        <v>5.4166666666666661</v>
      </c>
      <c r="D61" s="231">
        <f t="shared" si="0"/>
        <v>5.117647058823529</v>
      </c>
      <c r="E61" s="246">
        <f t="shared" si="4"/>
        <v>0.85</v>
      </c>
      <c r="F61" s="25">
        <v>5.65</v>
      </c>
      <c r="G61" s="429">
        <v>5.2853705675856908</v>
      </c>
      <c r="H61" s="429"/>
      <c r="I61" s="429"/>
      <c r="J61" s="418">
        <v>55</v>
      </c>
      <c r="K61" s="427">
        <v>0.22569444444444445</v>
      </c>
      <c r="L61" s="171">
        <v>325</v>
      </c>
      <c r="M61" s="418" t="s">
        <v>314</v>
      </c>
      <c r="N61" s="418" t="s">
        <v>366</v>
      </c>
      <c r="O61" s="419" t="s">
        <v>241</v>
      </c>
      <c r="P61" s="426" t="s">
        <v>2329</v>
      </c>
      <c r="Q61" s="116" t="s">
        <v>2330</v>
      </c>
      <c r="R61" s="118">
        <v>45101</v>
      </c>
    </row>
    <row r="62" spans="1:18">
      <c r="A62" s="224">
        <v>56</v>
      </c>
      <c r="B62" s="322">
        <v>3.7847222222222223E-3</v>
      </c>
      <c r="C62" s="231">
        <f t="shared" si="3"/>
        <v>5.45</v>
      </c>
      <c r="D62" s="231">
        <f t="shared" si="0"/>
        <v>5.1767225990717591</v>
      </c>
      <c r="E62" s="246">
        <f t="shared" si="4"/>
        <v>0.84030000000000005</v>
      </c>
      <c r="F62" s="25">
        <v>5.4666666666666668</v>
      </c>
      <c r="G62" s="429">
        <v>5.3467400845902162</v>
      </c>
      <c r="H62" s="429"/>
      <c r="I62" s="429"/>
      <c r="J62" s="418">
        <v>56</v>
      </c>
      <c r="K62" s="425">
        <v>0.22708333333333333</v>
      </c>
      <c r="L62" s="418">
        <v>327</v>
      </c>
      <c r="M62" s="418" t="s">
        <v>2333</v>
      </c>
      <c r="N62" s="418" t="s">
        <v>2334</v>
      </c>
      <c r="O62" s="419" t="s">
        <v>241</v>
      </c>
      <c r="P62" s="418" t="s">
        <v>2312</v>
      </c>
      <c r="Q62" s="418" t="s">
        <v>2313</v>
      </c>
      <c r="R62" s="420">
        <v>43700</v>
      </c>
    </row>
    <row r="63" spans="1:18">
      <c r="A63" s="224">
        <v>57</v>
      </c>
      <c r="B63" s="322">
        <v>3.8425925925925923E-3</v>
      </c>
      <c r="C63" s="231">
        <f t="shared" si="3"/>
        <v>5.5333333333333332</v>
      </c>
      <c r="D63" s="231">
        <f t="shared" si="0"/>
        <v>5.2371779436551886</v>
      </c>
      <c r="E63" s="246">
        <f t="shared" si="4"/>
        <v>0.8306</v>
      </c>
      <c r="F63" s="25">
        <v>5.5333333333333332</v>
      </c>
      <c r="G63" s="429">
        <v>5.4095514916636391</v>
      </c>
      <c r="H63" s="429"/>
      <c r="I63" s="429"/>
      <c r="J63" s="418">
        <v>57</v>
      </c>
      <c r="K63" s="418" t="s">
        <v>2335</v>
      </c>
      <c r="L63" s="418">
        <v>332</v>
      </c>
      <c r="M63" s="418" t="s">
        <v>2327</v>
      </c>
      <c r="N63" s="418" t="s">
        <v>2328</v>
      </c>
      <c r="O63" s="419" t="s">
        <v>241</v>
      </c>
      <c r="P63" s="418" t="s">
        <v>2312</v>
      </c>
      <c r="Q63" s="418" t="s">
        <v>2313</v>
      </c>
      <c r="R63" s="420">
        <v>43700</v>
      </c>
    </row>
    <row r="64" spans="1:18">
      <c r="A64" s="224">
        <v>58</v>
      </c>
      <c r="B64" s="322">
        <v>3.8888888888888888E-3</v>
      </c>
      <c r="C64" s="231">
        <f t="shared" si="3"/>
        <v>5.6</v>
      </c>
      <c r="D64" s="231">
        <f t="shared" si="0"/>
        <v>5.299062005116336</v>
      </c>
      <c r="E64" s="246">
        <f t="shared" si="4"/>
        <v>0.82089999999999996</v>
      </c>
      <c r="F64" s="25">
        <v>5.9499999999999993</v>
      </c>
      <c r="G64" s="429">
        <v>5.4738562091503269</v>
      </c>
      <c r="H64" s="429"/>
      <c r="I64" s="429"/>
      <c r="J64" s="418">
        <v>58</v>
      </c>
      <c r="K64" s="425">
        <v>0.23333333333333331</v>
      </c>
      <c r="L64" s="418">
        <v>336</v>
      </c>
      <c r="M64" s="117" t="s">
        <v>2016</v>
      </c>
      <c r="N64" s="117" t="s">
        <v>2325</v>
      </c>
      <c r="O64" s="419" t="s">
        <v>241</v>
      </c>
      <c r="P64" s="426" t="s">
        <v>2329</v>
      </c>
      <c r="Q64" s="116" t="s">
        <v>2330</v>
      </c>
      <c r="R64" s="118">
        <v>45101</v>
      </c>
    </row>
    <row r="65" spans="1:18">
      <c r="A65" s="224">
        <v>59</v>
      </c>
      <c r="B65" s="322">
        <v>4.1435185185185186E-3</v>
      </c>
      <c r="C65" s="231">
        <f t="shared" si="3"/>
        <v>5.9666666666666668</v>
      </c>
      <c r="D65" s="231">
        <f t="shared" si="0"/>
        <v>5.3630871655776096</v>
      </c>
      <c r="E65" s="246">
        <f t="shared" si="4"/>
        <v>0.81110000000000004</v>
      </c>
      <c r="F65" s="25">
        <v>6.166666666666667</v>
      </c>
      <c r="G65" s="429">
        <v>5.539708131795444</v>
      </c>
      <c r="H65" s="429"/>
      <c r="I65" s="429"/>
      <c r="J65" s="418">
        <v>59</v>
      </c>
      <c r="K65" s="425">
        <v>0.24861111111111112</v>
      </c>
      <c r="L65" s="418">
        <v>358</v>
      </c>
      <c r="M65" s="418" t="s">
        <v>2336</v>
      </c>
      <c r="N65" s="418" t="s">
        <v>2337</v>
      </c>
      <c r="O65" s="419" t="s">
        <v>241</v>
      </c>
      <c r="P65" s="426" t="s">
        <v>2329</v>
      </c>
      <c r="Q65" s="116" t="s">
        <v>2330</v>
      </c>
      <c r="R65" s="118">
        <v>45101</v>
      </c>
    </row>
    <row r="66" spans="1:18">
      <c r="A66" s="224">
        <v>60</v>
      </c>
      <c r="B66" s="322">
        <v>4.0046296296296297E-3</v>
      </c>
      <c r="C66" s="231">
        <f t="shared" si="3"/>
        <v>5.7666666666666666</v>
      </c>
      <c r="D66" s="231">
        <f t="shared" si="0"/>
        <v>5.428000998253057</v>
      </c>
      <c r="E66" s="246">
        <f t="shared" si="4"/>
        <v>0.8014</v>
      </c>
      <c r="F66" s="25">
        <v>5.9</v>
      </c>
      <c r="G66" s="429">
        <v>5.6071637793957656</v>
      </c>
      <c r="H66" s="429"/>
      <c r="I66" s="429"/>
      <c r="J66" s="418">
        <v>60</v>
      </c>
      <c r="K66" s="425">
        <v>0.24027777777777778</v>
      </c>
      <c r="L66" s="418">
        <v>346</v>
      </c>
      <c r="M66" s="418" t="s">
        <v>1328</v>
      </c>
      <c r="N66" s="418" t="s">
        <v>2338</v>
      </c>
      <c r="O66" s="419" t="s">
        <v>241</v>
      </c>
      <c r="P66" s="426" t="s">
        <v>2329</v>
      </c>
      <c r="Q66" s="116" t="s">
        <v>2330</v>
      </c>
      <c r="R66" s="118">
        <v>45101</v>
      </c>
    </row>
    <row r="67" spans="1:18">
      <c r="A67" s="224">
        <v>61</v>
      </c>
      <c r="B67" s="322">
        <v>3.9814814814814817E-3</v>
      </c>
      <c r="C67" s="231">
        <f t="shared" si="3"/>
        <v>5.7333333333333334</v>
      </c>
      <c r="D67" s="231">
        <f t="shared" si="0"/>
        <v>5.4945054945054945</v>
      </c>
      <c r="E67" s="246">
        <f t="shared" si="4"/>
        <v>0.79169999999999996</v>
      </c>
      <c r="F67" s="25">
        <v>5.7333333333333334</v>
      </c>
      <c r="G67" s="429">
        <v>5.67628245859279</v>
      </c>
      <c r="H67" s="429"/>
      <c r="I67" s="429"/>
      <c r="J67" s="418">
        <v>61</v>
      </c>
      <c r="K67" s="418" t="s">
        <v>2339</v>
      </c>
      <c r="L67" s="418">
        <v>344</v>
      </c>
      <c r="M67" s="418" t="s">
        <v>360</v>
      </c>
      <c r="N67" s="418" t="s">
        <v>361</v>
      </c>
      <c r="O67" s="419" t="s">
        <v>241</v>
      </c>
      <c r="P67" s="418" t="s">
        <v>2312</v>
      </c>
      <c r="Q67" s="418" t="s">
        <v>2308</v>
      </c>
      <c r="R67" s="420">
        <v>41495</v>
      </c>
    </row>
    <row r="68" spans="1:18">
      <c r="A68" s="224">
        <v>62</v>
      </c>
      <c r="B68" s="322">
        <v>4.1898148148148146E-3</v>
      </c>
      <c r="C68" s="231">
        <f t="shared" si="3"/>
        <v>6.0333333333333332</v>
      </c>
      <c r="D68" s="231">
        <f t="shared" si="0"/>
        <v>5.562659846547314</v>
      </c>
      <c r="E68" s="246">
        <f t="shared" si="4"/>
        <v>0.78200000000000003</v>
      </c>
      <c r="F68" s="25">
        <v>6.083333333333333</v>
      </c>
      <c r="G68" s="429">
        <v>5.7471264367816097</v>
      </c>
      <c r="H68" s="429"/>
      <c r="I68" s="429"/>
      <c r="J68" s="418">
        <v>62</v>
      </c>
      <c r="K68" s="425">
        <v>0.25138888888888888</v>
      </c>
      <c r="L68" s="418">
        <v>362</v>
      </c>
      <c r="M68" s="1" t="s">
        <v>2340</v>
      </c>
      <c r="N68" s="1" t="s">
        <v>2341</v>
      </c>
      <c r="O68" s="419" t="s">
        <v>241</v>
      </c>
      <c r="P68" s="1" t="s">
        <v>2329</v>
      </c>
      <c r="Q68" s="1" t="s">
        <v>2330</v>
      </c>
      <c r="R68" s="417">
        <v>45101</v>
      </c>
    </row>
    <row r="69" spans="1:18">
      <c r="A69" s="224">
        <v>63</v>
      </c>
      <c r="B69" s="322">
        <v>3.9236111111111112E-3</v>
      </c>
      <c r="C69" s="231">
        <f t="shared" si="3"/>
        <v>5.65</v>
      </c>
      <c r="D69" s="231">
        <f t="shared" si="0"/>
        <v>5.6325262203806803</v>
      </c>
      <c r="E69" s="246">
        <f t="shared" si="4"/>
        <v>0.77229999999999999</v>
      </c>
      <c r="F69" s="25">
        <v>5.65</v>
      </c>
      <c r="G69" s="429">
        <v>5.8205195030840073</v>
      </c>
      <c r="H69" s="429"/>
      <c r="I69" s="429"/>
      <c r="J69" s="418">
        <v>63</v>
      </c>
      <c r="K69" s="425">
        <v>0.25138888888888888</v>
      </c>
      <c r="L69" s="418">
        <v>362</v>
      </c>
      <c r="M69" s="1" t="s">
        <v>898</v>
      </c>
      <c r="N69" s="1" t="s">
        <v>2342</v>
      </c>
      <c r="O69" s="419" t="s">
        <v>241</v>
      </c>
      <c r="P69" s="1" t="s">
        <v>2343</v>
      </c>
      <c r="Q69" s="1" t="s">
        <v>2331</v>
      </c>
      <c r="R69" s="417">
        <v>45053</v>
      </c>
    </row>
    <row r="70" spans="1:18">
      <c r="A70" s="224">
        <v>64</v>
      </c>
      <c r="B70" s="322">
        <v>4.0277777777777777E-3</v>
      </c>
      <c r="C70" s="231">
        <f t="shared" si="3"/>
        <v>5.8</v>
      </c>
      <c r="D70" s="231">
        <f t="shared" si="0"/>
        <v>5.7041699449252556</v>
      </c>
      <c r="E70" s="246">
        <f t="shared" si="4"/>
        <v>0.76259999999999994</v>
      </c>
      <c r="F70" s="25">
        <v>5.8</v>
      </c>
      <c r="G70" s="429">
        <v>5.8950332145528135</v>
      </c>
      <c r="H70" s="429"/>
      <c r="I70" s="429"/>
      <c r="J70" s="418">
        <v>64</v>
      </c>
      <c r="K70" s="418" t="s">
        <v>2344</v>
      </c>
      <c r="L70" s="418">
        <v>348</v>
      </c>
      <c r="M70" s="418" t="s">
        <v>365</v>
      </c>
      <c r="N70" s="418" t="s">
        <v>366</v>
      </c>
      <c r="O70" s="419" t="s">
        <v>241</v>
      </c>
      <c r="P70" s="418" t="s">
        <v>2312</v>
      </c>
      <c r="Q70" s="418" t="s">
        <v>2308</v>
      </c>
      <c r="R70" s="420">
        <v>41495</v>
      </c>
    </row>
    <row r="71" spans="1:18">
      <c r="A71" s="224">
        <v>65</v>
      </c>
      <c r="B71" s="322">
        <v>4.2592592592592595E-3</v>
      </c>
      <c r="C71" s="231">
        <f t="shared" si="3"/>
        <v>6.1333333333333337</v>
      </c>
      <c r="D71" s="231">
        <f t="shared" si="0"/>
        <v>5.7776597157657053</v>
      </c>
      <c r="E71" s="246">
        <f t="shared" si="4"/>
        <v>0.75290000000000001</v>
      </c>
      <c r="F71" s="25">
        <v>6.1333333333333337</v>
      </c>
      <c r="G71" s="429">
        <v>5.9714795008912658</v>
      </c>
      <c r="H71" s="429"/>
      <c r="I71" s="429"/>
      <c r="J71" s="418">
        <v>65</v>
      </c>
      <c r="K71" s="418" t="s">
        <v>2345</v>
      </c>
      <c r="L71" s="418">
        <v>368</v>
      </c>
      <c r="M71" s="418" t="s">
        <v>365</v>
      </c>
      <c r="N71" s="418" t="s">
        <v>366</v>
      </c>
      <c r="O71" s="419" t="s">
        <v>241</v>
      </c>
      <c r="P71" s="418" t="s">
        <v>2312</v>
      </c>
      <c r="Q71" s="418" t="s">
        <v>2313</v>
      </c>
      <c r="R71" s="420">
        <v>41873</v>
      </c>
    </row>
    <row r="72" spans="1:18">
      <c r="A72" s="224">
        <v>66</v>
      </c>
      <c r="B72" s="322">
        <v>4.2361111111111106E-3</v>
      </c>
      <c r="C72" s="231">
        <f t="shared" si="3"/>
        <v>6.1</v>
      </c>
      <c r="D72" s="231">
        <f t="shared" si="0"/>
        <v>5.8530678148546826</v>
      </c>
      <c r="E72" s="246">
        <f t="shared" si="4"/>
        <v>0.74319999999999997</v>
      </c>
      <c r="F72" s="25">
        <v>6.1</v>
      </c>
      <c r="G72" s="429">
        <v>6.0499345342904878</v>
      </c>
      <c r="H72" s="429"/>
      <c r="I72" s="429"/>
      <c r="J72" s="418">
        <v>66</v>
      </c>
      <c r="K72" s="418" t="s">
        <v>2346</v>
      </c>
      <c r="L72" s="418">
        <v>366</v>
      </c>
      <c r="M72" s="418" t="s">
        <v>365</v>
      </c>
      <c r="N72" s="418" t="s">
        <v>366</v>
      </c>
      <c r="O72" s="419" t="s">
        <v>241</v>
      </c>
      <c r="P72" s="418" t="s">
        <v>2347</v>
      </c>
      <c r="Q72" s="418" t="s">
        <v>2348</v>
      </c>
      <c r="R72" s="420">
        <v>42399</v>
      </c>
    </row>
    <row r="73" spans="1:18">
      <c r="A73" s="224">
        <v>67</v>
      </c>
      <c r="B73" s="322">
        <v>4.6180555555555558E-3</v>
      </c>
      <c r="C73" s="231">
        <f t="shared" si="3"/>
        <v>6.65</v>
      </c>
      <c r="D73" s="231">
        <f t="shared" ref="D73:D104" si="5">E$4/E73</f>
        <v>5.930470347648261</v>
      </c>
      <c r="E73" s="246">
        <f t="shared" si="4"/>
        <v>0.73350000000000004</v>
      </c>
      <c r="F73" s="25"/>
      <c r="G73" s="429">
        <v>6.1304785433250979</v>
      </c>
      <c r="H73" s="429"/>
      <c r="I73" s="429"/>
      <c r="J73" s="418">
        <v>67</v>
      </c>
      <c r="K73" s="425">
        <v>0.27708333333333335</v>
      </c>
      <c r="L73" s="418">
        <v>399</v>
      </c>
      <c r="M73" s="1" t="s">
        <v>2349</v>
      </c>
      <c r="N73" s="1" t="s">
        <v>2350</v>
      </c>
      <c r="O73" s="419" t="s">
        <v>241</v>
      </c>
      <c r="P73" s="1" t="s">
        <v>2351</v>
      </c>
      <c r="Q73" s="1" t="s">
        <v>2352</v>
      </c>
      <c r="R73" s="417">
        <v>44758</v>
      </c>
    </row>
    <row r="74" spans="1:18">
      <c r="A74" s="224">
        <v>68</v>
      </c>
      <c r="B74" s="322">
        <v>4.2361111111111115E-3</v>
      </c>
      <c r="C74" s="231">
        <f t="shared" si="3"/>
        <v>6.1000000000000005</v>
      </c>
      <c r="D74" s="231">
        <f t="shared" si="5"/>
        <v>6.0099474993092006</v>
      </c>
      <c r="E74" s="246">
        <f t="shared" si="4"/>
        <v>0.7238</v>
      </c>
      <c r="F74" s="25">
        <v>6.1166666666666663</v>
      </c>
      <c r="G74" s="429">
        <v>6.2131960866138085</v>
      </c>
      <c r="H74" s="429"/>
      <c r="I74" s="429"/>
      <c r="J74" s="418">
        <v>68</v>
      </c>
      <c r="K74" s="425">
        <v>0.25416666666666665</v>
      </c>
      <c r="L74" s="418">
        <v>366</v>
      </c>
      <c r="M74" s="418" t="s">
        <v>365</v>
      </c>
      <c r="N74" s="418" t="s">
        <v>366</v>
      </c>
      <c r="O74" s="419" t="s">
        <v>241</v>
      </c>
      <c r="P74" s="418" t="s">
        <v>2353</v>
      </c>
      <c r="Q74" s="418" t="s">
        <v>2313</v>
      </c>
      <c r="R74" s="420">
        <v>42972</v>
      </c>
    </row>
    <row r="75" spans="1:18">
      <c r="A75" s="224">
        <v>69</v>
      </c>
      <c r="B75" s="322">
        <v>4.6180555555555558E-3</v>
      </c>
      <c r="C75" s="231">
        <f t="shared" si="3"/>
        <v>6.65</v>
      </c>
      <c r="D75" s="231">
        <f t="shared" si="5"/>
        <v>6.0924369747899156</v>
      </c>
      <c r="E75" s="246">
        <f t="shared" si="4"/>
        <v>0.71399999999999997</v>
      </c>
      <c r="F75" s="25">
        <v>6.65</v>
      </c>
      <c r="G75" s="429">
        <v>6.29817634893777</v>
      </c>
      <c r="H75" s="429"/>
      <c r="I75" s="429"/>
      <c r="J75" s="418">
        <v>69</v>
      </c>
      <c r="K75" s="418" t="s">
        <v>2354</v>
      </c>
      <c r="L75" s="418">
        <v>399</v>
      </c>
      <c r="M75" s="418" t="s">
        <v>382</v>
      </c>
      <c r="N75" s="418" t="s">
        <v>383</v>
      </c>
      <c r="O75" s="419" t="s">
        <v>241</v>
      </c>
      <c r="P75" s="418" t="s">
        <v>2353</v>
      </c>
      <c r="Q75" s="418" t="s">
        <v>2313</v>
      </c>
      <c r="R75" s="420">
        <v>42972</v>
      </c>
    </row>
    <row r="76" spans="1:18">
      <c r="A76" s="224">
        <v>70</v>
      </c>
      <c r="B76" s="322">
        <v>4.6064814814814814E-3</v>
      </c>
      <c r="C76" s="231">
        <f t="shared" si="3"/>
        <v>6.6333333333333329</v>
      </c>
      <c r="D76" s="231">
        <f t="shared" si="5"/>
        <v>6.1763453073974146</v>
      </c>
      <c r="E76" s="246">
        <f t="shared" si="4"/>
        <v>0.70430000000000004</v>
      </c>
      <c r="F76" s="25">
        <v>6.6333333333333329</v>
      </c>
      <c r="G76" s="429">
        <v>6.3855134619966645</v>
      </c>
      <c r="H76" s="429"/>
      <c r="I76" s="429"/>
      <c r="J76" s="418">
        <v>70</v>
      </c>
      <c r="K76" s="418" t="s">
        <v>2355</v>
      </c>
      <c r="L76" s="418">
        <v>398</v>
      </c>
      <c r="M76" s="418" t="s">
        <v>382</v>
      </c>
      <c r="N76" s="418" t="s">
        <v>383</v>
      </c>
      <c r="O76" s="419" t="s">
        <v>241</v>
      </c>
      <c r="P76" s="418" t="s">
        <v>2312</v>
      </c>
      <c r="Q76" s="418" t="s">
        <v>2313</v>
      </c>
      <c r="R76" s="420">
        <v>43336</v>
      </c>
    </row>
    <row r="77" spans="1:18">
      <c r="A77" s="224">
        <v>71</v>
      </c>
      <c r="B77" s="322">
        <v>4.4444444444444444E-3</v>
      </c>
      <c r="C77" s="231">
        <f t="shared" si="3"/>
        <v>6.4</v>
      </c>
      <c r="D77" s="231">
        <f t="shared" si="5"/>
        <v>6.2625971782320757</v>
      </c>
      <c r="E77" s="246">
        <f t="shared" si="4"/>
        <v>0.6946</v>
      </c>
      <c r="F77" s="25">
        <v>6.416666666666667</v>
      </c>
      <c r="G77" s="429">
        <v>6.4753068522276997</v>
      </c>
      <c r="H77" s="429"/>
      <c r="I77" s="429"/>
      <c r="J77" s="418">
        <v>71</v>
      </c>
      <c r="K77" s="425">
        <v>0.26666666666666666</v>
      </c>
      <c r="L77" s="418">
        <v>384</v>
      </c>
      <c r="M77" s="418" t="s">
        <v>382</v>
      </c>
      <c r="N77" s="418" t="s">
        <v>383</v>
      </c>
      <c r="O77" s="419" t="s">
        <v>241</v>
      </c>
      <c r="P77" s="418" t="s">
        <v>2312</v>
      </c>
      <c r="Q77" s="418" t="s">
        <v>2313</v>
      </c>
      <c r="R77" s="420">
        <v>43700</v>
      </c>
    </row>
    <row r="78" spans="1:18">
      <c r="A78" s="224">
        <v>72</v>
      </c>
      <c r="C78" s="231"/>
      <c r="D78" s="231">
        <f t="shared" si="5"/>
        <v>6.3512921594393346</v>
      </c>
      <c r="E78" s="246">
        <f t="shared" si="4"/>
        <v>0.68489999999999995</v>
      </c>
      <c r="F78" s="25"/>
      <c r="G78" s="429">
        <v>6.5676616183894527</v>
      </c>
      <c r="H78" s="429"/>
      <c r="I78" s="429"/>
      <c r="J78" s="418">
        <v>72</v>
      </c>
      <c r="K78" s="425"/>
      <c r="L78" s="418"/>
      <c r="M78" s="418"/>
      <c r="N78" s="418"/>
      <c r="O78" s="419"/>
      <c r="P78" s="422"/>
      <c r="Q78" s="422"/>
      <c r="R78" s="423"/>
    </row>
    <row r="79" spans="1:18">
      <c r="A79" s="224">
        <v>73</v>
      </c>
      <c r="B79" s="322">
        <v>4.8495370370370368E-3</v>
      </c>
      <c r="C79" s="231">
        <f t="shared" si="3"/>
        <v>6.9833333333333325</v>
      </c>
      <c r="D79" s="231">
        <f t="shared" si="5"/>
        <v>6.4425355450236959</v>
      </c>
      <c r="E79" s="246">
        <f t="shared" si="4"/>
        <v>0.67520000000000002</v>
      </c>
      <c r="F79" s="25"/>
      <c r="G79" s="429">
        <v>6.6636829280421699</v>
      </c>
      <c r="H79" s="429"/>
      <c r="I79" s="429"/>
      <c r="J79" s="418">
        <v>73</v>
      </c>
      <c r="K79" s="425">
        <v>0.29097222222222224</v>
      </c>
      <c r="L79" s="418">
        <v>419</v>
      </c>
      <c r="M79" s="418" t="s">
        <v>2356</v>
      </c>
      <c r="N79" s="418" t="s">
        <v>2357</v>
      </c>
      <c r="O79" s="419" t="s">
        <v>241</v>
      </c>
      <c r="P79" s="426" t="s">
        <v>2329</v>
      </c>
      <c r="Q79" s="116" t="s">
        <v>2330</v>
      </c>
      <c r="R79" s="118">
        <v>45101</v>
      </c>
    </row>
    <row r="80" spans="1:18">
      <c r="A80" s="224">
        <v>74</v>
      </c>
      <c r="B80" s="322">
        <v>4.7685185185185183E-3</v>
      </c>
      <c r="C80" s="231">
        <f t="shared" si="3"/>
        <v>6.8666666666666663</v>
      </c>
      <c r="D80" s="231">
        <f t="shared" si="5"/>
        <v>6.5364387678437259</v>
      </c>
      <c r="E80" s="246">
        <f t="shared" si="4"/>
        <v>0.66549999999999998</v>
      </c>
      <c r="F80" s="25">
        <v>8.0500000000000007</v>
      </c>
      <c r="G80" s="429">
        <v>6.7615299222928655</v>
      </c>
      <c r="H80" s="429"/>
      <c r="I80" s="429"/>
      <c r="J80" s="418">
        <v>74</v>
      </c>
      <c r="K80" s="425">
        <v>0.28611111111111115</v>
      </c>
      <c r="L80" s="418">
        <v>402</v>
      </c>
      <c r="M80" s="418" t="s">
        <v>365</v>
      </c>
      <c r="N80" s="418" t="s">
        <v>366</v>
      </c>
      <c r="O80" s="419" t="s">
        <v>241</v>
      </c>
      <c r="P80" s="426" t="s">
        <v>2329</v>
      </c>
      <c r="Q80" s="116" t="s">
        <v>2330</v>
      </c>
      <c r="R80" s="118">
        <v>45101</v>
      </c>
    </row>
    <row r="81" spans="1:18">
      <c r="A81" s="224">
        <v>75</v>
      </c>
      <c r="B81" s="322">
        <v>4.6759259259259263E-3</v>
      </c>
      <c r="C81" s="231">
        <f t="shared" si="3"/>
        <v>6.7333333333333334</v>
      </c>
      <c r="D81" s="231">
        <f t="shared" si="5"/>
        <v>6.6331198536139055</v>
      </c>
      <c r="E81" s="246">
        <f t="shared" si="4"/>
        <v>0.65580000000000005</v>
      </c>
      <c r="F81" s="25">
        <v>8.3666666666666671</v>
      </c>
      <c r="G81" s="429">
        <v>6.8622932350079378</v>
      </c>
      <c r="H81" s="429"/>
      <c r="I81" s="429"/>
      <c r="J81" s="418">
        <v>75</v>
      </c>
      <c r="K81" s="425">
        <v>0.28055555555555556</v>
      </c>
      <c r="L81" s="418">
        <v>404</v>
      </c>
      <c r="M81" s="418" t="s">
        <v>382</v>
      </c>
      <c r="N81" s="418" t="s">
        <v>383</v>
      </c>
      <c r="O81" s="419" t="s">
        <v>241</v>
      </c>
      <c r="P81" s="426" t="s">
        <v>2329</v>
      </c>
      <c r="Q81" s="116" t="s">
        <v>2330</v>
      </c>
      <c r="R81" s="118">
        <v>45101</v>
      </c>
    </row>
    <row r="82" spans="1:18">
      <c r="A82" s="224">
        <v>76</v>
      </c>
      <c r="B82" s="322">
        <v>7.1180555555555554E-3</v>
      </c>
      <c r="C82" s="231">
        <f t="shared" si="3"/>
        <v>10.25</v>
      </c>
      <c r="D82" s="231">
        <f t="shared" si="5"/>
        <v>6.7327039158025066</v>
      </c>
      <c r="E82" s="246">
        <f t="shared" si="4"/>
        <v>0.64610000000000001</v>
      </c>
      <c r="F82" s="25">
        <v>10.25</v>
      </c>
      <c r="G82" s="429">
        <v>6.9661052193803288</v>
      </c>
      <c r="H82" s="429"/>
      <c r="I82" s="429"/>
      <c r="J82" s="418">
        <v>76</v>
      </c>
      <c r="K82" s="418" t="s">
        <v>2358</v>
      </c>
      <c r="L82" s="418">
        <v>615</v>
      </c>
      <c r="M82" s="418" t="s">
        <v>2359</v>
      </c>
      <c r="N82" s="418" t="s">
        <v>2360</v>
      </c>
      <c r="O82" s="419" t="s">
        <v>241</v>
      </c>
      <c r="P82" s="418" t="s">
        <v>2343</v>
      </c>
      <c r="Q82" s="418" t="s">
        <v>2331</v>
      </c>
      <c r="R82" s="420">
        <v>45023</v>
      </c>
    </row>
    <row r="83" spans="1:18">
      <c r="A83" s="224">
        <v>77</v>
      </c>
      <c r="C83" s="231"/>
      <c r="D83" s="231">
        <f t="shared" si="5"/>
        <v>6.8353236957888122</v>
      </c>
      <c r="E83" s="246">
        <f t="shared" si="4"/>
        <v>0.63639999999999997</v>
      </c>
      <c r="F83" s="25"/>
      <c r="G83" s="429">
        <v>7.0731063605172872</v>
      </c>
      <c r="H83" s="429"/>
      <c r="I83" s="429"/>
      <c r="J83" s="418">
        <v>77</v>
      </c>
      <c r="K83" s="418"/>
      <c r="L83" s="418"/>
      <c r="M83" s="418"/>
      <c r="N83" s="418"/>
      <c r="O83" s="419"/>
      <c r="P83" s="418"/>
      <c r="Q83" s="418"/>
      <c r="R83" s="420"/>
    </row>
    <row r="84" spans="1:18">
      <c r="A84" s="224">
        <v>78</v>
      </c>
      <c r="C84" s="231"/>
      <c r="D84" s="231">
        <f t="shared" si="5"/>
        <v>6.9411201531833404</v>
      </c>
      <c r="E84" s="246">
        <f t="shared" si="4"/>
        <v>0.62670000000000003</v>
      </c>
      <c r="F84" s="25"/>
      <c r="G84" s="429">
        <v>7.1834459097244556</v>
      </c>
      <c r="H84" s="429"/>
      <c r="I84" s="429"/>
      <c r="J84" s="418">
        <v>78</v>
      </c>
      <c r="K84" s="425">
        <v>0.35833333333333334</v>
      </c>
      <c r="L84" s="418">
        <v>516</v>
      </c>
      <c r="M84" s="418" t="s">
        <v>2361</v>
      </c>
      <c r="N84" s="418" t="s">
        <v>2362</v>
      </c>
      <c r="O84" s="419" t="s">
        <v>241</v>
      </c>
      <c r="P84" s="418" t="s">
        <v>2363</v>
      </c>
      <c r="Q84" s="418" t="s">
        <v>2364</v>
      </c>
      <c r="R84" s="420">
        <v>43897</v>
      </c>
    </row>
    <row r="85" spans="1:18">
      <c r="A85" s="224">
        <v>79</v>
      </c>
      <c r="C85" s="231"/>
      <c r="D85" s="231">
        <f t="shared" si="5"/>
        <v>7.0525291828793764</v>
      </c>
      <c r="E85" s="246">
        <f t="shared" si="4"/>
        <v>0.61680000000000001</v>
      </c>
      <c r="F85" s="25"/>
      <c r="G85" s="429">
        <v>7.2984749455337692</v>
      </c>
      <c r="H85" s="429"/>
      <c r="I85" s="429"/>
      <c r="J85" s="418">
        <v>79</v>
      </c>
      <c r="K85" s="425"/>
      <c r="L85" s="418"/>
      <c r="M85" s="418"/>
      <c r="N85" s="418"/>
      <c r="O85" s="419"/>
      <c r="P85" s="418"/>
      <c r="Q85" s="418"/>
      <c r="R85" s="420"/>
    </row>
    <row r="86" spans="1:18">
      <c r="A86" s="224">
        <v>80</v>
      </c>
      <c r="B86" s="322">
        <v>5.185185185185185E-3</v>
      </c>
      <c r="C86" s="231">
        <f t="shared" si="3"/>
        <v>7.4666666666666668</v>
      </c>
      <c r="D86" s="231">
        <f t="shared" si="5"/>
        <v>7.1758495546024417</v>
      </c>
      <c r="E86" s="246">
        <f t="shared" si="4"/>
        <v>0.60619999999999996</v>
      </c>
      <c r="F86" s="25">
        <v>10.933333333333334</v>
      </c>
      <c r="G86" s="429">
        <v>7.4283496867897343</v>
      </c>
      <c r="H86" s="429"/>
      <c r="I86" s="429"/>
      <c r="J86" s="418">
        <v>80</v>
      </c>
      <c r="K86" s="425">
        <v>0.31111111111111112</v>
      </c>
      <c r="L86" s="418">
        <v>448</v>
      </c>
      <c r="M86" s="418" t="s">
        <v>379</v>
      </c>
      <c r="N86" s="418" t="s">
        <v>380</v>
      </c>
      <c r="O86" s="419" t="s">
        <v>241</v>
      </c>
      <c r="P86" s="418" t="s">
        <v>2365</v>
      </c>
      <c r="Q86" s="418" t="s">
        <v>2366</v>
      </c>
      <c r="R86" s="420">
        <v>45494</v>
      </c>
    </row>
    <row r="87" spans="1:18">
      <c r="A87" s="224">
        <v>81</v>
      </c>
      <c r="B87" s="322">
        <v>6.215277777777777E-3</v>
      </c>
      <c r="C87" s="231">
        <f t="shared" si="3"/>
        <v>8.9499999999999993</v>
      </c>
      <c r="D87" s="231">
        <f t="shared" si="5"/>
        <v>7.3158425832492426</v>
      </c>
      <c r="E87" s="246">
        <f t="shared" si="4"/>
        <v>0.59460000000000002</v>
      </c>
      <c r="F87" s="25">
        <v>8.9499999999999993</v>
      </c>
      <c r="G87" s="429">
        <v>7.5744728958227352</v>
      </c>
      <c r="H87" s="429"/>
      <c r="I87" s="429"/>
      <c r="J87" s="418">
        <v>81</v>
      </c>
      <c r="K87" s="418" t="s">
        <v>2367</v>
      </c>
      <c r="L87" s="418">
        <v>537</v>
      </c>
      <c r="M87" s="418" t="s">
        <v>2368</v>
      </c>
      <c r="N87" s="418" t="s">
        <v>2369</v>
      </c>
      <c r="O87" s="419" t="s">
        <v>241</v>
      </c>
      <c r="P87" s="418" t="s">
        <v>2343</v>
      </c>
      <c r="Q87" s="418" t="s">
        <v>2331</v>
      </c>
      <c r="R87" s="420">
        <v>43226</v>
      </c>
    </row>
    <row r="88" spans="1:18">
      <c r="A88" s="224">
        <v>82</v>
      </c>
      <c r="B88" s="322">
        <v>7.9976851851851858E-3</v>
      </c>
      <c r="C88" s="231">
        <f t="shared" si="3"/>
        <v>11.516666666666667</v>
      </c>
      <c r="D88" s="231">
        <f t="shared" si="5"/>
        <v>7.4729427933344788</v>
      </c>
      <c r="E88" s="246">
        <f t="shared" si="4"/>
        <v>0.58209999999999995</v>
      </c>
      <c r="F88" s="25">
        <v>11.516666666666667</v>
      </c>
      <c r="G88" s="429">
        <v>7.7385077385077379</v>
      </c>
      <c r="H88" s="429"/>
      <c r="I88" s="429"/>
      <c r="J88" s="418">
        <v>82</v>
      </c>
      <c r="K88" s="418" t="s">
        <v>2370</v>
      </c>
      <c r="L88" s="418">
        <v>691</v>
      </c>
      <c r="M88" s="418" t="s">
        <v>2371</v>
      </c>
      <c r="N88" s="418" t="s">
        <v>2372</v>
      </c>
      <c r="O88" s="419" t="s">
        <v>241</v>
      </c>
      <c r="P88" s="418" t="s">
        <v>2373</v>
      </c>
      <c r="Q88" s="418" t="s">
        <v>2313</v>
      </c>
      <c r="R88" s="420">
        <v>43336</v>
      </c>
    </row>
    <row r="89" spans="1:18">
      <c r="A89" s="224">
        <v>83</v>
      </c>
      <c r="D89" s="231">
        <f t="shared" si="5"/>
        <v>7.6503693281744631</v>
      </c>
      <c r="E89" s="246">
        <f t="shared" si="4"/>
        <v>0.56859999999999999</v>
      </c>
      <c r="G89" s="429">
        <v>7.9238365560877542</v>
      </c>
      <c r="H89" s="429"/>
      <c r="I89" s="429"/>
      <c r="J89" s="418">
        <v>83</v>
      </c>
      <c r="K89" s="422"/>
      <c r="L89" s="422"/>
      <c r="M89" s="422"/>
      <c r="N89" s="422"/>
      <c r="O89" s="419"/>
      <c r="P89" s="418"/>
      <c r="Q89" s="418"/>
      <c r="R89" s="420"/>
    </row>
    <row r="90" spans="1:18">
      <c r="A90" s="224">
        <v>84</v>
      </c>
      <c r="D90" s="231">
        <f t="shared" si="5"/>
        <v>7.8491519307109341</v>
      </c>
      <c r="E90" s="246">
        <f t="shared" si="4"/>
        <v>0.55420000000000003</v>
      </c>
      <c r="G90" s="429">
        <v>8.1315613811517693</v>
      </c>
      <c r="H90" s="429"/>
      <c r="I90" s="429"/>
      <c r="J90" s="418">
        <v>84</v>
      </c>
      <c r="K90" s="422"/>
      <c r="L90" s="422"/>
      <c r="M90" s="422"/>
      <c r="N90" s="422"/>
      <c r="O90" s="419"/>
      <c r="P90" s="418"/>
      <c r="Q90" s="418"/>
      <c r="R90" s="420"/>
    </row>
    <row r="91" spans="1:18">
      <c r="A91" s="224">
        <v>85</v>
      </c>
      <c r="B91" s="322">
        <v>0.01</v>
      </c>
      <c r="C91" s="231">
        <f>B91*1440</f>
        <v>14.4</v>
      </c>
      <c r="D91" s="231">
        <f t="shared" si="5"/>
        <v>8.0734966592427622</v>
      </c>
      <c r="E91" s="246">
        <f t="shared" si="4"/>
        <v>0.53879999999999995</v>
      </c>
      <c r="G91" s="429">
        <v>8.3645443196004994</v>
      </c>
      <c r="H91" s="429"/>
      <c r="I91" s="429"/>
      <c r="J91" s="418">
        <v>85</v>
      </c>
      <c r="K91" s="427">
        <v>0.6</v>
      </c>
      <c r="L91" s="171">
        <v>868</v>
      </c>
      <c r="M91" s="171" t="s">
        <v>1626</v>
      </c>
      <c r="N91" s="171" t="s">
        <v>2374</v>
      </c>
      <c r="O91" s="419" t="s">
        <v>241</v>
      </c>
      <c r="P91" s="418" t="s">
        <v>2312</v>
      </c>
      <c r="Q91" s="418" t="s">
        <v>2331</v>
      </c>
      <c r="R91" s="420">
        <v>45523</v>
      </c>
    </row>
    <row r="92" spans="1:18">
      <c r="A92" s="224">
        <v>86</v>
      </c>
      <c r="D92" s="231">
        <f t="shared" si="5"/>
        <v>8.3253588516746415</v>
      </c>
      <c r="E92" s="246">
        <f t="shared" si="4"/>
        <v>0.52249999999999996</v>
      </c>
      <c r="G92" s="429">
        <v>8.6279054793638519</v>
      </c>
      <c r="H92" s="429"/>
      <c r="I92" s="429"/>
      <c r="J92" s="422"/>
      <c r="K92" s="427"/>
      <c r="L92" s="171"/>
      <c r="M92" s="171"/>
      <c r="N92" s="171"/>
      <c r="O92" s="419"/>
      <c r="P92" s="418"/>
      <c r="Q92" s="418"/>
      <c r="R92" s="420"/>
    </row>
    <row r="93" spans="1:18">
      <c r="A93" s="224">
        <v>87</v>
      </c>
      <c r="B93" s="322">
        <v>7.9398148148148145E-3</v>
      </c>
      <c r="C93" s="231">
        <f>B93*1440</f>
        <v>11.433333333333334</v>
      </c>
      <c r="D93" s="231">
        <f t="shared" si="5"/>
        <v>8.6087472788442501</v>
      </c>
      <c r="E93" s="246">
        <f t="shared" si="4"/>
        <v>0.50529999999999997</v>
      </c>
      <c r="G93" s="429">
        <v>8.926192379429791</v>
      </c>
      <c r="H93" s="429"/>
      <c r="I93" s="429"/>
      <c r="J93" s="171">
        <v>87</v>
      </c>
      <c r="K93" s="427">
        <v>0.47638888888888886</v>
      </c>
      <c r="L93" s="171">
        <v>686</v>
      </c>
      <c r="M93" s="171" t="s">
        <v>1280</v>
      </c>
      <c r="N93" s="171" t="s">
        <v>2375</v>
      </c>
      <c r="O93" s="419" t="s">
        <v>241</v>
      </c>
      <c r="P93" s="418" t="s">
        <v>2365</v>
      </c>
      <c r="Q93" s="418" t="s">
        <v>2366</v>
      </c>
      <c r="R93" s="420">
        <v>45494</v>
      </c>
    </row>
    <row r="94" spans="1:18">
      <c r="A94" s="224">
        <v>88</v>
      </c>
      <c r="D94" s="231">
        <f t="shared" si="5"/>
        <v>8.930404434407718</v>
      </c>
      <c r="E94" s="246">
        <f t="shared" si="4"/>
        <v>0.48709999999999998</v>
      </c>
      <c r="G94" s="429">
        <v>9.2611790724998269</v>
      </c>
      <c r="H94" s="429"/>
      <c r="I94" s="429"/>
    </row>
    <row r="95" spans="1:18">
      <c r="A95" s="224">
        <v>89</v>
      </c>
      <c r="D95" s="231">
        <f t="shared" si="5"/>
        <v>9.2948717948717938</v>
      </c>
      <c r="E95" s="246">
        <f t="shared" si="4"/>
        <v>0.46800000000000003</v>
      </c>
      <c r="G95" s="429">
        <v>9.6430627518710423</v>
      </c>
      <c r="H95" s="429"/>
      <c r="I95" s="429"/>
    </row>
    <row r="96" spans="1:18">
      <c r="A96" s="224">
        <v>90</v>
      </c>
      <c r="D96" s="231">
        <f t="shared" si="5"/>
        <v>9.709821428571427</v>
      </c>
      <c r="E96" s="246">
        <f t="shared" si="4"/>
        <v>0.44800000000000001</v>
      </c>
      <c r="G96" s="429">
        <v>10.080493492815767</v>
      </c>
      <c r="H96" s="429"/>
      <c r="I96" s="429"/>
    </row>
    <row r="97" spans="1:9">
      <c r="A97" s="224">
        <v>91</v>
      </c>
      <c r="D97" s="231">
        <f t="shared" si="5"/>
        <v>10.187353629976581</v>
      </c>
      <c r="E97" s="246">
        <f t="shared" si="4"/>
        <v>0.42699999999999999</v>
      </c>
      <c r="G97" s="429">
        <v>10.582010582010582</v>
      </c>
      <c r="H97" s="429"/>
      <c r="I97" s="429"/>
    </row>
    <row r="98" spans="1:9">
      <c r="A98" s="224">
        <v>92</v>
      </c>
      <c r="D98" s="231">
        <f t="shared" si="5"/>
        <v>10.73808936065169</v>
      </c>
      <c r="E98" s="246">
        <f t="shared" si="4"/>
        <v>0.40510000000000002</v>
      </c>
      <c r="G98" s="429">
        <v>11.161086123604864</v>
      </c>
      <c r="H98" s="429"/>
      <c r="I98" s="429"/>
    </row>
    <row r="99" spans="1:9">
      <c r="A99" s="224">
        <v>93</v>
      </c>
      <c r="D99" s="231">
        <f t="shared" si="5"/>
        <v>11.381475667189953</v>
      </c>
      <c r="E99" s="246">
        <f t="shared" si="4"/>
        <v>0.38219999999999998</v>
      </c>
      <c r="G99" s="429">
        <v>11.838501634420002</v>
      </c>
      <c r="H99" s="429"/>
      <c r="I99" s="429"/>
    </row>
    <row r="100" spans="1:9">
      <c r="A100" s="224">
        <v>94</v>
      </c>
      <c r="D100" s="231">
        <f t="shared" si="5"/>
        <v>12.137276785714285</v>
      </c>
      <c r="E100" s="246">
        <f t="shared" si="4"/>
        <v>0.3584</v>
      </c>
      <c r="G100" s="429">
        <v>12.635549269212637</v>
      </c>
      <c r="H100" s="429"/>
      <c r="I100" s="429"/>
    </row>
    <row r="101" spans="1:9">
      <c r="A101" s="224">
        <v>95</v>
      </c>
      <c r="D101" s="231">
        <f t="shared" si="5"/>
        <v>13.03956834532374</v>
      </c>
      <c r="E101" s="246">
        <f t="shared" si="4"/>
        <v>0.33360000000000001</v>
      </c>
      <c r="G101" s="429">
        <v>13.584752635847527</v>
      </c>
      <c r="H101" s="429"/>
      <c r="I101" s="429"/>
    </row>
    <row r="102" spans="1:9">
      <c r="A102" s="224">
        <v>96</v>
      </c>
      <c r="D102" s="231">
        <f t="shared" si="5"/>
        <v>14.127963624553425</v>
      </c>
      <c r="E102" s="246">
        <f t="shared" si="4"/>
        <v>0.30790000000000001</v>
      </c>
      <c r="G102" s="429">
        <v>14.736610579566701</v>
      </c>
      <c r="H102" s="429"/>
      <c r="I102" s="429"/>
    </row>
    <row r="103" spans="1:9">
      <c r="A103" s="224">
        <v>97</v>
      </c>
      <c r="D103" s="231">
        <f t="shared" si="5"/>
        <v>15.463917525773194</v>
      </c>
      <c r="E103" s="246">
        <f t="shared" si="4"/>
        <v>0.28129999999999999</v>
      </c>
      <c r="G103" s="429">
        <v>16.160154365653643</v>
      </c>
      <c r="H103" s="429"/>
      <c r="I103" s="429"/>
    </row>
    <row r="104" spans="1:9">
      <c r="A104" s="224">
        <v>98</v>
      </c>
      <c r="D104" s="231">
        <f t="shared" si="5"/>
        <v>17.14623571147024</v>
      </c>
      <c r="E104" s="246">
        <f t="shared" si="4"/>
        <v>0.25369999999999998</v>
      </c>
      <c r="G104" s="429">
        <v>17.945627427346992</v>
      </c>
      <c r="H104" s="429"/>
      <c r="I104" s="429"/>
    </row>
    <row r="105" spans="1:9">
      <c r="A105" s="224">
        <v>99</v>
      </c>
      <c r="D105" s="231">
        <f>E$4/E105</f>
        <v>19.31616341030195</v>
      </c>
      <c r="E105" s="246">
        <f t="shared" si="4"/>
        <v>0.22520000000000001</v>
      </c>
      <c r="G105" s="429">
        <v>20.26618269812462</v>
      </c>
      <c r="H105" s="429"/>
      <c r="I105" s="429"/>
    </row>
    <row r="106" spans="1:9">
      <c r="A106" s="224">
        <v>100</v>
      </c>
      <c r="D106" s="231">
        <f>E$4/E106</f>
        <v>22.216547497446371</v>
      </c>
      <c r="E106" s="246">
        <f t="shared" si="4"/>
        <v>0.1958</v>
      </c>
      <c r="G106" s="429">
        <v>23.397939584424659</v>
      </c>
      <c r="H106" s="429"/>
      <c r="I106" s="429"/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8"/>
  <sheetViews>
    <sheetView tabSelected="1" zoomScale="87" zoomScaleNormal="87" workbookViewId="0">
      <pane xSplit="1" ySplit="5" topLeftCell="B18" activePane="bottomRight" state="frozen"/>
      <selection pane="topRight"/>
      <selection pane="bottomLeft"/>
      <selection pane="bottomRight" activeCell="E76" sqref="E76"/>
    </sheetView>
  </sheetViews>
  <sheetFormatPr defaultColWidth="9.6640625" defaultRowHeight="15"/>
  <cols>
    <col min="1" max="1" width="10.88671875" style="1" customWidth="1"/>
    <col min="2" max="2" width="7.6640625" style="1" customWidth="1"/>
    <col min="3" max="3" width="11.88671875" style="1" customWidth="1"/>
    <col min="4" max="4" width="10.109375" style="1" customWidth="1"/>
    <col min="5" max="22" width="7.6640625" style="1" customWidth="1"/>
    <col min="23" max="16384" width="9.6640625" style="1"/>
  </cols>
  <sheetData>
    <row r="1" spans="1:23" ht="24" thickBot="1">
      <c r="A1" s="154" t="s">
        <v>1804</v>
      </c>
      <c r="B1" s="44"/>
    </row>
    <row r="2" spans="1:23" ht="15.75" thickBot="1">
      <c r="A2" s="45" t="s">
        <v>70</v>
      </c>
      <c r="B2" s="147" t="s">
        <v>957</v>
      </c>
      <c r="C2" s="46" t="s">
        <v>126</v>
      </c>
      <c r="D2" s="46" t="s">
        <v>127</v>
      </c>
      <c r="E2" s="46" t="s">
        <v>128</v>
      </c>
      <c r="F2" s="46" t="s">
        <v>129</v>
      </c>
      <c r="G2" s="46" t="s">
        <v>130</v>
      </c>
      <c r="H2" s="46" t="s">
        <v>131</v>
      </c>
      <c r="I2" s="46" t="s">
        <v>132</v>
      </c>
      <c r="J2" s="46" t="s">
        <v>133</v>
      </c>
      <c r="K2" s="46" t="s">
        <v>134</v>
      </c>
      <c r="L2" s="46" t="s">
        <v>135</v>
      </c>
      <c r="M2" s="46" t="s">
        <v>9</v>
      </c>
      <c r="N2" s="46" t="s">
        <v>136</v>
      </c>
      <c r="O2" s="46" t="s">
        <v>137</v>
      </c>
      <c r="P2" s="46" t="s">
        <v>10</v>
      </c>
      <c r="Q2" s="46" t="s">
        <v>98</v>
      </c>
      <c r="R2" s="46" t="s">
        <v>138</v>
      </c>
      <c r="S2" s="46" t="s">
        <v>139</v>
      </c>
      <c r="T2" s="46" t="s">
        <v>140</v>
      </c>
      <c r="U2" s="46" t="s">
        <v>141</v>
      </c>
      <c r="V2" s="46" t="s">
        <v>142</v>
      </c>
      <c r="W2" s="47"/>
    </row>
    <row r="3" spans="1:23">
      <c r="A3" s="441" t="s">
        <v>0</v>
      </c>
      <c r="B3" s="440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6">
        <f>Parameters!B19</f>
        <v>12</v>
      </c>
      <c r="J3" s="46">
        <f>Parameters!B20</f>
        <v>15</v>
      </c>
      <c r="K3" s="46">
        <f>Parameters!B21</f>
        <v>16.093440000000001</v>
      </c>
      <c r="L3" s="46">
        <f>Parameters!B22</f>
        <v>20</v>
      </c>
      <c r="M3" s="46">
        <f>Parameters!B23</f>
        <v>21.0975</v>
      </c>
      <c r="N3" s="46">
        <f>Parameters!B24</f>
        <v>25</v>
      </c>
      <c r="O3" s="46">
        <f>Parameters!B25</f>
        <v>30</v>
      </c>
      <c r="P3" s="46">
        <f>Parameters!B26</f>
        <v>42.195</v>
      </c>
      <c r="Q3" s="48">
        <f>Parameters!$B27</f>
        <v>50</v>
      </c>
      <c r="R3" s="48">
        <f>Parameters!$B28</f>
        <v>80.467200000000005</v>
      </c>
      <c r="S3" s="48">
        <f>Parameters!$B29</f>
        <v>100</v>
      </c>
      <c r="T3" s="48">
        <f>Parameters!$B30</f>
        <v>150</v>
      </c>
      <c r="U3" s="48">
        <f>Parameters!$B31</f>
        <v>160.93440000000001</v>
      </c>
      <c r="V3" s="48">
        <f>Parameters!$B32</f>
        <v>200</v>
      </c>
      <c r="W3" s="47"/>
    </row>
    <row r="4" spans="1:23">
      <c r="A4" s="49" t="s">
        <v>124</v>
      </c>
      <c r="B4" s="148">
        <v>253</v>
      </c>
      <c r="C4" s="50">
        <f>Parameters!H13</f>
        <v>853</v>
      </c>
      <c r="D4" s="50">
        <f>Parameters!H14</f>
        <v>1026</v>
      </c>
      <c r="E4" s="50">
        <f>Parameters!H15</f>
        <v>1103</v>
      </c>
      <c r="F4" s="50">
        <f>Parameters!$H16</f>
        <v>1375</v>
      </c>
      <c r="G4" s="50">
        <f>Parameters!H17</f>
        <v>1385</v>
      </c>
      <c r="H4" s="50">
        <f>Parameters!$H18</f>
        <v>1726.0000000000002</v>
      </c>
      <c r="I4" s="50">
        <f>Parameters!$H19</f>
        <v>2084</v>
      </c>
      <c r="J4" s="50">
        <f>Parameters!$H20</f>
        <v>2629</v>
      </c>
      <c r="K4" s="50">
        <f>Parameters!$H21</f>
        <v>2832.0000000000005</v>
      </c>
      <c r="L4" s="50">
        <f>Parameters!$H22</f>
        <v>3570</v>
      </c>
      <c r="M4" s="50">
        <f>Parameters!$H23</f>
        <v>3772</v>
      </c>
      <c r="N4" s="50">
        <f>Parameters!$H24</f>
        <v>4500</v>
      </c>
      <c r="O4" s="50">
        <f>Parameters!$H25</f>
        <v>5450</v>
      </c>
      <c r="P4" s="50">
        <f>Parameters!$H26</f>
        <v>7796</v>
      </c>
      <c r="Q4" s="50">
        <f>Parameters!$H27</f>
        <v>9390</v>
      </c>
      <c r="R4" s="50">
        <f>Parameters!$H28</f>
        <v>17100</v>
      </c>
      <c r="S4" s="50">
        <f>Parameters!$H29</f>
        <v>23590.999999999996</v>
      </c>
      <c r="T4" s="50">
        <f>Parameters!$H30</f>
        <v>39700</v>
      </c>
      <c r="U4" s="50">
        <f>Parameters!$H31</f>
        <v>43500</v>
      </c>
      <c r="V4" s="50">
        <f>Parameters!$H32</f>
        <v>57600</v>
      </c>
      <c r="W4" s="47"/>
    </row>
    <row r="5" spans="1:23" ht="15.75" thickBot="1">
      <c r="A5" s="49" t="s">
        <v>125</v>
      </c>
      <c r="B5" s="149">
        <v>2.9282407407407412E-3</v>
      </c>
      <c r="C5" s="51">
        <f>C4/86400</f>
        <v>9.8726851851851857E-3</v>
      </c>
      <c r="D5" s="51">
        <f>D4/86400</f>
        <v>1.1875E-2</v>
      </c>
      <c r="E5" s="51">
        <f>ROUND(+E4/86400,4)</f>
        <v>1.2800000000000001E-2</v>
      </c>
      <c r="F5" s="51">
        <f t="shared" ref="F5:V5" si="0">F4/86400</f>
        <v>1.5914351851851853E-2</v>
      </c>
      <c r="G5" s="51">
        <f t="shared" si="0"/>
        <v>1.6030092592592592E-2</v>
      </c>
      <c r="H5" s="51">
        <f t="shared" si="0"/>
        <v>1.9976851851851853E-2</v>
      </c>
      <c r="I5" s="51">
        <f t="shared" si="0"/>
        <v>2.4120370370370372E-2</v>
      </c>
      <c r="J5" s="51">
        <f t="shared" si="0"/>
        <v>3.0428240740740742E-2</v>
      </c>
      <c r="K5" s="51">
        <f t="shared" si="0"/>
        <v>3.2777777777777781E-2</v>
      </c>
      <c r="L5" s="51">
        <f t="shared" si="0"/>
        <v>4.1319444444444443E-2</v>
      </c>
      <c r="M5" s="51">
        <f t="shared" si="0"/>
        <v>4.3657407407407409E-2</v>
      </c>
      <c r="N5" s="51">
        <f t="shared" si="0"/>
        <v>5.2083333333333336E-2</v>
      </c>
      <c r="O5" s="51">
        <f t="shared" si="0"/>
        <v>6.3078703703703706E-2</v>
      </c>
      <c r="P5" s="51">
        <f t="shared" si="0"/>
        <v>9.0231481481481482E-2</v>
      </c>
      <c r="Q5" s="51">
        <f t="shared" si="0"/>
        <v>0.10868055555555556</v>
      </c>
      <c r="R5" s="51">
        <f t="shared" si="0"/>
        <v>0.19791666666666666</v>
      </c>
      <c r="S5" s="51">
        <f t="shared" si="0"/>
        <v>0.27304398148148146</v>
      </c>
      <c r="T5" s="52">
        <f t="shared" si="0"/>
        <v>0.45949074074074076</v>
      </c>
      <c r="U5" s="52">
        <f t="shared" si="0"/>
        <v>0.50347222222222221</v>
      </c>
      <c r="V5" s="52">
        <f t="shared" si="0"/>
        <v>0.66666666666666663</v>
      </c>
      <c r="W5" s="47"/>
    </row>
    <row r="6" spans="1:23">
      <c r="A6" s="53">
        <v>5</v>
      </c>
      <c r="B6" s="54">
        <f>ROUND(+Mile!E11,4)</f>
        <v>0.72199999999999998</v>
      </c>
      <c r="C6" s="54">
        <f>ROUND(+'5K'!E11,4)</f>
        <v>0.71530000000000005</v>
      </c>
      <c r="D6" s="54">
        <f>ROUND(+'6K'!E11,4)</f>
        <v>0.69420000000000004</v>
      </c>
      <c r="E6" s="54">
        <f>ROUND(+'4MI'!E11,4)</f>
        <v>0.68600000000000005</v>
      </c>
      <c r="F6" s="54">
        <f>ROUND(+'8K'!$E11,4)</f>
        <v>0.66090000000000004</v>
      </c>
      <c r="G6" s="54">
        <f>ROUND(+'5MI'!E11,4)</f>
        <v>0.66020000000000001</v>
      </c>
      <c r="H6" s="54">
        <f>ROUND(+'10K'!$E11,4)</f>
        <v>0.63500000000000001</v>
      </c>
      <c r="I6" s="54">
        <f>ROUND(+'12K'!$E11,4)</f>
        <v>0.61760000000000004</v>
      </c>
      <c r="J6" s="54">
        <f>ROUND(+'15K'!$E11,4)</f>
        <v>0.59619999999999995</v>
      </c>
      <c r="K6" s="54">
        <f>ROUND(+'10MI'!$E11,4)</f>
        <v>0.58950000000000002</v>
      </c>
      <c r="L6" s="54">
        <f>ROUND(+'20K'!$E11,4)</f>
        <v>0.56869999999999998</v>
      </c>
      <c r="M6" s="54">
        <f>ROUND(+H.Marathon!$E11,4)</f>
        <v>0.56359999999999999</v>
      </c>
      <c r="N6" s="54">
        <f>ROUND(+'25K'!$E11,4)</f>
        <v>0.55789999999999995</v>
      </c>
      <c r="O6" s="54">
        <f>ROUND(+'30K'!$E11,4)</f>
        <v>0.55189999999999995</v>
      </c>
      <c r="P6" s="54">
        <f>ROUND(+Marathon!$E11,4)</f>
        <v>0.54049999999999998</v>
      </c>
      <c r="Q6" s="54">
        <f>ROUND(+Marathon!$E11,4)</f>
        <v>0.54049999999999998</v>
      </c>
      <c r="R6" s="54">
        <f>ROUND(+Marathon!$E11,4)</f>
        <v>0.54049999999999998</v>
      </c>
      <c r="S6" s="54">
        <f>ROUND(+Marathon!$E11,4)</f>
        <v>0.54049999999999998</v>
      </c>
      <c r="T6" s="54">
        <f>ROUND(+Marathon!$E11,4)</f>
        <v>0.54049999999999998</v>
      </c>
      <c r="U6" s="54">
        <f>ROUND(+Marathon!$E11,4)</f>
        <v>0.54049999999999998</v>
      </c>
      <c r="V6" s="54">
        <f>ROUND(+Marathon!$E11,4)</f>
        <v>0.54049999999999998</v>
      </c>
      <c r="W6" s="47"/>
    </row>
    <row r="7" spans="1:23">
      <c r="A7" s="49">
        <v>6</v>
      </c>
      <c r="B7" s="55">
        <f>ROUND(+Mile!E12,4)</f>
        <v>0.75129999999999997</v>
      </c>
      <c r="C7" s="55">
        <f>ROUND(+'5K'!E12,4)</f>
        <v>0.74339999999999995</v>
      </c>
      <c r="D7" s="55">
        <f>ROUND(+'6K'!E12,4)</f>
        <v>0.72440000000000004</v>
      </c>
      <c r="E7" s="55">
        <f>ROUND(+'4MI'!E12,4)</f>
        <v>0.71699999999999997</v>
      </c>
      <c r="F7" s="55">
        <f>ROUND(+'8K'!$E12,4)</f>
        <v>0.69440000000000002</v>
      </c>
      <c r="G7" s="55">
        <f>ROUND(+'5MI'!E12,4)</f>
        <v>0.69379999999999997</v>
      </c>
      <c r="H7" s="55">
        <f>ROUND(+'10K'!$E12,4)</f>
        <v>0.67110000000000003</v>
      </c>
      <c r="I7" s="56">
        <f>ROUND(+'12K'!$E12,4)</f>
        <v>0.65500000000000003</v>
      </c>
      <c r="J7" s="55">
        <f>ROUND(+'15K'!$E12,4)</f>
        <v>0.63529999999999998</v>
      </c>
      <c r="K7" s="55">
        <f>ROUND(+'10MI'!$E12,4)</f>
        <v>0.62909999999999999</v>
      </c>
      <c r="L7" s="55">
        <f>ROUND(+'20K'!$E12,4)</f>
        <v>0.6099</v>
      </c>
      <c r="M7" s="55">
        <f>ROUND(+H.Marathon!$E12,4)</f>
        <v>0.60519999999999996</v>
      </c>
      <c r="N7" s="55">
        <f>ROUND(+'25K'!$E12,4)</f>
        <v>0.6008</v>
      </c>
      <c r="O7" s="55">
        <f>ROUND(+'30K'!$E12,4)</f>
        <v>0.59619999999999995</v>
      </c>
      <c r="P7" s="55">
        <f>ROUND(+Marathon!$E12,4)</f>
        <v>0.58740000000000003</v>
      </c>
      <c r="Q7" s="55">
        <f>ROUND(+Marathon!$E12,4)</f>
        <v>0.58740000000000003</v>
      </c>
      <c r="R7" s="55">
        <f>ROUND(+Marathon!$E12,4)</f>
        <v>0.58740000000000003</v>
      </c>
      <c r="S7" s="55">
        <f>ROUND(+Marathon!$E12,4)</f>
        <v>0.58740000000000003</v>
      </c>
      <c r="T7" s="55">
        <f>ROUND(+Marathon!$E12,4)</f>
        <v>0.58740000000000003</v>
      </c>
      <c r="U7" s="55">
        <f>ROUND(+Marathon!$E12,4)</f>
        <v>0.58740000000000003</v>
      </c>
      <c r="V7" s="55">
        <f>ROUND(+Marathon!$E12,4)</f>
        <v>0.58740000000000003</v>
      </c>
      <c r="W7" s="47"/>
    </row>
    <row r="8" spans="1:23">
      <c r="A8" s="49">
        <v>7</v>
      </c>
      <c r="B8" s="55">
        <f>ROUND(+Mile!E13,4)</f>
        <v>0.7792</v>
      </c>
      <c r="C8" s="55">
        <f>ROUND(+'5K'!E13,4)</f>
        <v>0.77</v>
      </c>
      <c r="D8" s="55">
        <f>ROUND(+'6K'!E13,4)</f>
        <v>0.753</v>
      </c>
      <c r="E8" s="55">
        <f>ROUND(+'4MI'!E13,4)</f>
        <v>0.74650000000000005</v>
      </c>
      <c r="F8" s="55">
        <f>ROUND(+'8K'!$E13,4)</f>
        <v>0.72629999999999995</v>
      </c>
      <c r="G8" s="55">
        <f>ROUND(+'5MI'!E13,4)</f>
        <v>0.72570000000000001</v>
      </c>
      <c r="H8" s="55">
        <f>ROUND(+'10K'!$E13,4)</f>
        <v>0.70550000000000002</v>
      </c>
      <c r="I8" s="56">
        <f>ROUND(+'12K'!$E13,4)</f>
        <v>0.69069999999999998</v>
      </c>
      <c r="J8" s="55">
        <f>ROUND(+'15K'!$E13,4)</f>
        <v>0.67249999999999999</v>
      </c>
      <c r="K8" s="55">
        <f>ROUND(+'10MI'!$E13,4)</f>
        <v>0.66679999999999995</v>
      </c>
      <c r="L8" s="55">
        <f>ROUND(+'20K'!$E13,4)</f>
        <v>0.64910000000000001</v>
      </c>
      <c r="M8" s="55">
        <f>ROUND(+H.Marathon!$E13,4)</f>
        <v>0.64480000000000004</v>
      </c>
      <c r="N8" s="55">
        <f>ROUND(+'25K'!$E13,4)</f>
        <v>0.64139999999999997</v>
      </c>
      <c r="O8" s="55">
        <f>ROUND(+'30K'!$E13,4)</f>
        <v>0.63780000000000003</v>
      </c>
      <c r="P8" s="55">
        <f>ROUND(+Marathon!$E13,4)</f>
        <v>0.63109999999999999</v>
      </c>
      <c r="Q8" s="55">
        <f>ROUND(+Marathon!$E13,4)</f>
        <v>0.63109999999999999</v>
      </c>
      <c r="R8" s="55">
        <f>ROUND(+Marathon!$E13,4)</f>
        <v>0.63109999999999999</v>
      </c>
      <c r="S8" s="55">
        <f>ROUND(+Marathon!$E13,4)</f>
        <v>0.63109999999999999</v>
      </c>
      <c r="T8" s="55">
        <f>ROUND(+Marathon!$E13,4)</f>
        <v>0.63109999999999999</v>
      </c>
      <c r="U8" s="55">
        <f>ROUND(+Marathon!$E13,4)</f>
        <v>0.63109999999999999</v>
      </c>
      <c r="V8" s="55">
        <f>ROUND(+Marathon!$E13,4)</f>
        <v>0.63109999999999999</v>
      </c>
      <c r="W8" s="47"/>
    </row>
    <row r="9" spans="1:23">
      <c r="A9" s="49">
        <v>8</v>
      </c>
      <c r="B9" s="55">
        <f>ROUND(+Mile!E14,4)</f>
        <v>0.80569999999999997</v>
      </c>
      <c r="C9" s="55">
        <f>ROUND(+'5K'!E14,4)</f>
        <v>0.79510000000000003</v>
      </c>
      <c r="D9" s="55">
        <f>ROUND(+'6K'!E14,4)</f>
        <v>0.78010000000000002</v>
      </c>
      <c r="E9" s="55">
        <f>ROUND(+'4MI'!E14,4)</f>
        <v>0.77429999999999999</v>
      </c>
      <c r="F9" s="55">
        <f>ROUND(+'8K'!$E14,4)</f>
        <v>0.75639999999999996</v>
      </c>
      <c r="G9" s="55">
        <f>ROUND(+'5MI'!E14,4)</f>
        <v>0.75600000000000001</v>
      </c>
      <c r="H9" s="55">
        <f>ROUND(+'10K'!$E14,4)</f>
        <v>0.73809999999999998</v>
      </c>
      <c r="I9" s="56">
        <f>ROUND(+'12K'!$E14,4)</f>
        <v>0.72450000000000003</v>
      </c>
      <c r="J9" s="55">
        <f>ROUND(+'15K'!$E14,4)</f>
        <v>0.70779999999999998</v>
      </c>
      <c r="K9" s="55">
        <f>ROUND(+'10MI'!$E14,4)</f>
        <v>0.70250000000000001</v>
      </c>
      <c r="L9" s="55">
        <f>ROUND(+'20K'!$E14,4)</f>
        <v>0.68630000000000002</v>
      </c>
      <c r="M9" s="55">
        <f>ROUND(+H.Marathon!$E14,4)</f>
        <v>0.68230000000000002</v>
      </c>
      <c r="N9" s="55">
        <f>ROUND(+'25K'!$E14,4)</f>
        <v>0.67969999999999997</v>
      </c>
      <c r="O9" s="55">
        <f>ROUND(+'30K'!$E14,4)</f>
        <v>0.67700000000000005</v>
      </c>
      <c r="P9" s="55">
        <f>ROUND(+Marathon!$E14,4)</f>
        <v>0.67179999999999995</v>
      </c>
      <c r="Q9" s="55">
        <f>ROUND(+Marathon!$E14,4)</f>
        <v>0.67179999999999995</v>
      </c>
      <c r="R9" s="55">
        <f>ROUND(+Marathon!$E14,4)</f>
        <v>0.67179999999999995</v>
      </c>
      <c r="S9" s="55">
        <f>ROUND(+Marathon!$E14,4)</f>
        <v>0.67179999999999995</v>
      </c>
      <c r="T9" s="55">
        <f>ROUND(+Marathon!$E14,4)</f>
        <v>0.67179999999999995</v>
      </c>
      <c r="U9" s="55">
        <f>ROUND(+Marathon!$E14,4)</f>
        <v>0.67179999999999995</v>
      </c>
      <c r="V9" s="55">
        <f>ROUND(+Marathon!$E14,4)</f>
        <v>0.67179999999999995</v>
      </c>
      <c r="W9" s="47"/>
    </row>
    <row r="10" spans="1:23">
      <c r="A10" s="49">
        <v>9</v>
      </c>
      <c r="B10" s="55">
        <f>ROUND(+Mile!E15,4)</f>
        <v>0.83079999999999998</v>
      </c>
      <c r="C10" s="55">
        <f>ROUND(+'5K'!E15,4)</f>
        <v>0.81879999999999997</v>
      </c>
      <c r="D10" s="55">
        <f>ROUND(+'6K'!E15,4)</f>
        <v>0.80559999999999998</v>
      </c>
      <c r="E10" s="55">
        <f>ROUND(+'4MI'!E15,4)</f>
        <v>0.80059999999999998</v>
      </c>
      <c r="F10" s="55">
        <f>ROUND(+'8K'!$E15,4)</f>
        <v>0.78490000000000004</v>
      </c>
      <c r="G10" s="55">
        <f>ROUND(+'5MI'!E15,4)</f>
        <v>0.78449999999999998</v>
      </c>
      <c r="H10" s="55">
        <f>ROUND(+'10K'!$E15,4)</f>
        <v>0.76880000000000004</v>
      </c>
      <c r="I10" s="56">
        <f>ROUND(+'12K'!$E15,4)</f>
        <v>0.75629999999999997</v>
      </c>
      <c r="J10" s="55">
        <f>ROUND(+'15K'!$E15,4)</f>
        <v>0.74109999999999998</v>
      </c>
      <c r="K10" s="55">
        <f>ROUND(+'10MI'!$E15,4)</f>
        <v>0.73629999999999995</v>
      </c>
      <c r="L10" s="55">
        <f>ROUND(+'20K'!$E15,4)</f>
        <v>0.72140000000000004</v>
      </c>
      <c r="M10" s="55">
        <f>ROUND(+H.Marathon!$E15,4)</f>
        <v>0.71779999999999999</v>
      </c>
      <c r="N10" s="55">
        <f>ROUND(+'25K'!$E15,4)</f>
        <v>0.7157</v>
      </c>
      <c r="O10" s="55">
        <f>ROUND(+'30K'!$E15,4)</f>
        <v>0.71350000000000002</v>
      </c>
      <c r="P10" s="55">
        <f>ROUND(+Marathon!$E15,4)</f>
        <v>0.70930000000000004</v>
      </c>
      <c r="Q10" s="55">
        <f>ROUND(+Marathon!$E15,4)</f>
        <v>0.70930000000000004</v>
      </c>
      <c r="R10" s="55">
        <f>ROUND(+Marathon!$E15,4)</f>
        <v>0.70930000000000004</v>
      </c>
      <c r="S10" s="55">
        <f>ROUND(+Marathon!$E15,4)</f>
        <v>0.70930000000000004</v>
      </c>
      <c r="T10" s="55">
        <f>ROUND(+Marathon!$E15,4)</f>
        <v>0.70930000000000004</v>
      </c>
      <c r="U10" s="55">
        <f>ROUND(+Marathon!$E15,4)</f>
        <v>0.70930000000000004</v>
      </c>
      <c r="V10" s="55">
        <f>ROUND(+Marathon!$E15,4)</f>
        <v>0.70930000000000004</v>
      </c>
      <c r="W10" s="47"/>
    </row>
    <row r="11" spans="1:23">
      <c r="A11" s="57">
        <v>10</v>
      </c>
      <c r="B11" s="58">
        <f>ROUND(+Mile!E16,4)</f>
        <v>0.85450000000000004</v>
      </c>
      <c r="C11" s="58">
        <f>ROUND(+'5K'!E16,4)</f>
        <v>0.84099999999999997</v>
      </c>
      <c r="D11" s="58">
        <f>ROUND(+'6K'!E16,4)</f>
        <v>0.8296</v>
      </c>
      <c r="E11" s="58">
        <f>ROUND(+'4MI'!E16,4)</f>
        <v>0.82520000000000004</v>
      </c>
      <c r="F11" s="58">
        <f>ROUND(+'8K'!$E16,4)</f>
        <v>0.81159999999999999</v>
      </c>
      <c r="G11" s="58">
        <f>ROUND(+'5MI'!E16,4)</f>
        <v>0.81130000000000002</v>
      </c>
      <c r="H11" s="58">
        <f>ROUND(+'10K'!$E16,4)</f>
        <v>0.79769999999999996</v>
      </c>
      <c r="I11" s="58">
        <f>ROUND(+'12K'!$E16,4)</f>
        <v>0.78639999999999999</v>
      </c>
      <c r="J11" s="58">
        <f>ROUND(+'15K'!$E16,4)</f>
        <v>0.77249999999999996</v>
      </c>
      <c r="K11" s="58">
        <f>ROUND(+'10MI'!$E16,4)</f>
        <v>0.7681</v>
      </c>
      <c r="L11" s="58">
        <f>ROUND(+'20K'!$E16,4)</f>
        <v>0.75460000000000005</v>
      </c>
      <c r="M11" s="58">
        <f>ROUND(+H.Marathon!$E16,4)</f>
        <v>0.75129999999999997</v>
      </c>
      <c r="N11" s="58">
        <f>ROUND(+'25K'!$E16,4)</f>
        <v>0.74950000000000006</v>
      </c>
      <c r="O11" s="58">
        <f>ROUND(+'30K'!$E16,4)</f>
        <v>0.74750000000000005</v>
      </c>
      <c r="P11" s="58">
        <f>ROUND(+Marathon!$E16,4)</f>
        <v>0.74380000000000002</v>
      </c>
      <c r="Q11" s="58">
        <f>ROUND(+Marathon!$E16,4)</f>
        <v>0.74380000000000002</v>
      </c>
      <c r="R11" s="58">
        <f>ROUND(+Marathon!$E16,4)</f>
        <v>0.74380000000000002</v>
      </c>
      <c r="S11" s="58">
        <f>ROUND(+Marathon!$E16,4)</f>
        <v>0.74380000000000002</v>
      </c>
      <c r="T11" s="58">
        <f>ROUND(+Marathon!$E16,4)</f>
        <v>0.74380000000000002</v>
      </c>
      <c r="U11" s="58">
        <f>ROUND(+Marathon!$E16,4)</f>
        <v>0.74380000000000002</v>
      </c>
      <c r="V11" s="58">
        <f>ROUND(+Marathon!$E16,4)</f>
        <v>0.74380000000000002</v>
      </c>
      <c r="W11" s="47"/>
    </row>
    <row r="12" spans="1:23">
      <c r="A12" s="49">
        <v>11</v>
      </c>
      <c r="B12" s="55">
        <f>ROUND(+Mile!E17,4)</f>
        <v>0.87680000000000002</v>
      </c>
      <c r="C12" s="55">
        <f>ROUND(+'5K'!E17,4)</f>
        <v>0.86170000000000002</v>
      </c>
      <c r="D12" s="55">
        <f>ROUND(+'6K'!E17,4)</f>
        <v>0.85199999999999998</v>
      </c>
      <c r="E12" s="55">
        <f>ROUND(+'4MI'!E17,4)</f>
        <v>0.84819999999999995</v>
      </c>
      <c r="F12" s="55">
        <f>ROUND(+'8K'!$E17,4)</f>
        <v>0.8367</v>
      </c>
      <c r="G12" s="55">
        <f>ROUND(+'5MI'!E17,4)</f>
        <v>0.83640000000000003</v>
      </c>
      <c r="H12" s="55">
        <f>ROUND(+'10K'!$E17,4)</f>
        <v>0.82479999999999998</v>
      </c>
      <c r="I12" s="56">
        <f>ROUND(+'12K'!$E17,4)</f>
        <v>0.8145</v>
      </c>
      <c r="J12" s="55">
        <f>ROUND(+'15K'!$E17,4)</f>
        <v>0.80189999999999995</v>
      </c>
      <c r="K12" s="55">
        <f>ROUND(+'10MI'!$E17,4)</f>
        <v>0.79800000000000004</v>
      </c>
      <c r="L12" s="55">
        <f>ROUND(+'20K'!$E17,4)</f>
        <v>0.78569999999999995</v>
      </c>
      <c r="M12" s="55">
        <f>ROUND(+H.Marathon!$E17,4)</f>
        <v>0.78269999999999995</v>
      </c>
      <c r="N12" s="55">
        <f>ROUND(+'25K'!$E17,4)</f>
        <v>0.78080000000000005</v>
      </c>
      <c r="O12" s="55">
        <f>ROUND(+'30K'!$E17,4)</f>
        <v>0.77880000000000005</v>
      </c>
      <c r="P12" s="55">
        <f>ROUND(+Marathon!$E17,4)</f>
        <v>0.77510000000000001</v>
      </c>
      <c r="Q12" s="55">
        <f>ROUND(+Marathon!$E17,4)</f>
        <v>0.77510000000000001</v>
      </c>
      <c r="R12" s="55">
        <f>ROUND(+Marathon!$E17,4)</f>
        <v>0.77510000000000001</v>
      </c>
      <c r="S12" s="55">
        <f>ROUND(+Marathon!$E17,4)</f>
        <v>0.77510000000000001</v>
      </c>
      <c r="T12" s="55">
        <f>ROUND(+Marathon!$E17,4)</f>
        <v>0.77510000000000001</v>
      </c>
      <c r="U12" s="55">
        <f>ROUND(+Marathon!$E17,4)</f>
        <v>0.77510000000000001</v>
      </c>
      <c r="V12" s="55">
        <f>ROUND(+Marathon!$E17,4)</f>
        <v>0.77510000000000001</v>
      </c>
      <c r="W12" s="47"/>
    </row>
    <row r="13" spans="1:23">
      <c r="A13" s="49">
        <v>12</v>
      </c>
      <c r="B13" s="55">
        <f>ROUND(+Mile!E18,4)</f>
        <v>0.89770000000000005</v>
      </c>
      <c r="C13" s="55">
        <f>ROUND(+'5K'!E18,4)</f>
        <v>0.88090000000000002</v>
      </c>
      <c r="D13" s="55">
        <f>ROUND(+'6K'!E18,4)</f>
        <v>0.87280000000000002</v>
      </c>
      <c r="E13" s="55">
        <f>ROUND(+'4MI'!E18,4)</f>
        <v>0.86970000000000003</v>
      </c>
      <c r="F13" s="55">
        <f>ROUND(+'8K'!$E18,4)</f>
        <v>0.86</v>
      </c>
      <c r="G13" s="55">
        <f>ROUND(+'5MI'!E18,4)</f>
        <v>0.85980000000000001</v>
      </c>
      <c r="H13" s="55">
        <f>ROUND(+'10K'!$E18,4)</f>
        <v>0.85009999999999997</v>
      </c>
      <c r="I13" s="56">
        <f>ROUND(+'12K'!$E18,4)</f>
        <v>0.84079999999999999</v>
      </c>
      <c r="J13" s="55">
        <f>ROUND(+'15K'!$E18,4)</f>
        <v>0.82950000000000002</v>
      </c>
      <c r="K13" s="55">
        <f>ROUND(+'10MI'!$E18,4)</f>
        <v>0.82589999999999997</v>
      </c>
      <c r="L13" s="55">
        <f>ROUND(+'20K'!$E18,4)</f>
        <v>0.81479999999999997</v>
      </c>
      <c r="M13" s="55">
        <f>ROUND(+H.Marathon!$E18,4)</f>
        <v>0.81210000000000004</v>
      </c>
      <c r="N13" s="55">
        <f>ROUND(+'25K'!$E18,4)</f>
        <v>0.81</v>
      </c>
      <c r="O13" s="55">
        <f>ROUND(+'30K'!$E18,4)</f>
        <v>0.80769999999999997</v>
      </c>
      <c r="P13" s="55">
        <f>ROUND(+Marathon!$E18,4)</f>
        <v>0.8034</v>
      </c>
      <c r="Q13" s="55">
        <f>ROUND(+Marathon!$E18,4)</f>
        <v>0.8034</v>
      </c>
      <c r="R13" s="55">
        <f>ROUND(+Marathon!$E18,4)</f>
        <v>0.8034</v>
      </c>
      <c r="S13" s="55">
        <f>ROUND(+Marathon!$E18,4)</f>
        <v>0.8034</v>
      </c>
      <c r="T13" s="55">
        <f>ROUND(+Marathon!$E18,4)</f>
        <v>0.8034</v>
      </c>
      <c r="U13" s="55">
        <f>ROUND(+Marathon!$E18,4)</f>
        <v>0.8034</v>
      </c>
      <c r="V13" s="55">
        <f>ROUND(+Marathon!$E18,4)</f>
        <v>0.8034</v>
      </c>
      <c r="W13" s="47"/>
    </row>
    <row r="14" spans="1:23">
      <c r="A14" s="49">
        <v>13</v>
      </c>
      <c r="B14" s="55">
        <f>ROUND(+Mile!E19,4)</f>
        <v>0.91720000000000002</v>
      </c>
      <c r="C14" s="55">
        <f>ROUND(+'5K'!E19,4)</f>
        <v>0.89870000000000005</v>
      </c>
      <c r="D14" s="55">
        <f>ROUND(+'6K'!E19,4)</f>
        <v>0.8921</v>
      </c>
      <c r="E14" s="55">
        <f>ROUND(+'4MI'!E19,4)</f>
        <v>0.88949999999999996</v>
      </c>
      <c r="F14" s="55">
        <f>ROUND(+'8K'!$E19,4)</f>
        <v>0.88160000000000005</v>
      </c>
      <c r="G14" s="55">
        <f>ROUND(+'5MI'!E19,4)</f>
        <v>0.88139999999999996</v>
      </c>
      <c r="H14" s="55">
        <f>ROUND(+'10K'!$E19,4)</f>
        <v>0.87350000000000005</v>
      </c>
      <c r="I14" s="56">
        <f>ROUND(+'12K'!$E19,4)</f>
        <v>0.86519999999999997</v>
      </c>
      <c r="J14" s="55">
        <f>ROUND(+'15K'!$E19,4)</f>
        <v>0.85499999999999998</v>
      </c>
      <c r="K14" s="55">
        <f>ROUND(+'10MI'!$E19,4)</f>
        <v>0.8518</v>
      </c>
      <c r="L14" s="55">
        <f>ROUND(+'20K'!$E19,4)</f>
        <v>0.84179999999999999</v>
      </c>
      <c r="M14" s="55">
        <f>ROUND(+H.Marathon!$E19,4)</f>
        <v>0.83940000000000003</v>
      </c>
      <c r="N14" s="55">
        <f>ROUND(+'25K'!$E19,4)</f>
        <v>0.8367</v>
      </c>
      <c r="O14" s="55">
        <f>ROUND(+'30K'!$E19,4)</f>
        <v>0.83389999999999997</v>
      </c>
      <c r="P14" s="55">
        <f>ROUND(+Marathon!$E19,4)</f>
        <v>0.82850000000000001</v>
      </c>
      <c r="Q14" s="55">
        <f>ROUND(+Marathon!$E19,4)</f>
        <v>0.82850000000000001</v>
      </c>
      <c r="R14" s="55">
        <f>ROUND(+Marathon!$E19,4)</f>
        <v>0.82850000000000001</v>
      </c>
      <c r="S14" s="55">
        <f>ROUND(+Marathon!$E19,4)</f>
        <v>0.82850000000000001</v>
      </c>
      <c r="T14" s="55">
        <f>ROUND(+Marathon!$E19,4)</f>
        <v>0.82850000000000001</v>
      </c>
      <c r="U14" s="55">
        <f>ROUND(+Marathon!$E19,4)</f>
        <v>0.82850000000000001</v>
      </c>
      <c r="V14" s="55">
        <f>ROUND(+Marathon!$E19,4)</f>
        <v>0.82850000000000001</v>
      </c>
      <c r="W14" s="47"/>
    </row>
    <row r="15" spans="1:23">
      <c r="A15" s="49">
        <v>14</v>
      </c>
      <c r="B15" s="55">
        <f>ROUND(+Mile!E20,4)</f>
        <v>0.93530000000000002</v>
      </c>
      <c r="C15" s="55">
        <f>ROUND(+'5K'!E20,4)</f>
        <v>0.91500000000000004</v>
      </c>
      <c r="D15" s="55">
        <f>ROUND(+'6K'!E20,4)</f>
        <v>0.90980000000000005</v>
      </c>
      <c r="E15" s="55">
        <f>ROUND(+'4MI'!E20,4)</f>
        <v>0.90769999999999995</v>
      </c>
      <c r="F15" s="55">
        <f>ROUND(+'8K'!$E20,4)</f>
        <v>0.90149999999999997</v>
      </c>
      <c r="G15" s="55">
        <f>ROUND(+'5MI'!E20,4)</f>
        <v>0.90129999999999999</v>
      </c>
      <c r="H15" s="55">
        <f>ROUND(+'10K'!$E20,4)</f>
        <v>0.89510000000000001</v>
      </c>
      <c r="I15" s="56">
        <f>ROUND(+'12K'!$E20,4)</f>
        <v>0.88770000000000004</v>
      </c>
      <c r="J15" s="55">
        <f>ROUND(+'15K'!$E20,4)</f>
        <v>0.87860000000000005</v>
      </c>
      <c r="K15" s="55">
        <f>ROUND(+'10MI'!$E20,4)</f>
        <v>0.87570000000000003</v>
      </c>
      <c r="L15" s="55">
        <f>ROUND(+'20K'!$E20,4)</f>
        <v>0.8669</v>
      </c>
      <c r="M15" s="55">
        <f>ROUND(+H.Marathon!$E20,4)</f>
        <v>0.86470000000000002</v>
      </c>
      <c r="N15" s="55">
        <f>ROUND(+'25K'!$E20,4)</f>
        <v>0.86119999999999997</v>
      </c>
      <c r="O15" s="55">
        <f>ROUND(+'30K'!$E20,4)</f>
        <v>0.85750000000000004</v>
      </c>
      <c r="P15" s="55">
        <f>ROUND(+Marathon!$E20,4)</f>
        <v>0.85060000000000002</v>
      </c>
      <c r="Q15" s="55">
        <f>ROUND(+Marathon!$E20,4)</f>
        <v>0.85060000000000002</v>
      </c>
      <c r="R15" s="55">
        <f>ROUND(+Marathon!$E20,4)</f>
        <v>0.85060000000000002</v>
      </c>
      <c r="S15" s="55">
        <f>ROUND(+Marathon!$E20,4)</f>
        <v>0.85060000000000002</v>
      </c>
      <c r="T15" s="55">
        <f>ROUND(+Marathon!$E20,4)</f>
        <v>0.85060000000000002</v>
      </c>
      <c r="U15" s="55">
        <f>ROUND(+Marathon!$E20,4)</f>
        <v>0.85060000000000002</v>
      </c>
      <c r="V15" s="55">
        <f>ROUND(+Marathon!$E20,4)</f>
        <v>0.85060000000000002</v>
      </c>
      <c r="W15" s="47"/>
    </row>
    <row r="16" spans="1:23">
      <c r="A16" s="57">
        <v>15</v>
      </c>
      <c r="B16" s="58">
        <f>ROUND(+Mile!E21,4)</f>
        <v>0.95199999999999996</v>
      </c>
      <c r="C16" s="58">
        <f>ROUND(+'5K'!E21,4)</f>
        <v>0.92979999999999996</v>
      </c>
      <c r="D16" s="58">
        <f>ROUND(+'6K'!E21,4)</f>
        <v>0.92589999999999995</v>
      </c>
      <c r="E16" s="58">
        <f>ROUND(+'4MI'!E21,4)</f>
        <v>0.9244</v>
      </c>
      <c r="F16" s="58">
        <f>ROUND(+'8K'!$E21,4)</f>
        <v>0.91979999999999995</v>
      </c>
      <c r="G16" s="58">
        <f>ROUND(+'5MI'!E21,4)</f>
        <v>0.91959999999999997</v>
      </c>
      <c r="H16" s="58">
        <f>ROUND(+'10K'!$E21,4)</f>
        <v>0.91500000000000004</v>
      </c>
      <c r="I16" s="58">
        <f>ROUND(+'12K'!$E21,4)</f>
        <v>0.90839999999999999</v>
      </c>
      <c r="J16" s="58">
        <f>ROUND(+'15K'!$E21,4)</f>
        <v>0.90029999999999999</v>
      </c>
      <c r="K16" s="58">
        <f>ROUND(+'10MI'!$E21,4)</f>
        <v>0.89770000000000005</v>
      </c>
      <c r="L16" s="58">
        <f>ROUND(+'20K'!$E21,4)</f>
        <v>0.88980000000000004</v>
      </c>
      <c r="M16" s="58">
        <f>ROUND(+H.Marathon!$E21,4)</f>
        <v>0.88790000000000002</v>
      </c>
      <c r="N16" s="58">
        <f>ROUND(+'25K'!$E21,4)</f>
        <v>0.88339999999999996</v>
      </c>
      <c r="O16" s="58">
        <f>ROUND(+'30K'!$E21,4)</f>
        <v>0.87860000000000005</v>
      </c>
      <c r="P16" s="58">
        <f>ROUND(+Marathon!$E21,4)</f>
        <v>0.86950000000000005</v>
      </c>
      <c r="Q16" s="58">
        <f>ROUND(+Marathon!$E21,4)</f>
        <v>0.86950000000000005</v>
      </c>
      <c r="R16" s="58">
        <f>ROUND(+Marathon!$E21,4)</f>
        <v>0.86950000000000005</v>
      </c>
      <c r="S16" s="58">
        <f>ROUND(+Marathon!$E21,4)</f>
        <v>0.86950000000000005</v>
      </c>
      <c r="T16" s="58">
        <f>ROUND(+Marathon!$E21,4)</f>
        <v>0.86950000000000005</v>
      </c>
      <c r="U16" s="58">
        <f>ROUND(+Marathon!$E21,4)</f>
        <v>0.86950000000000005</v>
      </c>
      <c r="V16" s="58">
        <f>ROUND(+Marathon!$E21,4)</f>
        <v>0.86950000000000005</v>
      </c>
      <c r="W16" s="47"/>
    </row>
    <row r="17" spans="1:23">
      <c r="A17" s="49">
        <v>16</v>
      </c>
      <c r="B17" s="55">
        <f>ROUND(+Mile!E22,4)</f>
        <v>0.96799999999999997</v>
      </c>
      <c r="C17" s="55">
        <f>ROUND(+'5K'!E22,4)</f>
        <v>0.94379999999999997</v>
      </c>
      <c r="D17" s="55">
        <f>ROUND(+'6K'!E22,4)</f>
        <v>0.94120000000000004</v>
      </c>
      <c r="E17" s="55">
        <f>ROUND(+'4MI'!E22,4)</f>
        <v>0.94020000000000004</v>
      </c>
      <c r="F17" s="55">
        <f>ROUND(+'8K'!$E22,4)</f>
        <v>0.93710000000000004</v>
      </c>
      <c r="G17" s="55">
        <f>ROUND(+'5MI'!E22,4)</f>
        <v>0.93700000000000006</v>
      </c>
      <c r="H17" s="55">
        <f>ROUND(+'10K'!$E22,4)</f>
        <v>0.93389999999999995</v>
      </c>
      <c r="I17" s="56">
        <f>ROUND(+'12K'!$E22,4)</f>
        <v>0.92779999999999996</v>
      </c>
      <c r="J17" s="55">
        <f>ROUND(+'15K'!$E22,4)</f>
        <v>0.9204</v>
      </c>
      <c r="K17" s="55">
        <f>ROUND(+'10MI'!$E22,4)</f>
        <v>0.91810000000000003</v>
      </c>
      <c r="L17" s="55">
        <f>ROUND(+'20K'!$E22,4)</f>
        <v>0.91090000000000004</v>
      </c>
      <c r="M17" s="55">
        <f>ROUND(+H.Marathon!$E22,4)</f>
        <v>0.90910000000000002</v>
      </c>
      <c r="N17" s="55">
        <f>ROUND(+'25K'!$E22,4)</f>
        <v>0.90369999999999995</v>
      </c>
      <c r="O17" s="55">
        <f>ROUND(+'30K'!$E22,4)</f>
        <v>0.89780000000000004</v>
      </c>
      <c r="P17" s="55">
        <f>ROUND(+Marathon!$E22,4)</f>
        <v>0.88690000000000002</v>
      </c>
      <c r="Q17" s="55">
        <f>ROUND(+Marathon!$E22,4)</f>
        <v>0.88690000000000002</v>
      </c>
      <c r="R17" s="55">
        <f>ROUND(+Marathon!$E22,4)</f>
        <v>0.88690000000000002</v>
      </c>
      <c r="S17" s="55">
        <f>ROUND(+Marathon!$E22,4)</f>
        <v>0.88690000000000002</v>
      </c>
      <c r="T17" s="55">
        <f>ROUND(+Marathon!$E22,4)</f>
        <v>0.88690000000000002</v>
      </c>
      <c r="U17" s="55">
        <f>ROUND(+Marathon!$E22,4)</f>
        <v>0.88690000000000002</v>
      </c>
      <c r="V17" s="55">
        <f>ROUND(+Marathon!$E22,4)</f>
        <v>0.88690000000000002</v>
      </c>
      <c r="W17" s="47"/>
    </row>
    <row r="18" spans="1:23">
      <c r="A18" s="49">
        <v>17</v>
      </c>
      <c r="B18" s="55">
        <f>ROUND(+Mile!E23,4)</f>
        <v>0.98399999999999999</v>
      </c>
      <c r="C18" s="55">
        <f>ROUND(+'5K'!E23,4)</f>
        <v>0.95789999999999997</v>
      </c>
      <c r="D18" s="55">
        <f>ROUND(+'6K'!E23,4)</f>
        <v>0.95660000000000001</v>
      </c>
      <c r="E18" s="55">
        <f>ROUND(+'4MI'!E23,4)</f>
        <v>0.95599999999999996</v>
      </c>
      <c r="F18" s="55">
        <f>ROUND(+'8K'!$E23,4)</f>
        <v>0.95440000000000003</v>
      </c>
      <c r="G18" s="55">
        <f>ROUND(+'5MI'!E23,4)</f>
        <v>0.95440000000000003</v>
      </c>
      <c r="H18" s="55">
        <f>ROUND(+'10K'!$E23,4)</f>
        <v>0.95279999999999998</v>
      </c>
      <c r="I18" s="56">
        <f>ROUND(+'12K'!$E23,4)</f>
        <v>0.94710000000000005</v>
      </c>
      <c r="J18" s="55">
        <f>ROUND(+'15K'!$E23,4)</f>
        <v>0.94</v>
      </c>
      <c r="K18" s="55">
        <f>ROUND(+'10MI'!$E23,4)</f>
        <v>0.93779999999999997</v>
      </c>
      <c r="L18" s="55">
        <f>ROUND(+'20K'!$E23,4)</f>
        <v>0.93100000000000005</v>
      </c>
      <c r="M18" s="55">
        <f>ROUND(+H.Marathon!$E23,4)</f>
        <v>0.92930000000000001</v>
      </c>
      <c r="N18" s="55">
        <f>ROUND(+'25K'!$E23,4)</f>
        <v>0.92320000000000002</v>
      </c>
      <c r="O18" s="55">
        <f>ROUND(+'30K'!$E23,4)</f>
        <v>0.91659999999999997</v>
      </c>
      <c r="P18" s="55">
        <f>ROUND(+Marathon!$E23,4)</f>
        <v>0.90429999999999999</v>
      </c>
      <c r="Q18" s="55">
        <f>ROUND(+Marathon!$E23,4)</f>
        <v>0.90429999999999999</v>
      </c>
      <c r="R18" s="55">
        <f>ROUND(+Marathon!$E23,4)</f>
        <v>0.90429999999999999</v>
      </c>
      <c r="S18" s="55">
        <f>ROUND(+Marathon!$E23,4)</f>
        <v>0.90429999999999999</v>
      </c>
      <c r="T18" s="55">
        <f>ROUND(+Marathon!$E23,4)</f>
        <v>0.90429999999999999</v>
      </c>
      <c r="U18" s="55">
        <f>ROUND(+Marathon!$E23,4)</f>
        <v>0.90429999999999999</v>
      </c>
      <c r="V18" s="55">
        <f>ROUND(+Marathon!$E23,4)</f>
        <v>0.90429999999999999</v>
      </c>
      <c r="W18" s="47"/>
    </row>
    <row r="19" spans="1:23">
      <c r="A19" s="49">
        <v>18</v>
      </c>
      <c r="B19" s="55">
        <f>ROUND(+Mile!E24,4)</f>
        <v>0.996</v>
      </c>
      <c r="C19" s="55">
        <f>ROUND(+'5K'!E24,4)</f>
        <v>0.97189999999999999</v>
      </c>
      <c r="D19" s="55">
        <f>ROUND(+'6K'!E24,4)</f>
        <v>0.97130000000000005</v>
      </c>
      <c r="E19" s="55">
        <f>ROUND(+'4MI'!E24,4)</f>
        <v>0.97109999999999996</v>
      </c>
      <c r="F19" s="55">
        <f>ROUND(+'8K'!$E24,4)</f>
        <v>0.97050000000000003</v>
      </c>
      <c r="G19" s="55">
        <f>ROUND(+'5MI'!E24,4)</f>
        <v>0.97050000000000003</v>
      </c>
      <c r="H19" s="55">
        <f>ROUND(+'10K'!$E24,4)</f>
        <v>0.9698</v>
      </c>
      <c r="I19" s="56">
        <f>ROUND(+'12K'!$E24,4)</f>
        <v>0.96479999999999999</v>
      </c>
      <c r="J19" s="55">
        <f>ROUND(+'15K'!$E24,4)</f>
        <v>0.95879999999999999</v>
      </c>
      <c r="K19" s="55">
        <f>ROUND(+'10MI'!$E24,4)</f>
        <v>0.95689999999999997</v>
      </c>
      <c r="L19" s="55">
        <f>ROUND(+'20K'!$E24,4)</f>
        <v>0.95099999999999996</v>
      </c>
      <c r="M19" s="55">
        <f>ROUND(+H.Marathon!$E24,4)</f>
        <v>0.94950000000000001</v>
      </c>
      <c r="N19" s="55">
        <f>ROUND(+'25K'!$E24,4)</f>
        <v>0.94269999999999998</v>
      </c>
      <c r="O19" s="55">
        <f>ROUND(+'30K'!$E24,4)</f>
        <v>0.93540000000000001</v>
      </c>
      <c r="P19" s="55">
        <f>ROUND(+Marathon!$E24,4)</f>
        <v>0.92169999999999996</v>
      </c>
      <c r="Q19" s="55">
        <f>ROUND(+Marathon!$E24,4)</f>
        <v>0.92169999999999996</v>
      </c>
      <c r="R19" s="55">
        <f>ROUND(+Marathon!$E24,4)</f>
        <v>0.92169999999999996</v>
      </c>
      <c r="S19" s="55">
        <f>ROUND(+Marathon!$E24,4)</f>
        <v>0.92169999999999996</v>
      </c>
      <c r="T19" s="55">
        <f>ROUND(+Marathon!$E24,4)</f>
        <v>0.92169999999999996</v>
      </c>
      <c r="U19" s="55">
        <f>ROUND(+Marathon!$E24,4)</f>
        <v>0.92169999999999996</v>
      </c>
      <c r="V19" s="55">
        <f>ROUND(+Marathon!$E24,4)</f>
        <v>0.92169999999999996</v>
      </c>
      <c r="W19" s="47"/>
    </row>
    <row r="20" spans="1:23">
      <c r="A20" s="49">
        <v>19</v>
      </c>
      <c r="B20" s="55">
        <f>ROUND(+Mile!E25,4)</f>
        <v>1</v>
      </c>
      <c r="C20" s="55">
        <f>ROUND(+'5K'!E25,4)</f>
        <v>0.98419999999999996</v>
      </c>
      <c r="D20" s="55">
        <f>ROUND(+'6K'!E25,4)</f>
        <v>0.9839</v>
      </c>
      <c r="E20" s="55">
        <f>ROUND(+'4MI'!E25,4)</f>
        <v>0.98380000000000001</v>
      </c>
      <c r="F20" s="55">
        <f>ROUND(+'8K'!$E25,4)</f>
        <v>0.98340000000000005</v>
      </c>
      <c r="G20" s="55">
        <f>ROUND(+'5MI'!E25,4)</f>
        <v>0.98340000000000005</v>
      </c>
      <c r="H20" s="55">
        <f>ROUND(+'10K'!$E25,4)</f>
        <v>0.98299999999999998</v>
      </c>
      <c r="I20" s="56">
        <f>ROUND(+'12K'!$E25,4)</f>
        <v>0.9798</v>
      </c>
      <c r="J20" s="55">
        <f>ROUND(+'15K'!$E25,4)</f>
        <v>0.9758</v>
      </c>
      <c r="K20" s="55">
        <f>ROUND(+'10MI'!$E25,4)</f>
        <v>0.97450000000000003</v>
      </c>
      <c r="L20" s="55">
        <f>ROUND(+'20K'!$E25,4)</f>
        <v>0.97070000000000001</v>
      </c>
      <c r="M20" s="55">
        <f>ROUND(+H.Marathon!$E25,4)</f>
        <v>0.96970000000000001</v>
      </c>
      <c r="N20" s="55">
        <f>ROUND(+'25K'!$E25,4)</f>
        <v>0.96220000000000006</v>
      </c>
      <c r="O20" s="55">
        <f>ROUND(+'30K'!$E25,4)</f>
        <v>0.95420000000000005</v>
      </c>
      <c r="P20" s="55">
        <f>ROUND(+Marathon!$E25,4)</f>
        <v>0.93910000000000005</v>
      </c>
      <c r="Q20" s="55">
        <f>ROUND(+Marathon!$E25,4)</f>
        <v>0.93910000000000005</v>
      </c>
      <c r="R20" s="55">
        <f>ROUND(+Marathon!$E25,4)</f>
        <v>0.93910000000000005</v>
      </c>
      <c r="S20" s="55">
        <f>ROUND(+Marathon!$E25,4)</f>
        <v>0.93910000000000005</v>
      </c>
      <c r="T20" s="55">
        <f>ROUND(+Marathon!$E25,4)</f>
        <v>0.93910000000000005</v>
      </c>
      <c r="U20" s="55">
        <f>ROUND(+Marathon!$E25,4)</f>
        <v>0.93910000000000005</v>
      </c>
      <c r="V20" s="55">
        <f>ROUND(+Marathon!$E25,4)</f>
        <v>0.93910000000000005</v>
      </c>
      <c r="W20" s="47"/>
    </row>
    <row r="21" spans="1:23">
      <c r="A21" s="57">
        <v>20</v>
      </c>
      <c r="B21" s="58">
        <f>ROUND(+Mile!E26,4)</f>
        <v>1</v>
      </c>
      <c r="C21" s="58">
        <f>ROUND(+'5K'!E26,4)</f>
        <v>0.99299999999999999</v>
      </c>
      <c r="D21" s="58">
        <f>ROUND(+'6K'!E26,4)</f>
        <v>0.99280000000000002</v>
      </c>
      <c r="E21" s="58">
        <f>ROUND(+'4MI'!E26,4)</f>
        <v>0.99280000000000002</v>
      </c>
      <c r="F21" s="58">
        <f>ROUND(+'8K'!$E26,4)</f>
        <v>0.99260000000000004</v>
      </c>
      <c r="G21" s="58">
        <f>ROUND(+'5MI'!E26,4)</f>
        <v>0.99260000000000004</v>
      </c>
      <c r="H21" s="58">
        <f>ROUND(+'10K'!$E26,4)</f>
        <v>0.99239999999999995</v>
      </c>
      <c r="I21" s="58">
        <f>ROUND(+'12K'!$E26,4)</f>
        <v>0.99099999999999999</v>
      </c>
      <c r="J21" s="58">
        <f>ROUND(+'15K'!$E26,4)</f>
        <v>0.98919999999999997</v>
      </c>
      <c r="K21" s="58">
        <f>ROUND(+'10MI'!$E26,4)</f>
        <v>0.98860000000000003</v>
      </c>
      <c r="L21" s="58">
        <f>ROUND(+'20K'!$E26,4)</f>
        <v>0.9869</v>
      </c>
      <c r="M21" s="58">
        <f>ROUND(+H.Marathon!$E26,4)</f>
        <v>0.98650000000000004</v>
      </c>
      <c r="N21" s="58">
        <f>ROUND(+'25K'!$E26,4)</f>
        <v>0.97889999999999999</v>
      </c>
      <c r="O21" s="58">
        <f>ROUND(+'30K'!$E26,4)</f>
        <v>0.97070000000000001</v>
      </c>
      <c r="P21" s="58">
        <f>ROUND(+Marathon!$E26,4)</f>
        <v>0.95530000000000004</v>
      </c>
      <c r="Q21" s="58">
        <f>ROUND(+Marathon!$E26,4)</f>
        <v>0.95530000000000004</v>
      </c>
      <c r="R21" s="58">
        <f>ROUND(+Marathon!$E26,4)</f>
        <v>0.95530000000000004</v>
      </c>
      <c r="S21" s="58">
        <f>ROUND(+Marathon!$E26,4)</f>
        <v>0.95530000000000004</v>
      </c>
      <c r="T21" s="58">
        <f>ROUND(+Marathon!$E26,4)</f>
        <v>0.95530000000000004</v>
      </c>
      <c r="U21" s="58">
        <f>ROUND(+Marathon!$E26,4)</f>
        <v>0.95530000000000004</v>
      </c>
      <c r="V21" s="58">
        <f>ROUND(+Marathon!$E26,4)</f>
        <v>0.95530000000000004</v>
      </c>
      <c r="W21" s="47"/>
    </row>
    <row r="22" spans="1:23">
      <c r="A22" s="49">
        <v>21</v>
      </c>
      <c r="B22" s="55">
        <f>ROUND(+Mile!E27,4)</f>
        <v>1</v>
      </c>
      <c r="C22" s="55">
        <f>ROUND(+'5K'!E27,4)</f>
        <v>0.99819999999999998</v>
      </c>
      <c r="D22" s="55">
        <f>ROUND(+'6K'!E27,4)</f>
        <v>0.99819999999999998</v>
      </c>
      <c r="E22" s="55">
        <f>ROUND(+'4MI'!E27,4)</f>
        <v>0.99819999999999998</v>
      </c>
      <c r="F22" s="55">
        <f>ROUND(+'8K'!$E27,4)</f>
        <v>0.99809999999999999</v>
      </c>
      <c r="G22" s="55">
        <f>ROUND(+'5MI'!E27,4)</f>
        <v>0.99809999999999999</v>
      </c>
      <c r="H22" s="55">
        <f>ROUND(+'10K'!$E27,4)</f>
        <v>0.99809999999999999</v>
      </c>
      <c r="I22" s="56">
        <f>ROUND(+'12K'!$E27,4)</f>
        <v>0.99770000000000003</v>
      </c>
      <c r="J22" s="55">
        <f>ROUND(+'15K'!$E27,4)</f>
        <v>0.99729999999999996</v>
      </c>
      <c r="K22" s="55">
        <f>ROUND(+'10MI'!$E27,4)</f>
        <v>0.99709999999999999</v>
      </c>
      <c r="L22" s="55">
        <f>ROUND(+'20K'!$E27,4)</f>
        <v>0.99670000000000003</v>
      </c>
      <c r="M22" s="55">
        <f>ROUND(+H.Marathon!$E27,4)</f>
        <v>0.99660000000000004</v>
      </c>
      <c r="N22" s="55">
        <f>ROUND(+'25K'!$E27,4)</f>
        <v>0.98980000000000001</v>
      </c>
      <c r="O22" s="55">
        <f>ROUND(+'30K'!$E27,4)</f>
        <v>0.98250000000000004</v>
      </c>
      <c r="P22" s="55">
        <f>ROUND(+Marathon!$E27,4)</f>
        <v>0.96889999999999998</v>
      </c>
      <c r="Q22" s="55">
        <f>ROUND(+Marathon!$E27,4)</f>
        <v>0.96889999999999998</v>
      </c>
      <c r="R22" s="55">
        <f>ROUND(+Marathon!$E27,4)</f>
        <v>0.96889999999999998</v>
      </c>
      <c r="S22" s="55">
        <f>ROUND(+Marathon!$E27,4)</f>
        <v>0.96889999999999998</v>
      </c>
      <c r="T22" s="55">
        <f>ROUND(+Marathon!$E27,4)</f>
        <v>0.96889999999999998</v>
      </c>
      <c r="U22" s="55">
        <f>ROUND(+Marathon!$E27,4)</f>
        <v>0.96889999999999998</v>
      </c>
      <c r="V22" s="55">
        <f>ROUND(+Marathon!$E27,4)</f>
        <v>0.96889999999999998</v>
      </c>
      <c r="W22" s="47"/>
    </row>
    <row r="23" spans="1:23">
      <c r="A23" s="49">
        <v>22</v>
      </c>
      <c r="B23" s="55">
        <f>ROUND(+Mile!E28,4)</f>
        <v>1</v>
      </c>
      <c r="C23" s="55">
        <f>ROUND(+'5K'!E28,4)</f>
        <v>1</v>
      </c>
      <c r="D23" s="55">
        <f>ROUND(+'6K'!E28,4)</f>
        <v>1</v>
      </c>
      <c r="E23" s="55">
        <f>ROUND(+'4MI'!E28,4)</f>
        <v>1</v>
      </c>
      <c r="F23" s="55">
        <f>ROUND(+'8K'!$E28,4)</f>
        <v>1</v>
      </c>
      <c r="G23" s="55">
        <f>ROUND(+'5MI'!E28,4)</f>
        <v>1</v>
      </c>
      <c r="H23" s="55">
        <f>ROUND(+'10K'!$E28,4)</f>
        <v>1</v>
      </c>
      <c r="I23" s="56">
        <f>ROUND(+'12K'!$E28,4)</f>
        <v>1</v>
      </c>
      <c r="J23" s="55">
        <f>ROUND(+'15K'!$E28,4)</f>
        <v>1</v>
      </c>
      <c r="K23" s="55">
        <f>ROUND(+'10MI'!$E28,4)</f>
        <v>1</v>
      </c>
      <c r="L23" s="55">
        <f>ROUND(+'20K'!$E28,4)</f>
        <v>1</v>
      </c>
      <c r="M23" s="55">
        <f>ROUND(+H.Marathon!$E28,4)</f>
        <v>1</v>
      </c>
      <c r="N23" s="55">
        <f>ROUND(+'25K'!$E28,4)</f>
        <v>0.99509999999999998</v>
      </c>
      <c r="O23" s="55">
        <f>ROUND(+'30K'!$E28,4)</f>
        <v>0.9899</v>
      </c>
      <c r="P23" s="55">
        <f>ROUND(+Marathon!$E28,4)</f>
        <v>0.98009999999999997</v>
      </c>
      <c r="Q23" s="55">
        <f>ROUND(+Marathon!$E28,4)</f>
        <v>0.98009999999999997</v>
      </c>
      <c r="R23" s="55">
        <f>ROUND(+Marathon!$E28,4)</f>
        <v>0.98009999999999997</v>
      </c>
      <c r="S23" s="55">
        <f>ROUND(+Marathon!$E28,4)</f>
        <v>0.98009999999999997</v>
      </c>
      <c r="T23" s="55">
        <f>ROUND(+Marathon!$E28,4)</f>
        <v>0.98009999999999997</v>
      </c>
      <c r="U23" s="55">
        <f>ROUND(+Marathon!$E28,4)</f>
        <v>0.98009999999999997</v>
      </c>
      <c r="V23" s="55">
        <f>ROUND(+Marathon!$E28,4)</f>
        <v>0.98009999999999997</v>
      </c>
      <c r="W23" s="47"/>
    </row>
    <row r="24" spans="1:23">
      <c r="A24" s="49">
        <v>23</v>
      </c>
      <c r="B24" s="55">
        <f>ROUND(+Mile!E29,4)</f>
        <v>1</v>
      </c>
      <c r="C24" s="55">
        <f>ROUND(+'5K'!E29,4)</f>
        <v>1</v>
      </c>
      <c r="D24" s="55">
        <f>ROUND(+'6K'!E29,4)</f>
        <v>1</v>
      </c>
      <c r="E24" s="55">
        <f>ROUND(+'4MI'!E29,4)</f>
        <v>1</v>
      </c>
      <c r="F24" s="55">
        <f>ROUND(+'8K'!$E29,4)</f>
        <v>1</v>
      </c>
      <c r="G24" s="55">
        <f>ROUND(+'5MI'!E29,4)</f>
        <v>1</v>
      </c>
      <c r="H24" s="55">
        <f>ROUND(+'10K'!$E29,4)</f>
        <v>1</v>
      </c>
      <c r="I24" s="56">
        <f>ROUND(+'12K'!$E29,4)</f>
        <v>1</v>
      </c>
      <c r="J24" s="55">
        <f>ROUND(+'15K'!$E29,4)</f>
        <v>1</v>
      </c>
      <c r="K24" s="55">
        <f>ROUND(+'10MI'!$E29,4)</f>
        <v>1</v>
      </c>
      <c r="L24" s="55">
        <f>ROUND(+'20K'!$E29,4)</f>
        <v>1</v>
      </c>
      <c r="M24" s="55">
        <f>ROUND(+H.Marathon!$E29,4)</f>
        <v>1</v>
      </c>
      <c r="N24" s="55">
        <f>ROUND(+'25K'!$E29,4)</f>
        <v>0.99729999999999996</v>
      </c>
      <c r="O24" s="55">
        <f>ROUND(+'30K'!$E29,4)</f>
        <v>0.99429999999999996</v>
      </c>
      <c r="P24" s="55">
        <f>ROUND(+Marathon!$E29,4)</f>
        <v>0.98880000000000001</v>
      </c>
      <c r="Q24" s="55">
        <f>ROUND(+Marathon!$E29,4)</f>
        <v>0.98880000000000001</v>
      </c>
      <c r="R24" s="55">
        <f>ROUND(+Marathon!$E29,4)</f>
        <v>0.98880000000000001</v>
      </c>
      <c r="S24" s="55">
        <f>ROUND(+Marathon!$E29,4)</f>
        <v>0.98880000000000001</v>
      </c>
      <c r="T24" s="55">
        <f>ROUND(+Marathon!$E29,4)</f>
        <v>0.98880000000000001</v>
      </c>
      <c r="U24" s="55">
        <f>ROUND(+Marathon!$E29,4)</f>
        <v>0.98880000000000001</v>
      </c>
      <c r="V24" s="55">
        <f>ROUND(+Marathon!$E29,4)</f>
        <v>0.98880000000000001</v>
      </c>
      <c r="W24" s="47"/>
    </row>
    <row r="25" spans="1:23">
      <c r="A25" s="49">
        <v>24</v>
      </c>
      <c r="B25" s="55">
        <f>ROUND(+Mile!E30,4)</f>
        <v>1</v>
      </c>
      <c r="C25" s="55">
        <f>ROUND(+'5K'!E30,4)</f>
        <v>1</v>
      </c>
      <c r="D25" s="55">
        <f>ROUND(+'6K'!E30,4)</f>
        <v>1</v>
      </c>
      <c r="E25" s="55">
        <f>ROUND(+'4MI'!E30,4)</f>
        <v>1</v>
      </c>
      <c r="F25" s="55">
        <f>ROUND(+'8K'!$E30,4)</f>
        <v>1</v>
      </c>
      <c r="G25" s="55">
        <f>ROUND(+'5MI'!E30,4)</f>
        <v>1</v>
      </c>
      <c r="H25" s="55">
        <f>ROUND(+'10K'!$E30,4)</f>
        <v>1</v>
      </c>
      <c r="I25" s="56">
        <f>ROUND(+'12K'!$E30,4)</f>
        <v>1</v>
      </c>
      <c r="J25" s="55">
        <f>ROUND(+'15K'!$E30,4)</f>
        <v>1</v>
      </c>
      <c r="K25" s="55">
        <f>ROUND(+'10MI'!$E30,4)</f>
        <v>1</v>
      </c>
      <c r="L25" s="55">
        <f>ROUND(+'20K'!$E30,4)</f>
        <v>1</v>
      </c>
      <c r="M25" s="55">
        <f>ROUND(+H.Marathon!$E30,4)</f>
        <v>1</v>
      </c>
      <c r="N25" s="55">
        <f>ROUND(+'25K'!$E30,4)</f>
        <v>0.99880000000000002</v>
      </c>
      <c r="O25" s="55">
        <f>ROUND(+'30K'!$E30,4)</f>
        <v>0.99750000000000005</v>
      </c>
      <c r="P25" s="55">
        <f>ROUND(+Marathon!$E30,4)</f>
        <v>0.995</v>
      </c>
      <c r="Q25" s="55">
        <f>ROUND(+Marathon!$E30,4)</f>
        <v>0.995</v>
      </c>
      <c r="R25" s="55">
        <f>ROUND(+Marathon!$E30,4)</f>
        <v>0.995</v>
      </c>
      <c r="S25" s="55">
        <f>ROUND(+Marathon!$E30,4)</f>
        <v>0.995</v>
      </c>
      <c r="T25" s="55">
        <f>ROUND(+Marathon!$E30,4)</f>
        <v>0.995</v>
      </c>
      <c r="U25" s="55">
        <f>ROUND(+Marathon!$E30,4)</f>
        <v>0.995</v>
      </c>
      <c r="V25" s="55">
        <f>ROUND(+Marathon!$E30,4)</f>
        <v>0.995</v>
      </c>
      <c r="W25" s="47"/>
    </row>
    <row r="26" spans="1:23">
      <c r="A26" s="57">
        <v>25</v>
      </c>
      <c r="B26" s="58">
        <f>ROUND(+Mile!E31,4)</f>
        <v>1</v>
      </c>
      <c r="C26" s="58">
        <f>ROUND(+'5K'!E31,4)</f>
        <v>1</v>
      </c>
      <c r="D26" s="58">
        <f>ROUND(+'6K'!E31,4)</f>
        <v>1</v>
      </c>
      <c r="E26" s="58">
        <f>ROUND(+'4MI'!E31,4)</f>
        <v>1</v>
      </c>
      <c r="F26" s="58">
        <f>ROUND(+'8K'!$E31,4)</f>
        <v>1</v>
      </c>
      <c r="G26" s="58">
        <f>ROUND(+'5MI'!E31,4)</f>
        <v>1</v>
      </c>
      <c r="H26" s="58">
        <f>ROUND(+'10K'!$E31,4)</f>
        <v>1</v>
      </c>
      <c r="I26" s="58">
        <f>ROUND(+'12K'!$E31,4)</f>
        <v>1</v>
      </c>
      <c r="J26" s="58">
        <f>ROUND(+'15K'!$E31,4)</f>
        <v>1</v>
      </c>
      <c r="K26" s="58">
        <f>ROUND(+'10MI'!$E31,4)</f>
        <v>1</v>
      </c>
      <c r="L26" s="58">
        <f>ROUND(+'20K'!$E31,4)</f>
        <v>1</v>
      </c>
      <c r="M26" s="58">
        <f>ROUND(+H.Marathon!$E31,4)</f>
        <v>1</v>
      </c>
      <c r="N26" s="58">
        <f>ROUND(+'25K'!$E31,4)</f>
        <v>0.99970000000000003</v>
      </c>
      <c r="O26" s="58">
        <f>ROUND(+'30K'!$E31,4)</f>
        <v>0.99939999999999996</v>
      </c>
      <c r="P26" s="58">
        <f>ROUND(+Marathon!$E31,4)</f>
        <v>0.99880000000000002</v>
      </c>
      <c r="Q26" s="58">
        <f>ROUND(+Marathon!$E31,4)</f>
        <v>0.99880000000000002</v>
      </c>
      <c r="R26" s="58">
        <f>ROUND(+Marathon!$E31,4)</f>
        <v>0.99880000000000002</v>
      </c>
      <c r="S26" s="58">
        <f>ROUND(+Marathon!$E31,4)</f>
        <v>0.99880000000000002</v>
      </c>
      <c r="T26" s="58">
        <f>ROUND(+Marathon!$E31,4)</f>
        <v>0.99880000000000002</v>
      </c>
      <c r="U26" s="58">
        <f>ROUND(+Marathon!$E31,4)</f>
        <v>0.99880000000000002</v>
      </c>
      <c r="V26" s="58">
        <f>ROUND(+Marathon!$E31,4)</f>
        <v>0.99880000000000002</v>
      </c>
      <c r="W26" s="47"/>
    </row>
    <row r="27" spans="1:23">
      <c r="A27" s="49">
        <v>26</v>
      </c>
      <c r="B27" s="55">
        <f>ROUND(+Mile!E32,4)</f>
        <v>1</v>
      </c>
      <c r="C27" s="55">
        <f>ROUND(+'5K'!E32,4)</f>
        <v>1</v>
      </c>
      <c r="D27" s="55">
        <f>ROUND(+'6K'!E32,4)</f>
        <v>1</v>
      </c>
      <c r="E27" s="55">
        <f>ROUND(+'4MI'!E32,4)</f>
        <v>1</v>
      </c>
      <c r="F27" s="55">
        <f>ROUND(+'8K'!$E32,4)</f>
        <v>1</v>
      </c>
      <c r="G27" s="55">
        <f>ROUND(+'5MI'!E32,4)</f>
        <v>1</v>
      </c>
      <c r="H27" s="55">
        <f>ROUND(+'10K'!$E32,4)</f>
        <v>1</v>
      </c>
      <c r="I27" s="56">
        <f>ROUND(+'12K'!$E32,4)</f>
        <v>1</v>
      </c>
      <c r="J27" s="55">
        <f>ROUND(+'15K'!$E32,4)</f>
        <v>1</v>
      </c>
      <c r="K27" s="55">
        <f>ROUND(+'10MI'!$E32,4)</f>
        <v>1</v>
      </c>
      <c r="L27" s="55">
        <f>ROUND(+'20K'!$E32,4)</f>
        <v>1</v>
      </c>
      <c r="M27" s="55">
        <f>ROUND(+H.Marathon!$E32,4)</f>
        <v>1</v>
      </c>
      <c r="N27" s="55">
        <f>ROUND(+'25K'!$E32,4)</f>
        <v>1</v>
      </c>
      <c r="O27" s="55">
        <f>ROUND(+'30K'!$E32,4)</f>
        <v>1</v>
      </c>
      <c r="P27" s="55">
        <f>ROUND(+Marathon!$E32,4)</f>
        <v>1</v>
      </c>
      <c r="Q27" s="55">
        <f>ROUND(+Marathon!$E32,4)</f>
        <v>1</v>
      </c>
      <c r="R27" s="55">
        <f>ROUND(+Marathon!$E32,4)</f>
        <v>1</v>
      </c>
      <c r="S27" s="55">
        <f>ROUND(+Marathon!$E32,4)</f>
        <v>1</v>
      </c>
      <c r="T27" s="55">
        <f>ROUND(+Marathon!$E32,4)</f>
        <v>1</v>
      </c>
      <c r="U27" s="55">
        <f>ROUND(+Marathon!$E32,4)</f>
        <v>1</v>
      </c>
      <c r="V27" s="55">
        <f>ROUND(+Marathon!$E32,4)</f>
        <v>1</v>
      </c>
      <c r="W27" s="47"/>
    </row>
    <row r="28" spans="1:23">
      <c r="A28" s="49">
        <v>27</v>
      </c>
      <c r="B28" s="55">
        <f>ROUND(+Mile!E33,4)</f>
        <v>1</v>
      </c>
      <c r="C28" s="55">
        <f>ROUND(+'5K'!E33,4)</f>
        <v>1</v>
      </c>
      <c r="D28" s="55">
        <f>ROUND(+'6K'!E33,4)</f>
        <v>0.99960000000000004</v>
      </c>
      <c r="E28" s="55">
        <f>ROUND(+'4MI'!E33,4)</f>
        <v>0.99950000000000006</v>
      </c>
      <c r="F28" s="55">
        <f>ROUND(+'8K'!$E33,4)</f>
        <v>0.99909999999999999</v>
      </c>
      <c r="G28" s="55">
        <f>ROUND(+'5MI'!E33,4)</f>
        <v>0.999</v>
      </c>
      <c r="H28" s="55">
        <f>ROUND(+'10K'!$E33,4)</f>
        <v>0.99860000000000004</v>
      </c>
      <c r="I28" s="56">
        <f>ROUND(+'12K'!$E33,4)</f>
        <v>0.99890000000000001</v>
      </c>
      <c r="J28" s="55">
        <f>ROUND(+'15K'!$E33,4)</f>
        <v>0.99939999999999996</v>
      </c>
      <c r="K28" s="55">
        <f>ROUND(+'10MI'!$E33,4)</f>
        <v>0.99950000000000006</v>
      </c>
      <c r="L28" s="55">
        <f>ROUND(+'20K'!$E33,4)</f>
        <v>0.99990000000000001</v>
      </c>
      <c r="M28" s="55">
        <f>ROUND(+H.Marathon!$E33,4)</f>
        <v>1</v>
      </c>
      <c r="N28" s="55">
        <f>ROUND(+'25K'!$E33,4)</f>
        <v>1</v>
      </c>
      <c r="O28" s="55">
        <f>ROUND(+'30K'!$E33,4)</f>
        <v>1</v>
      </c>
      <c r="P28" s="55">
        <f>ROUND(+Marathon!$E33,4)</f>
        <v>1</v>
      </c>
      <c r="Q28" s="55">
        <f>ROUND(+Marathon!$E33,4)</f>
        <v>1</v>
      </c>
      <c r="R28" s="55">
        <f>ROUND(+Marathon!$E33,4)</f>
        <v>1</v>
      </c>
      <c r="S28" s="55">
        <f>ROUND(+Marathon!$E33,4)</f>
        <v>1</v>
      </c>
      <c r="T28" s="55">
        <f>ROUND(+Marathon!$E33,4)</f>
        <v>1</v>
      </c>
      <c r="U28" s="55">
        <f>ROUND(+Marathon!$E33,4)</f>
        <v>1</v>
      </c>
      <c r="V28" s="55">
        <f>ROUND(+Marathon!$E33,4)</f>
        <v>1</v>
      </c>
      <c r="W28" s="47"/>
    </row>
    <row r="29" spans="1:23">
      <c r="A29" s="49">
        <v>28</v>
      </c>
      <c r="B29" s="55">
        <f>ROUND(+Mile!E34,4)</f>
        <v>1</v>
      </c>
      <c r="C29" s="55">
        <f>ROUND(+'5K'!E34,4)</f>
        <v>1</v>
      </c>
      <c r="D29" s="55">
        <f>ROUND(+'6K'!E34,4)</f>
        <v>0.99929999999999997</v>
      </c>
      <c r="E29" s="55">
        <f>ROUND(+'4MI'!E34,4)</f>
        <v>0.99909999999999999</v>
      </c>
      <c r="F29" s="55">
        <f>ROUND(+'8K'!$E34,4)</f>
        <v>0.99819999999999998</v>
      </c>
      <c r="G29" s="55">
        <f>ROUND(+'5MI'!E34,4)</f>
        <v>0.99819999999999998</v>
      </c>
      <c r="H29" s="55">
        <f>ROUND(+'10K'!$E34,4)</f>
        <v>0.99739999999999995</v>
      </c>
      <c r="I29" s="56">
        <f>ROUND(+'12K'!$E34,4)</f>
        <v>0.998</v>
      </c>
      <c r="J29" s="55">
        <f>ROUND(+'15K'!$E34,4)</f>
        <v>0.99870000000000003</v>
      </c>
      <c r="K29" s="55">
        <f>ROUND(+'10MI'!$E34,4)</f>
        <v>0.99890000000000001</v>
      </c>
      <c r="L29" s="55">
        <f>ROUND(+'20K'!$E34,4)</f>
        <v>0.99960000000000004</v>
      </c>
      <c r="M29" s="55">
        <f>ROUND(+H.Marathon!$E34,4)</f>
        <v>0.99980000000000002</v>
      </c>
      <c r="N29" s="55">
        <f>ROUND(+'25K'!$E34,4)</f>
        <v>0.99970000000000003</v>
      </c>
      <c r="O29" s="55">
        <f>ROUND(+'30K'!$E34,4)</f>
        <v>0.99950000000000006</v>
      </c>
      <c r="P29" s="55">
        <f>ROUND(+Marathon!$E34,4)</f>
        <v>0.99919999999999998</v>
      </c>
      <c r="Q29" s="55">
        <f>ROUND(+Marathon!$E34,4)</f>
        <v>0.99919999999999998</v>
      </c>
      <c r="R29" s="55">
        <f>ROUND(+Marathon!$E34,4)</f>
        <v>0.99919999999999998</v>
      </c>
      <c r="S29" s="55">
        <f>ROUND(+Marathon!$E34,4)</f>
        <v>0.99919999999999998</v>
      </c>
      <c r="T29" s="55">
        <f>ROUND(+Marathon!$E34,4)</f>
        <v>0.99919999999999998</v>
      </c>
      <c r="U29" s="55">
        <f>ROUND(+Marathon!$E34,4)</f>
        <v>0.99919999999999998</v>
      </c>
      <c r="V29" s="55">
        <f>ROUND(+Marathon!$E34,4)</f>
        <v>0.99919999999999998</v>
      </c>
      <c r="W29" s="47"/>
    </row>
    <row r="30" spans="1:23">
      <c r="A30" s="49">
        <v>29</v>
      </c>
      <c r="B30" s="55">
        <f>ROUND(+Mile!E35,4)</f>
        <v>1</v>
      </c>
      <c r="C30" s="55">
        <f>ROUND(+'5K'!E35,4)</f>
        <v>1</v>
      </c>
      <c r="D30" s="55">
        <f>ROUND(+'6K'!E35,4)</f>
        <v>0.99890000000000001</v>
      </c>
      <c r="E30" s="55">
        <f>ROUND(+'4MI'!E35,4)</f>
        <v>0.99850000000000005</v>
      </c>
      <c r="F30" s="55">
        <f>ROUND(+'8K'!$E35,4)</f>
        <v>0.99729999999999996</v>
      </c>
      <c r="G30" s="55">
        <f>ROUND(+'5MI'!E35,4)</f>
        <v>0.99729999999999996</v>
      </c>
      <c r="H30" s="55">
        <f>ROUND(+'10K'!$E35,4)</f>
        <v>0.996</v>
      </c>
      <c r="I30" s="56">
        <f>ROUND(+'12K'!$E35,4)</f>
        <v>0.99680000000000002</v>
      </c>
      <c r="J30" s="55">
        <f>ROUND(+'15K'!$E35,4)</f>
        <v>0.99770000000000003</v>
      </c>
      <c r="K30" s="55">
        <f>ROUND(+'10MI'!$E35,4)</f>
        <v>0.998</v>
      </c>
      <c r="L30" s="55">
        <f>ROUND(+'20K'!$E35,4)</f>
        <v>0.99890000000000001</v>
      </c>
      <c r="M30" s="55">
        <f>ROUND(+H.Marathon!$E35,4)</f>
        <v>0.99909999999999999</v>
      </c>
      <c r="N30" s="55">
        <f>ROUND(+'25K'!$E35,4)</f>
        <v>0.99890000000000001</v>
      </c>
      <c r="O30" s="55">
        <f>ROUND(+'30K'!$E35,4)</f>
        <v>0.99870000000000003</v>
      </c>
      <c r="P30" s="55">
        <f>ROUND(+Marathon!$E35,4)</f>
        <v>0.99829999999999997</v>
      </c>
      <c r="Q30" s="55">
        <f>ROUND(+Marathon!$E35,4)</f>
        <v>0.99829999999999997</v>
      </c>
      <c r="R30" s="55">
        <f>ROUND(+Marathon!$E35,4)</f>
        <v>0.99829999999999997</v>
      </c>
      <c r="S30" s="55">
        <f>ROUND(+Marathon!$E35,4)</f>
        <v>0.99829999999999997</v>
      </c>
      <c r="T30" s="55">
        <f>ROUND(+Marathon!$E35,4)</f>
        <v>0.99829999999999997</v>
      </c>
      <c r="U30" s="55">
        <f>ROUND(+Marathon!$E35,4)</f>
        <v>0.99829999999999997</v>
      </c>
      <c r="V30" s="55">
        <f>ROUND(+Marathon!$E35,4)</f>
        <v>0.99829999999999997</v>
      </c>
      <c r="W30" s="47"/>
    </row>
    <row r="31" spans="1:23">
      <c r="A31" s="57">
        <v>30</v>
      </c>
      <c r="B31" s="58">
        <f>ROUND(+Mile!E36,4)</f>
        <v>1</v>
      </c>
      <c r="C31" s="58">
        <f>ROUND(+'5K'!E36,4)</f>
        <v>1</v>
      </c>
      <c r="D31" s="58">
        <f>ROUND(+'6K'!E36,4)</f>
        <v>0.99850000000000005</v>
      </c>
      <c r="E31" s="58">
        <f>ROUND(+'4MI'!E36,4)</f>
        <v>0.99790000000000001</v>
      </c>
      <c r="F31" s="58">
        <f>ROUND(+'8K'!$E36,4)</f>
        <v>0.99609999999999999</v>
      </c>
      <c r="G31" s="58">
        <f>ROUND(+'5MI'!E36,4)</f>
        <v>0.996</v>
      </c>
      <c r="H31" s="58">
        <f>ROUND(+'10K'!$E36,4)</f>
        <v>0.99419999999999997</v>
      </c>
      <c r="I31" s="58">
        <f>ROUND(+'12K'!$E36,4)</f>
        <v>0.99509999999999998</v>
      </c>
      <c r="J31" s="58">
        <f>ROUND(+'15K'!$E36,4)</f>
        <v>0.99619999999999997</v>
      </c>
      <c r="K31" s="58">
        <f>ROUND(+'10MI'!$E36,4)</f>
        <v>0.99660000000000004</v>
      </c>
      <c r="L31" s="58">
        <f>ROUND(+'20K'!$E36,4)</f>
        <v>0.99760000000000004</v>
      </c>
      <c r="M31" s="58">
        <f>ROUND(+H.Marathon!$E36,4)</f>
        <v>0.99790000000000001</v>
      </c>
      <c r="N31" s="58">
        <f>ROUND(+'25K'!$E36,4)</f>
        <v>0.99770000000000003</v>
      </c>
      <c r="O31" s="58">
        <f>ROUND(+'30K'!$E36,4)</f>
        <v>0.99739999999999995</v>
      </c>
      <c r="P31" s="58">
        <f>ROUND(+Marathon!$E36,4)</f>
        <v>0.997</v>
      </c>
      <c r="Q31" s="58">
        <f>ROUND(+Marathon!$E36,4)</f>
        <v>0.997</v>
      </c>
      <c r="R31" s="58">
        <f>ROUND(+Marathon!$E36,4)</f>
        <v>0.997</v>
      </c>
      <c r="S31" s="58">
        <f>ROUND(+Marathon!$E36,4)</f>
        <v>0.997</v>
      </c>
      <c r="T31" s="58">
        <f>ROUND(+Marathon!$E36,4)</f>
        <v>0.997</v>
      </c>
      <c r="U31" s="58">
        <f>ROUND(+Marathon!$E36,4)</f>
        <v>0.997</v>
      </c>
      <c r="V31" s="58">
        <f>ROUND(+Marathon!$E36,4)</f>
        <v>0.997</v>
      </c>
      <c r="W31" s="47"/>
    </row>
    <row r="32" spans="1:23">
      <c r="A32" s="49">
        <v>31</v>
      </c>
      <c r="B32" s="55">
        <f>ROUND(+Mile!E37,4)</f>
        <v>1</v>
      </c>
      <c r="C32" s="55">
        <f>ROUND(+'5K'!E37,4)</f>
        <v>0.99970000000000003</v>
      </c>
      <c r="D32" s="55">
        <f>ROUND(+'6K'!E37,4)</f>
        <v>0.99770000000000003</v>
      </c>
      <c r="E32" s="55">
        <f>ROUND(+'4MI'!E37,4)</f>
        <v>0.997</v>
      </c>
      <c r="F32" s="55">
        <f>ROUND(+'8K'!$E37,4)</f>
        <v>0.99460000000000004</v>
      </c>
      <c r="G32" s="55">
        <f>ROUND(+'5MI'!E37,4)</f>
        <v>0.99460000000000004</v>
      </c>
      <c r="H32" s="55">
        <f>ROUND(+'10K'!$E37,4)</f>
        <v>0.99219999999999997</v>
      </c>
      <c r="I32" s="56">
        <f>ROUND(+'12K'!$E37,4)</f>
        <v>0.99319999999999997</v>
      </c>
      <c r="J32" s="55">
        <f>ROUND(+'15K'!$E37,4)</f>
        <v>0.99439999999999995</v>
      </c>
      <c r="K32" s="55">
        <f>ROUND(+'10MI'!$E37,4)</f>
        <v>0.99470000000000003</v>
      </c>
      <c r="L32" s="55">
        <f>ROUND(+'20K'!$E37,4)</f>
        <v>0.99590000000000001</v>
      </c>
      <c r="M32" s="55">
        <f>ROUND(+H.Marathon!$E37,4)</f>
        <v>0.99619999999999997</v>
      </c>
      <c r="N32" s="55">
        <f>ROUND(+'25K'!$E37,4)</f>
        <v>0.996</v>
      </c>
      <c r="O32" s="55">
        <f>ROUND(+'30K'!$E37,4)</f>
        <v>0.99570000000000003</v>
      </c>
      <c r="P32" s="55">
        <f>ROUND(+Marathon!$E37,4)</f>
        <v>0.99529999999999996</v>
      </c>
      <c r="Q32" s="55">
        <f>ROUND(+Marathon!$E37,4)</f>
        <v>0.99529999999999996</v>
      </c>
      <c r="R32" s="55">
        <f>ROUND(+Marathon!$E37,4)</f>
        <v>0.99529999999999996</v>
      </c>
      <c r="S32" s="55">
        <f>ROUND(+Marathon!$E37,4)</f>
        <v>0.99529999999999996</v>
      </c>
      <c r="T32" s="55">
        <f>ROUND(+Marathon!$E37,4)</f>
        <v>0.99529999999999996</v>
      </c>
      <c r="U32" s="55">
        <f>ROUND(+Marathon!$E37,4)</f>
        <v>0.99529999999999996</v>
      </c>
      <c r="V32" s="55">
        <f>ROUND(+Marathon!$E37,4)</f>
        <v>0.99529999999999996</v>
      </c>
      <c r="W32" s="47"/>
    </row>
    <row r="33" spans="1:23">
      <c r="A33" s="49">
        <v>32</v>
      </c>
      <c r="B33" s="55">
        <f>ROUND(+Mile!E38,4)</f>
        <v>1</v>
      </c>
      <c r="C33" s="55">
        <f>ROUND(+'5K'!E38,4)</f>
        <v>0.99860000000000004</v>
      </c>
      <c r="D33" s="55">
        <f>ROUND(+'6K'!E38,4)</f>
        <v>0.99629999999999996</v>
      </c>
      <c r="E33" s="55">
        <f>ROUND(+'4MI'!E38,4)</f>
        <v>0.99539999999999995</v>
      </c>
      <c r="F33" s="55">
        <f>ROUND(+'8K'!$E38,4)</f>
        <v>0.99260000000000004</v>
      </c>
      <c r="G33" s="55">
        <f>ROUND(+'5MI'!E38,4)</f>
        <v>0.99260000000000004</v>
      </c>
      <c r="H33" s="55">
        <f>ROUND(+'10K'!$E38,4)</f>
        <v>0.98980000000000001</v>
      </c>
      <c r="I33" s="56">
        <f>ROUND(+'12K'!$E38,4)</f>
        <v>0.9909</v>
      </c>
      <c r="J33" s="55">
        <f>ROUND(+'15K'!$E38,4)</f>
        <v>0.99209999999999998</v>
      </c>
      <c r="K33" s="55">
        <f>ROUND(+'10MI'!$E38,4)</f>
        <v>0.99250000000000005</v>
      </c>
      <c r="L33" s="55">
        <f>ROUND(+'20K'!$E38,4)</f>
        <v>0.99380000000000002</v>
      </c>
      <c r="M33" s="55">
        <f>ROUND(+H.Marathon!$E38,4)</f>
        <v>0.99409999999999998</v>
      </c>
      <c r="N33" s="55">
        <f>ROUND(+'25K'!$E38,4)</f>
        <v>0.99390000000000001</v>
      </c>
      <c r="O33" s="55">
        <f>ROUND(+'30K'!$E38,4)</f>
        <v>0.99360000000000004</v>
      </c>
      <c r="P33" s="55">
        <f>ROUND(+Marathon!$E38,4)</f>
        <v>0.99319999999999997</v>
      </c>
      <c r="Q33" s="55">
        <f>ROUND(+Marathon!$E38,4)</f>
        <v>0.99319999999999997</v>
      </c>
      <c r="R33" s="55">
        <f>ROUND(+Marathon!$E38,4)</f>
        <v>0.99319999999999997</v>
      </c>
      <c r="S33" s="55">
        <f>ROUND(+Marathon!$E38,4)</f>
        <v>0.99319999999999997</v>
      </c>
      <c r="T33" s="55">
        <f>ROUND(+Marathon!$E38,4)</f>
        <v>0.99319999999999997</v>
      </c>
      <c r="U33" s="55">
        <f>ROUND(+Marathon!$E38,4)</f>
        <v>0.99319999999999997</v>
      </c>
      <c r="V33" s="55">
        <f>ROUND(+Marathon!$E38,4)</f>
        <v>0.99319999999999997</v>
      </c>
      <c r="W33" s="47"/>
    </row>
    <row r="34" spans="1:23">
      <c r="A34" s="49">
        <v>33</v>
      </c>
      <c r="B34" s="55">
        <f>ROUND(+Mile!E39,4)</f>
        <v>1</v>
      </c>
      <c r="C34" s="55">
        <f>ROUND(+'5K'!E39,4)</f>
        <v>0.99680000000000002</v>
      </c>
      <c r="D34" s="55">
        <f>ROUND(+'6K'!E39,4)</f>
        <v>0.99419999999999997</v>
      </c>
      <c r="E34" s="55">
        <f>ROUND(+'4MI'!E39,4)</f>
        <v>0.99319999999999997</v>
      </c>
      <c r="F34" s="55">
        <f>ROUND(+'8K'!$E39,4)</f>
        <v>0.99019999999999997</v>
      </c>
      <c r="G34" s="55">
        <f>ROUND(+'5MI'!E39,4)</f>
        <v>0.99009999999999998</v>
      </c>
      <c r="H34" s="55">
        <f>ROUND(+'10K'!$E39,4)</f>
        <v>0.98699999999999999</v>
      </c>
      <c r="I34" s="56">
        <f>ROUND(+'12K'!$E39,4)</f>
        <v>0.98809999999999998</v>
      </c>
      <c r="J34" s="55">
        <f>ROUND(+'15K'!$E39,4)</f>
        <v>0.98939999999999995</v>
      </c>
      <c r="K34" s="55">
        <f>ROUND(+'10MI'!$E39,4)</f>
        <v>0.9899</v>
      </c>
      <c r="L34" s="55">
        <f>ROUND(+'20K'!$E39,4)</f>
        <v>0.99119999999999997</v>
      </c>
      <c r="M34" s="55">
        <f>ROUND(+H.Marathon!$E39,4)</f>
        <v>0.99150000000000005</v>
      </c>
      <c r="N34" s="55">
        <f>ROUND(+'25K'!$E39,4)</f>
        <v>0.99129999999999996</v>
      </c>
      <c r="O34" s="55">
        <f>ROUND(+'30K'!$E39,4)</f>
        <v>0.99109999999999998</v>
      </c>
      <c r="P34" s="55">
        <f>ROUND(+Marathon!$E39,4)</f>
        <v>0.99070000000000003</v>
      </c>
      <c r="Q34" s="55">
        <f>ROUND(+Marathon!$E39,4)</f>
        <v>0.99070000000000003</v>
      </c>
      <c r="R34" s="55">
        <f>ROUND(+Marathon!$E39,4)</f>
        <v>0.99070000000000003</v>
      </c>
      <c r="S34" s="55">
        <f>ROUND(+Marathon!$E39,4)</f>
        <v>0.99070000000000003</v>
      </c>
      <c r="T34" s="55">
        <f>ROUND(+Marathon!$E39,4)</f>
        <v>0.99070000000000003</v>
      </c>
      <c r="U34" s="55">
        <f>ROUND(+Marathon!$E39,4)</f>
        <v>0.99070000000000003</v>
      </c>
      <c r="V34" s="55">
        <f>ROUND(+Marathon!$E39,4)</f>
        <v>0.99070000000000003</v>
      </c>
      <c r="W34" s="47"/>
    </row>
    <row r="35" spans="1:23">
      <c r="A35" s="49">
        <v>34</v>
      </c>
      <c r="B35" s="55">
        <f>ROUND(+Mile!E40,4)</f>
        <v>1</v>
      </c>
      <c r="C35" s="55">
        <f>ROUND(+'5K'!E40,4)</f>
        <v>0.99429999999999996</v>
      </c>
      <c r="D35" s="55">
        <f>ROUND(+'6K'!E40,4)</f>
        <v>0.99160000000000004</v>
      </c>
      <c r="E35" s="55">
        <f>ROUND(+'4MI'!E40,4)</f>
        <v>0.99050000000000005</v>
      </c>
      <c r="F35" s="55">
        <f>ROUND(+'8K'!$E40,4)</f>
        <v>0.98729999999999996</v>
      </c>
      <c r="G35" s="55">
        <f>ROUND(+'5MI'!E40,4)</f>
        <v>0.98719999999999997</v>
      </c>
      <c r="H35" s="55">
        <f>ROUND(+'10K'!$E40,4)</f>
        <v>0.98399999999999999</v>
      </c>
      <c r="I35" s="56">
        <f>ROUND(+'12K'!$E40,4)</f>
        <v>0.98509999999999998</v>
      </c>
      <c r="J35" s="55">
        <f>ROUND(+'15K'!$E40,4)</f>
        <v>0.98640000000000005</v>
      </c>
      <c r="K35" s="55">
        <f>ROUND(+'10MI'!$E40,4)</f>
        <v>0.98680000000000001</v>
      </c>
      <c r="L35" s="55">
        <f>ROUND(+'20K'!$E40,4)</f>
        <v>0.98809999999999998</v>
      </c>
      <c r="M35" s="55">
        <f>ROUND(+H.Marathon!$E40,4)</f>
        <v>0.98839999999999995</v>
      </c>
      <c r="N35" s="55">
        <f>ROUND(+'25K'!$E40,4)</f>
        <v>0.98829999999999996</v>
      </c>
      <c r="O35" s="55">
        <f>ROUND(+'30K'!$E40,4)</f>
        <v>0.98809999999999998</v>
      </c>
      <c r="P35" s="55">
        <f>ROUND(+Marathon!$E40,4)</f>
        <v>0.9879</v>
      </c>
      <c r="Q35" s="55">
        <f>ROUND(+Marathon!$E40,4)</f>
        <v>0.9879</v>
      </c>
      <c r="R35" s="55">
        <f>ROUND(+Marathon!$E40,4)</f>
        <v>0.9879</v>
      </c>
      <c r="S35" s="55">
        <f>ROUND(+Marathon!$E40,4)</f>
        <v>0.9879</v>
      </c>
      <c r="T35" s="55">
        <f>ROUND(+Marathon!$E40,4)</f>
        <v>0.9879</v>
      </c>
      <c r="U35" s="55">
        <f>ROUND(+Marathon!$E40,4)</f>
        <v>0.9879</v>
      </c>
      <c r="V35" s="55">
        <f>ROUND(+Marathon!$E40,4)</f>
        <v>0.9879</v>
      </c>
      <c r="W35" s="47"/>
    </row>
    <row r="36" spans="1:23">
      <c r="A36" s="57">
        <v>35</v>
      </c>
      <c r="B36" s="58">
        <f>ROUND(+Mile!E41,4)</f>
        <v>0.99380000000000002</v>
      </c>
      <c r="C36" s="58">
        <f>ROUND(+'5K'!E41,4)</f>
        <v>0.99099999999999999</v>
      </c>
      <c r="D36" s="58">
        <f>ROUND(+'6K'!E41,4)</f>
        <v>0.98829999999999996</v>
      </c>
      <c r="E36" s="58">
        <f>ROUND(+'4MI'!E41,4)</f>
        <v>0.98719999999999997</v>
      </c>
      <c r="F36" s="58">
        <f>ROUND(+'8K'!$E41,4)</f>
        <v>0.9839</v>
      </c>
      <c r="G36" s="58">
        <f>ROUND(+'5MI'!E41,4)</f>
        <v>0.9839</v>
      </c>
      <c r="H36" s="58">
        <f>ROUND(+'10K'!$E41,4)</f>
        <v>0.98060000000000003</v>
      </c>
      <c r="I36" s="58">
        <f>ROUND(+'12K'!$E41,4)</f>
        <v>0.98170000000000002</v>
      </c>
      <c r="J36" s="58">
        <f>ROUND(+'15K'!$E41,4)</f>
        <v>0.9829</v>
      </c>
      <c r="K36" s="58">
        <f>ROUND(+'10MI'!$E41,4)</f>
        <v>0.98329999999999995</v>
      </c>
      <c r="L36" s="58">
        <f>ROUND(+'20K'!$E41,4)</f>
        <v>0.98460000000000003</v>
      </c>
      <c r="M36" s="58">
        <f>ROUND(+H.Marathon!$E41,4)</f>
        <v>0.9849</v>
      </c>
      <c r="N36" s="58">
        <f>ROUND(+'25K'!$E41,4)</f>
        <v>0.98480000000000001</v>
      </c>
      <c r="O36" s="58">
        <f>ROUND(+'30K'!$E41,4)</f>
        <v>0.98470000000000002</v>
      </c>
      <c r="P36" s="58">
        <f>ROUND(+Marathon!$E41,4)</f>
        <v>0.98460000000000003</v>
      </c>
      <c r="Q36" s="58">
        <f>ROUND(+Marathon!$E41,4)</f>
        <v>0.98460000000000003</v>
      </c>
      <c r="R36" s="58">
        <f>ROUND(+Marathon!$E41,4)</f>
        <v>0.98460000000000003</v>
      </c>
      <c r="S36" s="58">
        <f>ROUND(+Marathon!$E41,4)</f>
        <v>0.98460000000000003</v>
      </c>
      <c r="T36" s="58">
        <f>ROUND(+Marathon!$E41,4)</f>
        <v>0.98460000000000003</v>
      </c>
      <c r="U36" s="58">
        <f>ROUND(+Marathon!$E41,4)</f>
        <v>0.98460000000000003</v>
      </c>
      <c r="V36" s="58">
        <f>ROUND(+Marathon!$E41,4)</f>
        <v>0.98460000000000003</v>
      </c>
      <c r="W36" s="47"/>
    </row>
    <row r="37" spans="1:23">
      <c r="A37" s="49">
        <v>36</v>
      </c>
      <c r="B37" s="55">
        <f>ROUND(+Mile!E42,4)</f>
        <v>0.99109999999999998</v>
      </c>
      <c r="C37" s="55">
        <f>ROUND(+'5K'!E42,4)</f>
        <v>0.9869</v>
      </c>
      <c r="D37" s="55">
        <f>ROUND(+'6K'!E42,4)</f>
        <v>0.98429999999999995</v>
      </c>
      <c r="E37" s="55">
        <f>ROUND(+'4MI'!E42,4)</f>
        <v>0.98329999999999995</v>
      </c>
      <c r="F37" s="55">
        <f>ROUND(+'8K'!$E42,4)</f>
        <v>0.98019999999999996</v>
      </c>
      <c r="G37" s="55">
        <f>ROUND(+'5MI'!E42,4)</f>
        <v>0.98009999999999997</v>
      </c>
      <c r="H37" s="55">
        <f>ROUND(+'10K'!$E42,4)</f>
        <v>0.97699999999999998</v>
      </c>
      <c r="I37" s="56">
        <f>ROUND(+'12K'!$E42,4)</f>
        <v>0.97799999999999998</v>
      </c>
      <c r="J37" s="55">
        <f>ROUND(+'15K'!$E42,4)</f>
        <v>0.97909999999999997</v>
      </c>
      <c r="K37" s="55">
        <f>ROUND(+'10MI'!$E42,4)</f>
        <v>0.97950000000000004</v>
      </c>
      <c r="L37" s="55">
        <f>ROUND(+'20K'!$E42,4)</f>
        <v>0.98060000000000003</v>
      </c>
      <c r="M37" s="55">
        <f>ROUND(+H.Marathon!$E42,4)</f>
        <v>0.98089999999999999</v>
      </c>
      <c r="N37" s="55">
        <f>ROUND(+'25K'!$E42,4)</f>
        <v>0.98089999999999999</v>
      </c>
      <c r="O37" s="55">
        <f>ROUND(+'30K'!$E42,4)</f>
        <v>0.98099999999999998</v>
      </c>
      <c r="P37" s="55">
        <f>ROUND(+Marathon!$E42,4)</f>
        <v>0.98099999999999998</v>
      </c>
      <c r="Q37" s="55">
        <f>ROUND(+Marathon!$E42,4)</f>
        <v>0.98099999999999998</v>
      </c>
      <c r="R37" s="55">
        <f>ROUND(+Marathon!$E42,4)</f>
        <v>0.98099999999999998</v>
      </c>
      <c r="S37" s="55">
        <f>ROUND(+Marathon!$E42,4)</f>
        <v>0.98099999999999998</v>
      </c>
      <c r="T37" s="55">
        <f>ROUND(+Marathon!$E42,4)</f>
        <v>0.98099999999999998</v>
      </c>
      <c r="U37" s="55">
        <f>ROUND(+Marathon!$E42,4)</f>
        <v>0.98099999999999998</v>
      </c>
      <c r="V37" s="55">
        <f>ROUND(+Marathon!$E42,4)</f>
        <v>0.98099999999999998</v>
      </c>
      <c r="W37" s="47"/>
    </row>
    <row r="38" spans="1:23">
      <c r="A38" s="49">
        <v>37</v>
      </c>
      <c r="B38" s="55">
        <f>ROUND(+Mile!E43,4)</f>
        <v>0.98780000000000001</v>
      </c>
      <c r="C38" s="55">
        <f>ROUND(+'5K'!E43,4)</f>
        <v>0.98209999999999997</v>
      </c>
      <c r="D38" s="55">
        <f>ROUND(+'6K'!E43,4)</f>
        <v>0.97970000000000002</v>
      </c>
      <c r="E38" s="55">
        <f>ROUND(+'4MI'!E43,4)</f>
        <v>0.97870000000000001</v>
      </c>
      <c r="F38" s="55">
        <f>ROUND(+'8K'!$E43,4)</f>
        <v>0.97589999999999999</v>
      </c>
      <c r="G38" s="55">
        <f>ROUND(+'5MI'!E43,4)</f>
        <v>0.9758</v>
      </c>
      <c r="H38" s="55">
        <f>ROUND(+'10K'!$E43,4)</f>
        <v>0.97289999999999999</v>
      </c>
      <c r="I38" s="56">
        <f>ROUND(+'12K'!$E43,4)</f>
        <v>0.9738</v>
      </c>
      <c r="J38" s="55">
        <f>ROUND(+'15K'!$E43,4)</f>
        <v>0.9748</v>
      </c>
      <c r="K38" s="55">
        <f>ROUND(+'10MI'!$E43,4)</f>
        <v>0.97509999999999997</v>
      </c>
      <c r="L38" s="55">
        <f>ROUND(+'20K'!$E43,4)</f>
        <v>0.97609999999999997</v>
      </c>
      <c r="M38" s="55">
        <f>ROUND(+H.Marathon!$E43,4)</f>
        <v>0.97640000000000005</v>
      </c>
      <c r="N38" s="55">
        <f>ROUND(+'25K'!$E43,4)</f>
        <v>0.97660000000000002</v>
      </c>
      <c r="O38" s="55">
        <f>ROUND(+'30K'!$E43,4)</f>
        <v>0.9768</v>
      </c>
      <c r="P38" s="55">
        <f>ROUND(+Marathon!$E43,4)</f>
        <v>0.97709999999999997</v>
      </c>
      <c r="Q38" s="55">
        <f>ROUND(+Marathon!$E43,4)</f>
        <v>0.97709999999999997</v>
      </c>
      <c r="R38" s="55">
        <f>ROUND(+Marathon!$E43,4)</f>
        <v>0.97709999999999997</v>
      </c>
      <c r="S38" s="55">
        <f>ROUND(+Marathon!$E43,4)</f>
        <v>0.97709999999999997</v>
      </c>
      <c r="T38" s="55">
        <f>ROUND(+Marathon!$E43,4)</f>
        <v>0.97709999999999997</v>
      </c>
      <c r="U38" s="55">
        <f>ROUND(+Marathon!$E43,4)</f>
        <v>0.97709999999999997</v>
      </c>
      <c r="V38" s="55">
        <f>ROUND(+Marathon!$E43,4)</f>
        <v>0.97709999999999997</v>
      </c>
      <c r="W38" s="47"/>
    </row>
    <row r="39" spans="1:23">
      <c r="A39" s="49">
        <v>38</v>
      </c>
      <c r="B39" s="55">
        <f>ROUND(+Mile!E44,4)</f>
        <v>0.98399999999999999</v>
      </c>
      <c r="C39" s="55">
        <f>ROUND(+'5K'!E44,4)</f>
        <v>0.97650000000000003</v>
      </c>
      <c r="D39" s="55">
        <f>ROUND(+'6K'!E44,4)</f>
        <v>0.97440000000000004</v>
      </c>
      <c r="E39" s="55">
        <f>ROUND(+'4MI'!E44,4)</f>
        <v>0.97360000000000002</v>
      </c>
      <c r="F39" s="55">
        <f>ROUND(+'8K'!$E44,4)</f>
        <v>0.97109999999999996</v>
      </c>
      <c r="G39" s="55">
        <f>ROUND(+'5MI'!E44,4)</f>
        <v>0.97109999999999996</v>
      </c>
      <c r="H39" s="55">
        <f>ROUND(+'10K'!$E44,4)</f>
        <v>0.96860000000000002</v>
      </c>
      <c r="I39" s="56">
        <f>ROUND(+'12K'!$E44,4)</f>
        <v>0.96930000000000005</v>
      </c>
      <c r="J39" s="55">
        <f>ROUND(+'15K'!$E44,4)</f>
        <v>0.97009999999999996</v>
      </c>
      <c r="K39" s="55">
        <f>ROUND(+'10MI'!$E44,4)</f>
        <v>0.97040000000000004</v>
      </c>
      <c r="L39" s="55">
        <f>ROUND(+'20K'!$E44,4)</f>
        <v>0.97119999999999995</v>
      </c>
      <c r="M39" s="55">
        <f>ROUND(+H.Marathon!$E44,4)</f>
        <v>0.97140000000000004</v>
      </c>
      <c r="N39" s="55">
        <f>ROUND(+'25K'!$E44,4)</f>
        <v>0.97170000000000001</v>
      </c>
      <c r="O39" s="55">
        <f>ROUND(+'30K'!$E44,4)</f>
        <v>0.97209999999999996</v>
      </c>
      <c r="P39" s="55">
        <f>ROUND(+Marathon!$E44,4)</f>
        <v>0.97270000000000001</v>
      </c>
      <c r="Q39" s="55">
        <f>ROUND(+Marathon!$E44,4)</f>
        <v>0.97270000000000001</v>
      </c>
      <c r="R39" s="55">
        <f>ROUND(+Marathon!$E44,4)</f>
        <v>0.97270000000000001</v>
      </c>
      <c r="S39" s="55">
        <f>ROUND(+Marathon!$E44,4)</f>
        <v>0.97270000000000001</v>
      </c>
      <c r="T39" s="55">
        <f>ROUND(+Marathon!$E44,4)</f>
        <v>0.97270000000000001</v>
      </c>
      <c r="U39" s="55">
        <f>ROUND(+Marathon!$E44,4)</f>
        <v>0.97270000000000001</v>
      </c>
      <c r="V39" s="55">
        <f>ROUND(+Marathon!$E44,4)</f>
        <v>0.97270000000000001</v>
      </c>
      <c r="W39" s="47"/>
    </row>
    <row r="40" spans="1:23">
      <c r="A40" s="49">
        <v>39</v>
      </c>
      <c r="B40" s="55">
        <f>ROUND(+Mile!E45,4)</f>
        <v>0.97970000000000002</v>
      </c>
      <c r="C40" s="55">
        <f>ROUND(+'5K'!E45,4)</f>
        <v>0.97019999999999995</v>
      </c>
      <c r="D40" s="55">
        <f>ROUND(+'6K'!E45,4)</f>
        <v>0.96860000000000002</v>
      </c>
      <c r="E40" s="55">
        <f>ROUND(+'4MI'!E45,4)</f>
        <v>0.96789999999999998</v>
      </c>
      <c r="F40" s="55">
        <f>ROUND(+'8K'!$E45,4)</f>
        <v>0.96599999999999997</v>
      </c>
      <c r="G40" s="55">
        <f>ROUND(+'5MI'!E45,4)</f>
        <v>0.96589999999999998</v>
      </c>
      <c r="H40" s="55">
        <f>ROUND(+'10K'!$E45,4)</f>
        <v>0.96399999999999997</v>
      </c>
      <c r="I40" s="56">
        <f>ROUND(+'12K'!$E45,4)</f>
        <v>0.96450000000000002</v>
      </c>
      <c r="J40" s="55">
        <f>ROUND(+'15K'!$E45,4)</f>
        <v>0.96509999999999996</v>
      </c>
      <c r="K40" s="55">
        <f>ROUND(+'10MI'!$E45,4)</f>
        <v>0.96530000000000005</v>
      </c>
      <c r="L40" s="55">
        <f>ROUND(+'20K'!$E45,4)</f>
        <v>0.96589999999999998</v>
      </c>
      <c r="M40" s="55">
        <f>ROUND(+H.Marathon!$E45,4)</f>
        <v>0.96599999999999997</v>
      </c>
      <c r="N40" s="55">
        <f>ROUND(+'25K'!$E45,4)</f>
        <v>0.96650000000000003</v>
      </c>
      <c r="O40" s="55">
        <f>ROUND(+'30K'!$E45,4)</f>
        <v>0.96699999999999997</v>
      </c>
      <c r="P40" s="55">
        <f>ROUND(+Marathon!$E45,4)</f>
        <v>0.96789999999999998</v>
      </c>
      <c r="Q40" s="55">
        <f>ROUND(+Marathon!$E45,4)</f>
        <v>0.96789999999999998</v>
      </c>
      <c r="R40" s="55">
        <f>ROUND(+Marathon!$E45,4)</f>
        <v>0.96789999999999998</v>
      </c>
      <c r="S40" s="55">
        <f>ROUND(+Marathon!$E45,4)</f>
        <v>0.96789999999999998</v>
      </c>
      <c r="T40" s="55">
        <f>ROUND(+Marathon!$E45,4)</f>
        <v>0.96789999999999998</v>
      </c>
      <c r="U40" s="55">
        <f>ROUND(+Marathon!$E45,4)</f>
        <v>0.96789999999999998</v>
      </c>
      <c r="V40" s="55">
        <f>ROUND(+Marathon!$E45,4)</f>
        <v>0.96789999999999998</v>
      </c>
      <c r="W40" s="47"/>
    </row>
    <row r="41" spans="1:23">
      <c r="A41" s="57">
        <v>40</v>
      </c>
      <c r="B41" s="58">
        <f>ROUND(+Mile!E46,4)</f>
        <v>0.9748</v>
      </c>
      <c r="C41" s="58">
        <f>ROUND(+'5K'!E46,4)</f>
        <v>0.96309999999999996</v>
      </c>
      <c r="D41" s="58">
        <f>ROUND(+'6K'!E46,4)</f>
        <v>0.96199999999999997</v>
      </c>
      <c r="E41" s="58">
        <f>ROUND(+'4MI'!E46,4)</f>
        <v>0.96160000000000001</v>
      </c>
      <c r="F41" s="58">
        <f>ROUND(+'8K'!$E46,4)</f>
        <v>0.96030000000000004</v>
      </c>
      <c r="G41" s="58">
        <f>ROUND(+'5MI'!E46,4)</f>
        <v>0.96030000000000004</v>
      </c>
      <c r="H41" s="58">
        <f>ROUND(+'10K'!$E46,4)</f>
        <v>0.95899999999999996</v>
      </c>
      <c r="I41" s="58">
        <f>ROUND(+'12K'!$E46,4)</f>
        <v>0.95930000000000004</v>
      </c>
      <c r="J41" s="58">
        <f>ROUND(+'15K'!$E46,4)</f>
        <v>0.95960000000000001</v>
      </c>
      <c r="K41" s="58">
        <f>ROUND(+'10MI'!$E46,4)</f>
        <v>0.9597</v>
      </c>
      <c r="L41" s="58">
        <f>ROUND(+'20K'!$E46,4)</f>
        <v>0.96</v>
      </c>
      <c r="M41" s="58">
        <f>ROUND(+H.Marathon!$E46,4)</f>
        <v>0.96009999999999995</v>
      </c>
      <c r="N41" s="58">
        <f>ROUND(+'25K'!$E46,4)</f>
        <v>0.96079999999999999</v>
      </c>
      <c r="O41" s="58">
        <f>ROUND(+'30K'!$E46,4)</f>
        <v>0.96150000000000002</v>
      </c>
      <c r="P41" s="58">
        <f>ROUND(+Marathon!$E46,4)</f>
        <v>0.96279999999999999</v>
      </c>
      <c r="Q41" s="58">
        <f>ROUND(+Marathon!$E46,4)</f>
        <v>0.96279999999999999</v>
      </c>
      <c r="R41" s="58">
        <f>ROUND(+Marathon!$E46,4)</f>
        <v>0.96279999999999999</v>
      </c>
      <c r="S41" s="58">
        <f>ROUND(+Marathon!$E46,4)</f>
        <v>0.96279999999999999</v>
      </c>
      <c r="T41" s="58">
        <f>ROUND(+Marathon!$E46,4)</f>
        <v>0.96279999999999999</v>
      </c>
      <c r="U41" s="58">
        <f>ROUND(+Marathon!$E46,4)</f>
        <v>0.96279999999999999</v>
      </c>
      <c r="V41" s="58">
        <f>ROUND(+Marathon!$E46,4)</f>
        <v>0.96279999999999999</v>
      </c>
      <c r="W41" s="47"/>
    </row>
    <row r="42" spans="1:23">
      <c r="A42" s="49">
        <v>41</v>
      </c>
      <c r="B42" s="55">
        <f>ROUND(+Mile!E47,4)</f>
        <v>0.96950000000000003</v>
      </c>
      <c r="C42" s="55">
        <f>ROUND(+'5K'!E47,4)</f>
        <v>0.95530000000000004</v>
      </c>
      <c r="D42" s="55">
        <f>ROUND(+'6K'!E47,4)</f>
        <v>0.95489999999999997</v>
      </c>
      <c r="E42" s="55">
        <f>ROUND(+'4MI'!E47,4)</f>
        <v>0.95469999999999999</v>
      </c>
      <c r="F42" s="55">
        <f>ROUND(+'8K'!$E47,4)</f>
        <v>0.95420000000000005</v>
      </c>
      <c r="G42" s="55">
        <f>ROUND(+'5MI'!E47,4)</f>
        <v>0.95420000000000005</v>
      </c>
      <c r="H42" s="55">
        <f>ROUND(+'10K'!$E47,4)</f>
        <v>0.95369999999999999</v>
      </c>
      <c r="I42" s="56">
        <f>ROUND(+'12K'!$E47,4)</f>
        <v>0.95369999999999999</v>
      </c>
      <c r="J42" s="55">
        <f>ROUND(+'15K'!$E47,4)</f>
        <v>0.95369999999999999</v>
      </c>
      <c r="K42" s="55">
        <f>ROUND(+'10MI'!$E47,4)</f>
        <v>0.95369999999999999</v>
      </c>
      <c r="L42" s="55">
        <f>ROUND(+'20K'!$E47,4)</f>
        <v>0.95369999999999999</v>
      </c>
      <c r="M42" s="55">
        <f>ROUND(+H.Marathon!$E47,4)</f>
        <v>0.95369999999999999</v>
      </c>
      <c r="N42" s="55">
        <f>ROUND(+'25K'!$E47,4)</f>
        <v>0.9546</v>
      </c>
      <c r="O42" s="55">
        <f>ROUND(+'30K'!$E47,4)</f>
        <v>0.95550000000000002</v>
      </c>
      <c r="P42" s="55">
        <f>ROUND(+Marathon!$E47,4)</f>
        <v>0.95730000000000004</v>
      </c>
      <c r="Q42" s="55">
        <f>ROUND(+Marathon!$E47,4)</f>
        <v>0.95730000000000004</v>
      </c>
      <c r="R42" s="55">
        <f>ROUND(+Marathon!$E47,4)</f>
        <v>0.95730000000000004</v>
      </c>
      <c r="S42" s="55">
        <f>ROUND(+Marathon!$E47,4)</f>
        <v>0.95730000000000004</v>
      </c>
      <c r="T42" s="55">
        <f>ROUND(+Marathon!$E47,4)</f>
        <v>0.95730000000000004</v>
      </c>
      <c r="U42" s="55">
        <f>ROUND(+Marathon!$E47,4)</f>
        <v>0.95730000000000004</v>
      </c>
      <c r="V42" s="55">
        <f>ROUND(+Marathon!$E47,4)</f>
        <v>0.95730000000000004</v>
      </c>
      <c r="W42" s="47"/>
    </row>
    <row r="43" spans="1:23">
      <c r="A43" s="49">
        <v>42</v>
      </c>
      <c r="B43" s="55">
        <f>ROUND(+Mile!E48,4)</f>
        <v>0.96360000000000001</v>
      </c>
      <c r="C43" s="55">
        <f>ROUND(+'5K'!E48,4)</f>
        <v>0.94669999999999999</v>
      </c>
      <c r="D43" s="55">
        <f>ROUND(+'6K'!E48,4)</f>
        <v>0.94710000000000005</v>
      </c>
      <c r="E43" s="55">
        <f>ROUND(+'4MI'!E48,4)</f>
        <v>0.94720000000000004</v>
      </c>
      <c r="F43" s="55">
        <f>ROUND(+'8K'!$E48,4)</f>
        <v>0.9476</v>
      </c>
      <c r="G43" s="55">
        <f>ROUND(+'5MI'!E48,4)</f>
        <v>0.94769999999999999</v>
      </c>
      <c r="H43" s="55">
        <f>ROUND(+'10K'!$E48,4)</f>
        <v>0.94810000000000005</v>
      </c>
      <c r="I43" s="56">
        <f>ROUND(+'12K'!$E48,4)</f>
        <v>0.94779999999999998</v>
      </c>
      <c r="J43" s="55">
        <f>ROUND(+'15K'!$E48,4)</f>
        <v>0.94740000000000002</v>
      </c>
      <c r="K43" s="55">
        <f>ROUND(+'10MI'!$E48,4)</f>
        <v>0.94730000000000003</v>
      </c>
      <c r="L43" s="55">
        <f>ROUND(+'20K'!$E48,4)</f>
        <v>0.94689999999999996</v>
      </c>
      <c r="M43" s="55">
        <f>ROUND(+H.Marathon!$E48,4)</f>
        <v>0.94679999999999997</v>
      </c>
      <c r="N43" s="55">
        <f>ROUND(+'25K'!$E48,4)</f>
        <v>0.94789999999999996</v>
      </c>
      <c r="O43" s="55">
        <f>ROUND(+'30K'!$E48,4)</f>
        <v>0.94910000000000005</v>
      </c>
      <c r="P43" s="55">
        <f>ROUND(+Marathon!$E48,4)</f>
        <v>0.95140000000000002</v>
      </c>
      <c r="Q43" s="55">
        <f>ROUND(+Marathon!$E48,4)</f>
        <v>0.95140000000000002</v>
      </c>
      <c r="R43" s="55">
        <f>ROUND(+Marathon!$E48,4)</f>
        <v>0.95140000000000002</v>
      </c>
      <c r="S43" s="55">
        <f>ROUND(+Marathon!$E48,4)</f>
        <v>0.95140000000000002</v>
      </c>
      <c r="T43" s="55">
        <f>ROUND(+Marathon!$E48,4)</f>
        <v>0.95140000000000002</v>
      </c>
      <c r="U43" s="55">
        <f>ROUND(+Marathon!$E48,4)</f>
        <v>0.95140000000000002</v>
      </c>
      <c r="V43" s="55">
        <f>ROUND(+Marathon!$E48,4)</f>
        <v>0.95140000000000002</v>
      </c>
      <c r="W43" s="47"/>
    </row>
    <row r="44" spans="1:23">
      <c r="A44" s="49">
        <v>43</v>
      </c>
      <c r="B44" s="55">
        <f>ROUND(+Mile!E49,4)</f>
        <v>0.95730000000000004</v>
      </c>
      <c r="C44" s="55">
        <f>ROUND(+'5K'!E49,4)</f>
        <v>0.93740000000000001</v>
      </c>
      <c r="D44" s="55">
        <f>ROUND(+'6K'!E49,4)</f>
        <v>0.93869999999999998</v>
      </c>
      <c r="E44" s="55">
        <f>ROUND(+'4MI'!E49,4)</f>
        <v>0.93910000000000005</v>
      </c>
      <c r="F44" s="55">
        <f>ROUND(+'8K'!$E49,4)</f>
        <v>0.94069999999999998</v>
      </c>
      <c r="G44" s="55">
        <f>ROUND(+'5MI'!E49,4)</f>
        <v>0.94069999999999998</v>
      </c>
      <c r="H44" s="55">
        <f>ROUND(+'10K'!$E49,4)</f>
        <v>0.94220000000000004</v>
      </c>
      <c r="I44" s="56">
        <f>ROUND(+'12K'!$E49,4)</f>
        <v>0.9415</v>
      </c>
      <c r="J44" s="55">
        <f>ROUND(+'15K'!$E49,4)</f>
        <v>0.94069999999999998</v>
      </c>
      <c r="K44" s="55">
        <f>ROUND(+'10MI'!$E49,4)</f>
        <v>0.9405</v>
      </c>
      <c r="L44" s="55">
        <f>ROUND(+'20K'!$E49,4)</f>
        <v>0.93969999999999998</v>
      </c>
      <c r="M44" s="55">
        <f>ROUND(+H.Marathon!$E49,4)</f>
        <v>0.9395</v>
      </c>
      <c r="N44" s="55">
        <f>ROUND(+'25K'!$E49,4)</f>
        <v>0.94089999999999996</v>
      </c>
      <c r="O44" s="55">
        <f>ROUND(+'30K'!$E49,4)</f>
        <v>0.94240000000000002</v>
      </c>
      <c r="P44" s="55">
        <f>ROUND(+Marathon!$E49,4)</f>
        <v>0.94520000000000004</v>
      </c>
      <c r="Q44" s="55">
        <f>ROUND(+Marathon!$E49,4)</f>
        <v>0.94520000000000004</v>
      </c>
      <c r="R44" s="55">
        <f>ROUND(+Marathon!$E49,4)</f>
        <v>0.94520000000000004</v>
      </c>
      <c r="S44" s="55">
        <f>ROUND(+Marathon!$E49,4)</f>
        <v>0.94520000000000004</v>
      </c>
      <c r="T44" s="55">
        <f>ROUND(+Marathon!$E49,4)</f>
        <v>0.94520000000000004</v>
      </c>
      <c r="U44" s="55">
        <f>ROUND(+Marathon!$E49,4)</f>
        <v>0.94520000000000004</v>
      </c>
      <c r="V44" s="55">
        <f>ROUND(+Marathon!$E49,4)</f>
        <v>0.94520000000000004</v>
      </c>
      <c r="W44" s="47"/>
    </row>
    <row r="45" spans="1:23">
      <c r="A45" s="49">
        <v>44</v>
      </c>
      <c r="B45" s="55">
        <f>ROUND(+Mile!E50,4)</f>
        <v>0.95040000000000002</v>
      </c>
      <c r="C45" s="55">
        <f>ROUND(+'5K'!E50,4)</f>
        <v>0.92769999999999997</v>
      </c>
      <c r="D45" s="55">
        <f>ROUND(+'6K'!E50,4)</f>
        <v>0.92989999999999995</v>
      </c>
      <c r="E45" s="55">
        <f>ROUND(+'4MI'!E50,4)</f>
        <v>0.93069999999999997</v>
      </c>
      <c r="F45" s="55">
        <f>ROUND(+'8K'!$E50,4)</f>
        <v>0.93330000000000002</v>
      </c>
      <c r="G45" s="55">
        <f>ROUND(+'5MI'!E50,4)</f>
        <v>0.93340000000000001</v>
      </c>
      <c r="H45" s="55">
        <f>ROUND(+'10K'!$E50,4)</f>
        <v>0.93600000000000005</v>
      </c>
      <c r="I45" s="56">
        <f>ROUND(+'12K'!$E50,4)</f>
        <v>0.93489999999999995</v>
      </c>
      <c r="J45" s="55">
        <f>ROUND(+'15K'!$E50,4)</f>
        <v>0.93369999999999997</v>
      </c>
      <c r="K45" s="55">
        <f>ROUND(+'10MI'!$E50,4)</f>
        <v>0.93330000000000002</v>
      </c>
      <c r="L45" s="55">
        <f>ROUND(+'20K'!$E50,4)</f>
        <v>0.93200000000000005</v>
      </c>
      <c r="M45" s="55">
        <f>ROUND(+H.Marathon!$E50,4)</f>
        <v>0.93169999999999997</v>
      </c>
      <c r="N45" s="55">
        <f>ROUND(+'25K'!$E50,4)</f>
        <v>0.93340000000000001</v>
      </c>
      <c r="O45" s="55">
        <f>ROUND(+'30K'!$E50,4)</f>
        <v>0.93520000000000003</v>
      </c>
      <c r="P45" s="55">
        <f>ROUND(+Marathon!$E50,4)</f>
        <v>0.93859999999999999</v>
      </c>
      <c r="Q45" s="55">
        <f>ROUND(+Marathon!$E50,4)</f>
        <v>0.93859999999999999</v>
      </c>
      <c r="R45" s="55">
        <f>ROUND(+Marathon!$E50,4)</f>
        <v>0.93859999999999999</v>
      </c>
      <c r="S45" s="55">
        <f>ROUND(+Marathon!$E50,4)</f>
        <v>0.93859999999999999</v>
      </c>
      <c r="T45" s="55">
        <f>ROUND(+Marathon!$E50,4)</f>
        <v>0.93859999999999999</v>
      </c>
      <c r="U45" s="55">
        <f>ROUND(+Marathon!$E50,4)</f>
        <v>0.93859999999999999</v>
      </c>
      <c r="V45" s="55">
        <f>ROUND(+Marathon!$E50,4)</f>
        <v>0.93859999999999999</v>
      </c>
      <c r="W45" s="47"/>
    </row>
    <row r="46" spans="1:23">
      <c r="A46" s="57">
        <v>45</v>
      </c>
      <c r="B46" s="58">
        <f>ROUND(+Mile!E51,4)</f>
        <v>0.94299999999999995</v>
      </c>
      <c r="C46" s="58">
        <f>ROUND(+'5K'!E51,4)</f>
        <v>0.91800000000000004</v>
      </c>
      <c r="D46" s="58">
        <f>ROUND(+'6K'!E51,4)</f>
        <v>0.92100000000000004</v>
      </c>
      <c r="E46" s="58">
        <f>ROUND(+'4MI'!E51,4)</f>
        <v>0.92220000000000002</v>
      </c>
      <c r="F46" s="58">
        <f>ROUND(+'8K'!$E51,4)</f>
        <v>0.92569999999999997</v>
      </c>
      <c r="G46" s="58">
        <f>ROUND(+'5MI'!E51,4)</f>
        <v>0.92579999999999996</v>
      </c>
      <c r="H46" s="58">
        <f>ROUND(+'10K'!$E51,4)</f>
        <v>0.9294</v>
      </c>
      <c r="I46" s="58">
        <f>ROUND(+'12K'!$E51,4)</f>
        <v>0.92789999999999995</v>
      </c>
      <c r="J46" s="58">
        <f>ROUND(+'15K'!$E51,4)</f>
        <v>0.92610000000000003</v>
      </c>
      <c r="K46" s="58">
        <f>ROUND(+'10MI'!$E51,4)</f>
        <v>0.92559999999999998</v>
      </c>
      <c r="L46" s="58">
        <f>ROUND(+'20K'!$E51,4)</f>
        <v>0.92379999999999995</v>
      </c>
      <c r="M46" s="58">
        <f>ROUND(+H.Marathon!$E51,4)</f>
        <v>0.9234</v>
      </c>
      <c r="N46" s="58">
        <f>ROUND(+'25K'!$E51,4)</f>
        <v>0.9254</v>
      </c>
      <c r="O46" s="58">
        <f>ROUND(+'30K'!$E51,4)</f>
        <v>0.92749999999999999</v>
      </c>
      <c r="P46" s="58">
        <f>ROUND(+Marathon!$E51,4)</f>
        <v>0.93149999999999999</v>
      </c>
      <c r="Q46" s="58">
        <f>ROUND(+Marathon!$E51,4)</f>
        <v>0.93149999999999999</v>
      </c>
      <c r="R46" s="58">
        <f>ROUND(+Marathon!$E51,4)</f>
        <v>0.93149999999999999</v>
      </c>
      <c r="S46" s="58">
        <f>ROUND(+Marathon!$E51,4)</f>
        <v>0.93149999999999999</v>
      </c>
      <c r="T46" s="58">
        <f>ROUND(+Marathon!$E51,4)</f>
        <v>0.93149999999999999</v>
      </c>
      <c r="U46" s="58">
        <f>ROUND(+Marathon!$E51,4)</f>
        <v>0.93149999999999999</v>
      </c>
      <c r="V46" s="58">
        <f>ROUND(+Marathon!$E51,4)</f>
        <v>0.93149999999999999</v>
      </c>
      <c r="W46" s="47"/>
    </row>
    <row r="47" spans="1:23">
      <c r="A47" s="49">
        <v>46</v>
      </c>
      <c r="B47" s="55">
        <f>ROUND(+Mile!E52,4)</f>
        <v>0.93510000000000004</v>
      </c>
      <c r="C47" s="55">
        <f>ROUND(+'5K'!E52,4)</f>
        <v>0.90820000000000001</v>
      </c>
      <c r="D47" s="55">
        <f>ROUND(+'6K'!E52,4)</f>
        <v>0.91200000000000003</v>
      </c>
      <c r="E47" s="55">
        <f>ROUND(+'4MI'!E52,4)</f>
        <v>0.91339999999999999</v>
      </c>
      <c r="F47" s="55">
        <f>ROUND(+'8K'!$E52,4)</f>
        <v>0.91790000000000005</v>
      </c>
      <c r="G47" s="55">
        <f>ROUND(+'5MI'!E52,4)</f>
        <v>0.91800000000000004</v>
      </c>
      <c r="H47" s="55">
        <f>ROUND(+'10K'!$E52,4)</f>
        <v>0.92249999999999999</v>
      </c>
      <c r="I47" s="56">
        <f>ROUND(+'12K'!$E52,4)</f>
        <v>0.92059999999999997</v>
      </c>
      <c r="J47" s="55">
        <f>ROUND(+'15K'!$E52,4)</f>
        <v>0.91830000000000001</v>
      </c>
      <c r="K47" s="55">
        <f>ROUND(+'10MI'!$E52,4)</f>
        <v>0.91749999999999998</v>
      </c>
      <c r="L47" s="55">
        <f>ROUND(+'20K'!$E52,4)</f>
        <v>0.9153</v>
      </c>
      <c r="M47" s="55">
        <f>ROUND(+H.Marathon!$E52,4)</f>
        <v>0.91469999999999996</v>
      </c>
      <c r="N47" s="55">
        <f>ROUND(+'25K'!$E52,4)</f>
        <v>0.91700000000000004</v>
      </c>
      <c r="O47" s="55">
        <f>ROUND(+'30K'!$E52,4)</f>
        <v>0.91949999999999998</v>
      </c>
      <c r="P47" s="55">
        <f>ROUND(+Marathon!$E52,4)</f>
        <v>0.92410000000000003</v>
      </c>
      <c r="Q47" s="55">
        <f>ROUND(+Marathon!$E52,4)</f>
        <v>0.92410000000000003</v>
      </c>
      <c r="R47" s="55">
        <f>ROUND(+Marathon!$E52,4)</f>
        <v>0.92410000000000003</v>
      </c>
      <c r="S47" s="55">
        <f>ROUND(+Marathon!$E52,4)</f>
        <v>0.92410000000000003</v>
      </c>
      <c r="T47" s="55">
        <f>ROUND(+Marathon!$E52,4)</f>
        <v>0.92410000000000003</v>
      </c>
      <c r="U47" s="55">
        <f>ROUND(+Marathon!$E52,4)</f>
        <v>0.92410000000000003</v>
      </c>
      <c r="V47" s="55">
        <f>ROUND(+Marathon!$E52,4)</f>
        <v>0.92410000000000003</v>
      </c>
      <c r="W47" s="47"/>
    </row>
    <row r="48" spans="1:23">
      <c r="A48" s="49">
        <v>47</v>
      </c>
      <c r="B48" s="55">
        <f>ROUND(+Mile!E53,4)</f>
        <v>0.92659999999999998</v>
      </c>
      <c r="C48" s="55">
        <f>ROUND(+'5K'!E53,4)</f>
        <v>0.89849999999999997</v>
      </c>
      <c r="D48" s="55">
        <f>ROUND(+'6K'!E53,4)</f>
        <v>0.90290000000000004</v>
      </c>
      <c r="E48" s="55">
        <f>ROUND(+'4MI'!E53,4)</f>
        <v>0.90459999999999996</v>
      </c>
      <c r="F48" s="55">
        <f>ROUND(+'8K'!$E53,4)</f>
        <v>0.90990000000000004</v>
      </c>
      <c r="G48" s="55">
        <f>ROUND(+'5MI'!E53,4)</f>
        <v>0.91</v>
      </c>
      <c r="H48" s="55">
        <f>ROUND(+'10K'!$E53,4)</f>
        <v>0.9153</v>
      </c>
      <c r="I48" s="56">
        <f>ROUND(+'12K'!$E53,4)</f>
        <v>0.91290000000000004</v>
      </c>
      <c r="J48" s="55">
        <f>ROUND(+'15K'!$E53,4)</f>
        <v>0.91</v>
      </c>
      <c r="K48" s="55">
        <f>ROUND(+'10MI'!$E53,4)</f>
        <v>0.90910000000000002</v>
      </c>
      <c r="L48" s="55">
        <f>ROUND(+'20K'!$E53,4)</f>
        <v>0.90620000000000001</v>
      </c>
      <c r="M48" s="55">
        <f>ROUND(+H.Marathon!$E53,4)</f>
        <v>0.90549999999999997</v>
      </c>
      <c r="N48" s="55">
        <f>ROUND(+'25K'!$E53,4)</f>
        <v>0.90820000000000001</v>
      </c>
      <c r="O48" s="55">
        <f>ROUND(+'30K'!$E53,4)</f>
        <v>0.91100000000000003</v>
      </c>
      <c r="P48" s="55">
        <f>ROUND(+Marathon!$E53,4)</f>
        <v>0.91639999999999999</v>
      </c>
      <c r="Q48" s="55">
        <f>ROUND(+Marathon!$E53,4)</f>
        <v>0.91639999999999999</v>
      </c>
      <c r="R48" s="55">
        <f>ROUND(+Marathon!$E53,4)</f>
        <v>0.91639999999999999</v>
      </c>
      <c r="S48" s="55">
        <f>ROUND(+Marathon!$E53,4)</f>
        <v>0.91639999999999999</v>
      </c>
      <c r="T48" s="55">
        <f>ROUND(+Marathon!$E53,4)</f>
        <v>0.91639999999999999</v>
      </c>
      <c r="U48" s="55">
        <f>ROUND(+Marathon!$E53,4)</f>
        <v>0.91639999999999999</v>
      </c>
      <c r="V48" s="55">
        <f>ROUND(+Marathon!$E53,4)</f>
        <v>0.91639999999999999</v>
      </c>
      <c r="W48" s="47"/>
    </row>
    <row r="49" spans="1:23">
      <c r="A49" s="49">
        <v>48</v>
      </c>
      <c r="B49" s="55">
        <f>ROUND(+Mile!E54,4)</f>
        <v>0.91769999999999996</v>
      </c>
      <c r="C49" s="55">
        <f>ROUND(+'5K'!E54,4)</f>
        <v>0.88880000000000003</v>
      </c>
      <c r="D49" s="55">
        <f>ROUND(+'6K'!E54,4)</f>
        <v>0.89380000000000004</v>
      </c>
      <c r="E49" s="55">
        <f>ROUND(+'4MI'!E54,4)</f>
        <v>0.89570000000000005</v>
      </c>
      <c r="F49" s="55">
        <f>ROUND(+'8K'!$E54,4)</f>
        <v>0.90169999999999995</v>
      </c>
      <c r="G49" s="55">
        <f>ROUND(+'5MI'!E54,4)</f>
        <v>0.90180000000000005</v>
      </c>
      <c r="H49" s="55">
        <f>ROUND(+'10K'!$E54,4)</f>
        <v>0.90780000000000005</v>
      </c>
      <c r="I49" s="56">
        <f>ROUND(+'12K'!$E54,4)</f>
        <v>0.90490000000000004</v>
      </c>
      <c r="J49" s="55">
        <f>ROUND(+'15K'!$E54,4)</f>
        <v>0.90129999999999999</v>
      </c>
      <c r="K49" s="55">
        <f>ROUND(+'10MI'!$E54,4)</f>
        <v>0.9002</v>
      </c>
      <c r="L49" s="55">
        <f>ROUND(+'20K'!$E54,4)</f>
        <v>0.89670000000000005</v>
      </c>
      <c r="M49" s="55">
        <f>ROUND(+H.Marathon!$E54,4)</f>
        <v>0.89580000000000004</v>
      </c>
      <c r="N49" s="55">
        <f>ROUND(+'25K'!$E54,4)</f>
        <v>0.89880000000000004</v>
      </c>
      <c r="O49" s="55">
        <f>ROUND(+'30K'!$E54,4)</f>
        <v>0.90210000000000001</v>
      </c>
      <c r="P49" s="55">
        <f>ROUND(+Marathon!$E54,4)</f>
        <v>0.90820000000000001</v>
      </c>
      <c r="Q49" s="55">
        <f>ROUND(+Marathon!$E54,4)</f>
        <v>0.90820000000000001</v>
      </c>
      <c r="R49" s="55">
        <f>ROUND(+Marathon!$E54,4)</f>
        <v>0.90820000000000001</v>
      </c>
      <c r="S49" s="55">
        <f>ROUND(+Marathon!$E54,4)</f>
        <v>0.90820000000000001</v>
      </c>
      <c r="T49" s="55">
        <f>ROUND(+Marathon!$E54,4)</f>
        <v>0.90820000000000001</v>
      </c>
      <c r="U49" s="55">
        <f>ROUND(+Marathon!$E54,4)</f>
        <v>0.90820000000000001</v>
      </c>
      <c r="V49" s="55">
        <f>ROUND(+Marathon!$E54,4)</f>
        <v>0.90820000000000001</v>
      </c>
      <c r="W49" s="47"/>
    </row>
    <row r="50" spans="1:23">
      <c r="A50" s="49">
        <v>49</v>
      </c>
      <c r="B50" s="55">
        <f>ROUND(+Mile!E55,4)</f>
        <v>0.90820000000000001</v>
      </c>
      <c r="C50" s="55">
        <f>ROUND(+'5K'!E55,4)</f>
        <v>0.87909999999999999</v>
      </c>
      <c r="D50" s="55">
        <f>ROUND(+'6K'!E55,4)</f>
        <v>0.88460000000000005</v>
      </c>
      <c r="E50" s="55">
        <f>ROUND(+'4MI'!E55,4)</f>
        <v>0.88670000000000004</v>
      </c>
      <c r="F50" s="55">
        <f>ROUND(+'8K'!$E55,4)</f>
        <v>0.89329999999999998</v>
      </c>
      <c r="G50" s="55">
        <f>ROUND(+'5MI'!E55,4)</f>
        <v>0.89339999999999997</v>
      </c>
      <c r="H50" s="55">
        <f>ROUND(+'10K'!$E55,4)</f>
        <v>0.9</v>
      </c>
      <c r="I50" s="56">
        <f>ROUND(+'12K'!$E55,4)</f>
        <v>0.89649999999999996</v>
      </c>
      <c r="J50" s="55">
        <f>ROUND(+'15K'!$E55,4)</f>
        <v>0.89219999999999999</v>
      </c>
      <c r="K50" s="55">
        <f>ROUND(+'10MI'!$E55,4)</f>
        <v>0.89080000000000004</v>
      </c>
      <c r="L50" s="55">
        <f>ROUND(+'20K'!$E55,4)</f>
        <v>0.88660000000000005</v>
      </c>
      <c r="M50" s="55">
        <f>ROUND(+H.Marathon!$E55,4)</f>
        <v>0.88560000000000005</v>
      </c>
      <c r="N50" s="55">
        <f>ROUND(+'25K'!$E55,4)</f>
        <v>0.8891</v>
      </c>
      <c r="O50" s="55">
        <f>ROUND(+'30K'!$E55,4)</f>
        <v>0.89280000000000004</v>
      </c>
      <c r="P50" s="55">
        <f>ROUND(+Marathon!$E55,4)</f>
        <v>0.89970000000000006</v>
      </c>
      <c r="Q50" s="55">
        <f>ROUND(+Marathon!$E55,4)</f>
        <v>0.89970000000000006</v>
      </c>
      <c r="R50" s="55">
        <f>ROUND(+Marathon!$E55,4)</f>
        <v>0.89970000000000006</v>
      </c>
      <c r="S50" s="55">
        <f>ROUND(+Marathon!$E55,4)</f>
        <v>0.89970000000000006</v>
      </c>
      <c r="T50" s="55">
        <f>ROUND(+Marathon!$E55,4)</f>
        <v>0.89970000000000006</v>
      </c>
      <c r="U50" s="55">
        <f>ROUND(+Marathon!$E55,4)</f>
        <v>0.89970000000000006</v>
      </c>
      <c r="V50" s="55">
        <f>ROUND(+Marathon!$E55,4)</f>
        <v>0.89970000000000006</v>
      </c>
      <c r="W50" s="47"/>
    </row>
    <row r="51" spans="1:23">
      <c r="A51" s="57">
        <v>50</v>
      </c>
      <c r="B51" s="58">
        <f>ROUND(+Mile!E56,4)</f>
        <v>0.89849999999999997</v>
      </c>
      <c r="C51" s="58">
        <f>ROUND(+'5K'!E56,4)</f>
        <v>0.86939999999999995</v>
      </c>
      <c r="D51" s="58">
        <f>ROUND(+'6K'!E56,4)</f>
        <v>0.87529999999999997</v>
      </c>
      <c r="E51" s="58">
        <f>ROUND(+'4MI'!E56,4)</f>
        <v>0.87760000000000005</v>
      </c>
      <c r="F51" s="58">
        <f>ROUND(+'8K'!$E56,4)</f>
        <v>0.88460000000000005</v>
      </c>
      <c r="G51" s="58">
        <f>ROUND(+'5MI'!E56,4)</f>
        <v>0.88480000000000003</v>
      </c>
      <c r="H51" s="58">
        <f>ROUND(+'10K'!$E56,4)</f>
        <v>0.89180000000000004</v>
      </c>
      <c r="I51" s="58">
        <f>ROUND(+'12K'!$E56,4)</f>
        <v>0.88780000000000003</v>
      </c>
      <c r="J51" s="58">
        <f>ROUND(+'15K'!$E56,4)</f>
        <v>0.88280000000000003</v>
      </c>
      <c r="K51" s="58">
        <f>ROUND(+'10MI'!$E56,4)</f>
        <v>0.88129999999999997</v>
      </c>
      <c r="L51" s="58">
        <f>ROUND(+'20K'!$E56,4)</f>
        <v>0.87649999999999995</v>
      </c>
      <c r="M51" s="58">
        <f>ROUND(+H.Marathon!$E56,4)</f>
        <v>0.87529999999999997</v>
      </c>
      <c r="N51" s="58">
        <f>ROUND(+'25K'!$E56,4)</f>
        <v>0.87909999999999999</v>
      </c>
      <c r="O51" s="58">
        <f>ROUND(+'30K'!$E56,4)</f>
        <v>0.88319999999999999</v>
      </c>
      <c r="P51" s="58">
        <f>ROUND(+Marathon!$E56,4)</f>
        <v>0.89080000000000004</v>
      </c>
      <c r="Q51" s="58">
        <f>ROUND(+Marathon!$E56,4)</f>
        <v>0.89080000000000004</v>
      </c>
      <c r="R51" s="58">
        <f>ROUND(+Marathon!$E56,4)</f>
        <v>0.89080000000000004</v>
      </c>
      <c r="S51" s="58">
        <f>ROUND(+Marathon!$E56,4)</f>
        <v>0.89080000000000004</v>
      </c>
      <c r="T51" s="58">
        <f>ROUND(+Marathon!$E56,4)</f>
        <v>0.89080000000000004</v>
      </c>
      <c r="U51" s="58">
        <f>ROUND(+Marathon!$E56,4)</f>
        <v>0.89080000000000004</v>
      </c>
      <c r="V51" s="58">
        <f>ROUND(+Marathon!$E56,4)</f>
        <v>0.89080000000000004</v>
      </c>
      <c r="W51" s="47"/>
    </row>
    <row r="52" spans="1:23">
      <c r="A52" s="49">
        <v>51</v>
      </c>
      <c r="B52" s="55">
        <f>ROUND(+Mile!E57,4)</f>
        <v>0.88880000000000003</v>
      </c>
      <c r="C52" s="55">
        <f>ROUND(+'5K'!E57,4)</f>
        <v>0.85970000000000002</v>
      </c>
      <c r="D52" s="55">
        <f>ROUND(+'6K'!E57,4)</f>
        <v>0.8659</v>
      </c>
      <c r="E52" s="55">
        <f>ROUND(+'4MI'!E57,4)</f>
        <v>0.86829999999999996</v>
      </c>
      <c r="F52" s="55">
        <f>ROUND(+'8K'!$E57,4)</f>
        <v>0.87570000000000003</v>
      </c>
      <c r="G52" s="55">
        <f>ROUND(+'5MI'!E57,4)</f>
        <v>0.87590000000000001</v>
      </c>
      <c r="H52" s="55">
        <f>ROUND(+'10K'!$E57,4)</f>
        <v>0.88329999999999997</v>
      </c>
      <c r="I52" s="56">
        <f>ROUND(+'12K'!$E57,4)</f>
        <v>0.87880000000000003</v>
      </c>
      <c r="J52" s="55">
        <f>ROUND(+'15K'!$E57,4)</f>
        <v>0.87329999999999997</v>
      </c>
      <c r="K52" s="55">
        <f>ROUND(+'10MI'!$E57,4)</f>
        <v>0.87160000000000004</v>
      </c>
      <c r="L52" s="55">
        <f>ROUND(+'20K'!$E57,4)</f>
        <v>0.86619999999999997</v>
      </c>
      <c r="M52" s="55">
        <f>ROUND(+H.Marathon!$E57,4)</f>
        <v>0.8649</v>
      </c>
      <c r="N52" s="55">
        <f>ROUND(+'25K'!$E57,4)</f>
        <v>0.86899999999999999</v>
      </c>
      <c r="O52" s="55">
        <f>ROUND(+'30K'!$E57,4)</f>
        <v>0.87329999999999997</v>
      </c>
      <c r="P52" s="55">
        <f>ROUND(+Marathon!$E57,4)</f>
        <v>0.88149999999999995</v>
      </c>
      <c r="Q52" s="55">
        <f>ROUND(+Marathon!$E57,4)</f>
        <v>0.88149999999999995</v>
      </c>
      <c r="R52" s="55">
        <f>ROUND(+Marathon!$E57,4)</f>
        <v>0.88149999999999995</v>
      </c>
      <c r="S52" s="55">
        <f>ROUND(+Marathon!$E57,4)</f>
        <v>0.88149999999999995</v>
      </c>
      <c r="T52" s="55">
        <f>ROUND(+Marathon!$E57,4)</f>
        <v>0.88149999999999995</v>
      </c>
      <c r="U52" s="55">
        <f>ROUND(+Marathon!$E57,4)</f>
        <v>0.88149999999999995</v>
      </c>
      <c r="V52" s="55">
        <f>ROUND(+Marathon!$E57,4)</f>
        <v>0.88149999999999995</v>
      </c>
      <c r="W52" s="47"/>
    </row>
    <row r="53" spans="1:23">
      <c r="A53" s="49">
        <v>52</v>
      </c>
      <c r="B53" s="55">
        <f>ROUND(+Mile!E58,4)</f>
        <v>0.87909999999999999</v>
      </c>
      <c r="C53" s="55">
        <f>ROUND(+'5K'!E58,4)</f>
        <v>0.85</v>
      </c>
      <c r="D53" s="55">
        <f>ROUND(+'6K'!E58,4)</f>
        <v>0.85640000000000005</v>
      </c>
      <c r="E53" s="55">
        <f>ROUND(+'4MI'!E58,4)</f>
        <v>0.8589</v>
      </c>
      <c r="F53" s="55">
        <f>ROUND(+'8K'!$E58,4)</f>
        <v>0.86660000000000004</v>
      </c>
      <c r="G53" s="55">
        <f>ROUND(+'5MI'!E58,4)</f>
        <v>0.86680000000000001</v>
      </c>
      <c r="H53" s="55">
        <f>ROUND(+'10K'!$E58,4)</f>
        <v>0.87450000000000006</v>
      </c>
      <c r="I53" s="56">
        <f>ROUND(+'12K'!$E58,4)</f>
        <v>0.86960000000000004</v>
      </c>
      <c r="J53" s="55">
        <f>ROUND(+'15K'!$E58,4)</f>
        <v>0.86370000000000002</v>
      </c>
      <c r="K53" s="55">
        <f>ROUND(+'10MI'!$E58,4)</f>
        <v>0.86180000000000001</v>
      </c>
      <c r="L53" s="55">
        <f>ROUND(+'20K'!$E58,4)</f>
        <v>0.85599999999999998</v>
      </c>
      <c r="M53" s="55">
        <f>ROUND(+H.Marathon!$E58,4)</f>
        <v>0.85460000000000003</v>
      </c>
      <c r="N53" s="55">
        <f>ROUND(+'25K'!$E58,4)</f>
        <v>0.85880000000000001</v>
      </c>
      <c r="O53" s="55">
        <f>ROUND(+'30K'!$E58,4)</f>
        <v>0.86329999999999996</v>
      </c>
      <c r="P53" s="55">
        <f>ROUND(+Marathon!$E58,4)</f>
        <v>0.87180000000000002</v>
      </c>
      <c r="Q53" s="55">
        <f>ROUND(+Marathon!$E58,4)</f>
        <v>0.87180000000000002</v>
      </c>
      <c r="R53" s="55">
        <f>ROUND(+Marathon!$E58,4)</f>
        <v>0.87180000000000002</v>
      </c>
      <c r="S53" s="55">
        <f>ROUND(+Marathon!$E58,4)</f>
        <v>0.87180000000000002</v>
      </c>
      <c r="T53" s="55">
        <f>ROUND(+Marathon!$E58,4)</f>
        <v>0.87180000000000002</v>
      </c>
      <c r="U53" s="55">
        <f>ROUND(+Marathon!$E58,4)</f>
        <v>0.87180000000000002</v>
      </c>
      <c r="V53" s="55">
        <f>ROUND(+Marathon!$E58,4)</f>
        <v>0.87180000000000002</v>
      </c>
      <c r="W53" s="47"/>
    </row>
    <row r="54" spans="1:23">
      <c r="A54" s="49">
        <v>53</v>
      </c>
      <c r="B54" s="55">
        <f>ROUND(+Mile!E59,4)</f>
        <v>0.86939999999999995</v>
      </c>
      <c r="C54" s="55">
        <f>ROUND(+'5K'!E59,4)</f>
        <v>0.84030000000000005</v>
      </c>
      <c r="D54" s="55">
        <f>ROUND(+'6K'!E59,4)</f>
        <v>0.84689999999999999</v>
      </c>
      <c r="E54" s="55">
        <f>ROUND(+'4MI'!E59,4)</f>
        <v>0.84950000000000003</v>
      </c>
      <c r="F54" s="55">
        <f>ROUND(+'8K'!$E59,4)</f>
        <v>0.85729999999999995</v>
      </c>
      <c r="G54" s="55">
        <f>ROUND(+'5MI'!E59,4)</f>
        <v>0.85750000000000004</v>
      </c>
      <c r="H54" s="55">
        <f>ROUND(+'10K'!$E59,4)</f>
        <v>0.86539999999999995</v>
      </c>
      <c r="I54" s="56">
        <f>ROUND(+'12K'!$E59,4)</f>
        <v>0.86019999999999996</v>
      </c>
      <c r="J54" s="55">
        <f>ROUND(+'15K'!$E59,4)</f>
        <v>0.85389999999999999</v>
      </c>
      <c r="K54" s="55">
        <f>ROUND(+'10MI'!$E59,4)</f>
        <v>0.85189999999999999</v>
      </c>
      <c r="L54" s="55">
        <f>ROUND(+'20K'!$E59,4)</f>
        <v>0.84570000000000001</v>
      </c>
      <c r="M54" s="55">
        <f>ROUND(+H.Marathon!$E59,4)</f>
        <v>0.84419999999999995</v>
      </c>
      <c r="N54" s="55">
        <f>ROUND(+'25K'!$E59,4)</f>
        <v>0.84850000000000003</v>
      </c>
      <c r="O54" s="55">
        <f>ROUND(+'30K'!$E59,4)</f>
        <v>0.85309999999999997</v>
      </c>
      <c r="P54" s="55">
        <f>ROUND(+Marathon!$E59,4)</f>
        <v>0.86170000000000002</v>
      </c>
      <c r="Q54" s="55">
        <f>ROUND(+Marathon!$E59,4)</f>
        <v>0.86170000000000002</v>
      </c>
      <c r="R54" s="55">
        <f>ROUND(+Marathon!$E59,4)</f>
        <v>0.86170000000000002</v>
      </c>
      <c r="S54" s="55">
        <f>ROUND(+Marathon!$E59,4)</f>
        <v>0.86170000000000002</v>
      </c>
      <c r="T54" s="55">
        <f>ROUND(+Marathon!$E59,4)</f>
        <v>0.86170000000000002</v>
      </c>
      <c r="U54" s="55">
        <f>ROUND(+Marathon!$E59,4)</f>
        <v>0.86170000000000002</v>
      </c>
      <c r="V54" s="55">
        <f>ROUND(+Marathon!$E59,4)</f>
        <v>0.86170000000000002</v>
      </c>
      <c r="W54" s="47"/>
    </row>
    <row r="55" spans="1:23">
      <c r="A55" s="49">
        <v>54</v>
      </c>
      <c r="B55" s="55">
        <f>ROUND(+Mile!E60,4)</f>
        <v>0.85970000000000002</v>
      </c>
      <c r="C55" s="55">
        <f>ROUND(+'5K'!E60,4)</f>
        <v>0.8306</v>
      </c>
      <c r="D55" s="55">
        <f>ROUND(+'6K'!E60,4)</f>
        <v>0.83730000000000004</v>
      </c>
      <c r="E55" s="55">
        <f>ROUND(+'4MI'!E60,4)</f>
        <v>0.83979999999999999</v>
      </c>
      <c r="F55" s="55">
        <f>ROUND(+'8K'!$E60,4)</f>
        <v>0.8478</v>
      </c>
      <c r="G55" s="55">
        <f>ROUND(+'5MI'!E60,4)</f>
        <v>0.84799999999999998</v>
      </c>
      <c r="H55" s="55">
        <f>ROUND(+'10K'!$E60,4)</f>
        <v>0.85589999999999999</v>
      </c>
      <c r="I55" s="56">
        <f>ROUND(+'12K'!$E60,4)</f>
        <v>0.85050000000000003</v>
      </c>
      <c r="J55" s="55">
        <f>ROUND(+'15K'!$E60,4)</f>
        <v>0.84399999999999997</v>
      </c>
      <c r="K55" s="55">
        <f>ROUND(+'10MI'!$E60,4)</f>
        <v>0.84189999999999998</v>
      </c>
      <c r="L55" s="55">
        <f>ROUND(+'20K'!$E60,4)</f>
        <v>0.83550000000000002</v>
      </c>
      <c r="M55" s="55">
        <f>ROUND(+H.Marathon!$E60,4)</f>
        <v>0.83389999999999997</v>
      </c>
      <c r="N55" s="55">
        <f>ROUND(+'25K'!$E60,4)</f>
        <v>0.83819999999999995</v>
      </c>
      <c r="O55" s="55">
        <f>ROUND(+'30K'!$E60,4)</f>
        <v>0.8427</v>
      </c>
      <c r="P55" s="55">
        <f>ROUND(+Marathon!$E60,4)</f>
        <v>0.85129999999999995</v>
      </c>
      <c r="Q55" s="55">
        <f>ROUND(+Marathon!$E60,4)</f>
        <v>0.85129999999999995</v>
      </c>
      <c r="R55" s="55">
        <f>ROUND(+Marathon!$E60,4)</f>
        <v>0.85129999999999995</v>
      </c>
      <c r="S55" s="55">
        <f>ROUND(+Marathon!$E60,4)</f>
        <v>0.85129999999999995</v>
      </c>
      <c r="T55" s="55">
        <f>ROUND(+Marathon!$E60,4)</f>
        <v>0.85129999999999995</v>
      </c>
      <c r="U55" s="55">
        <f>ROUND(+Marathon!$E60,4)</f>
        <v>0.85129999999999995</v>
      </c>
      <c r="V55" s="55">
        <f>ROUND(+Marathon!$E60,4)</f>
        <v>0.85129999999999995</v>
      </c>
      <c r="W55" s="47"/>
    </row>
    <row r="56" spans="1:23">
      <c r="A56" s="57">
        <v>55</v>
      </c>
      <c r="B56" s="58">
        <f>ROUND(+Mile!E61,4)</f>
        <v>0.85</v>
      </c>
      <c r="C56" s="58">
        <f>ROUND(+'5K'!E61,4)</f>
        <v>0.82089999999999996</v>
      </c>
      <c r="D56" s="58">
        <f>ROUND(+'6K'!E61,4)</f>
        <v>0.8276</v>
      </c>
      <c r="E56" s="58">
        <f>ROUND(+'4MI'!E61,4)</f>
        <v>0.83009999999999995</v>
      </c>
      <c r="F56" s="58">
        <f>ROUND(+'8K'!$E61,4)</f>
        <v>0.83809999999999996</v>
      </c>
      <c r="G56" s="58">
        <f>ROUND(+'5MI'!E61,4)</f>
        <v>0.83830000000000005</v>
      </c>
      <c r="H56" s="58">
        <f>ROUND(+'10K'!$E61,4)</f>
        <v>0.84619999999999995</v>
      </c>
      <c r="I56" s="58">
        <f>ROUND(+'12K'!$E61,4)</f>
        <v>0.8407</v>
      </c>
      <c r="J56" s="58">
        <f>ROUND(+'15K'!$E61,4)</f>
        <v>0.83389999999999997</v>
      </c>
      <c r="K56" s="58">
        <f>ROUND(+'10MI'!$E61,4)</f>
        <v>0.83169999999999999</v>
      </c>
      <c r="L56" s="58">
        <f>ROUND(+'20K'!$E61,4)</f>
        <v>0.82509999999999994</v>
      </c>
      <c r="M56" s="58">
        <f>ROUND(+H.Marathon!$E61,4)</f>
        <v>0.82350000000000001</v>
      </c>
      <c r="N56" s="58">
        <f>ROUND(+'25K'!$E61,4)</f>
        <v>0.82769999999999999</v>
      </c>
      <c r="O56" s="58">
        <f>ROUND(+'30K'!$E61,4)</f>
        <v>0.83209999999999995</v>
      </c>
      <c r="P56" s="58">
        <f>ROUND(+Marathon!$E61,4)</f>
        <v>0.84050000000000002</v>
      </c>
      <c r="Q56" s="58">
        <f>ROUND(+Marathon!$E61,4)</f>
        <v>0.84050000000000002</v>
      </c>
      <c r="R56" s="58">
        <f>ROUND(+Marathon!$E61,4)</f>
        <v>0.84050000000000002</v>
      </c>
      <c r="S56" s="58">
        <f>ROUND(+Marathon!$E61,4)</f>
        <v>0.84050000000000002</v>
      </c>
      <c r="T56" s="58">
        <f>ROUND(+Marathon!$E61,4)</f>
        <v>0.84050000000000002</v>
      </c>
      <c r="U56" s="58">
        <f>ROUND(+Marathon!$E61,4)</f>
        <v>0.84050000000000002</v>
      </c>
      <c r="V56" s="58">
        <f>ROUND(+Marathon!$E61,4)</f>
        <v>0.84050000000000002</v>
      </c>
      <c r="W56" s="47"/>
    </row>
    <row r="57" spans="1:23">
      <c r="A57" s="49">
        <v>56</v>
      </c>
      <c r="B57" s="55">
        <f>ROUND(+Mile!E62,4)</f>
        <v>0.84030000000000005</v>
      </c>
      <c r="C57" s="55">
        <f>ROUND(+'5K'!E62,4)</f>
        <v>0.81110000000000004</v>
      </c>
      <c r="D57" s="55">
        <f>ROUND(+'6K'!E62,4)</f>
        <v>0.81769999999999998</v>
      </c>
      <c r="E57" s="55">
        <f>ROUND(+'4MI'!E62,4)</f>
        <v>0.82020000000000004</v>
      </c>
      <c r="F57" s="55">
        <f>ROUND(+'8K'!$E62,4)</f>
        <v>0.82809999999999995</v>
      </c>
      <c r="G57" s="55">
        <f>ROUND(+'5MI'!E62,4)</f>
        <v>0.82830000000000004</v>
      </c>
      <c r="H57" s="55">
        <f>ROUND(+'10K'!$E62,4)</f>
        <v>0.83609999999999995</v>
      </c>
      <c r="I57" s="56">
        <f>ROUND(+'12K'!$E62,4)</f>
        <v>0.83050000000000002</v>
      </c>
      <c r="J57" s="55">
        <f>ROUND(+'15K'!$E62,4)</f>
        <v>0.82369999999999999</v>
      </c>
      <c r="K57" s="55">
        <f>ROUND(+'10MI'!$E62,4)</f>
        <v>0.82150000000000001</v>
      </c>
      <c r="L57" s="55">
        <f>ROUND(+'20K'!$E62,4)</f>
        <v>0.81479999999999997</v>
      </c>
      <c r="M57" s="55">
        <f>ROUND(+H.Marathon!$E62,4)</f>
        <v>0.81320000000000003</v>
      </c>
      <c r="N57" s="55">
        <f>ROUND(+'25K'!$E62,4)</f>
        <v>0.81720000000000004</v>
      </c>
      <c r="O57" s="55">
        <f>ROUND(+'30K'!$E62,4)</f>
        <v>0.82150000000000001</v>
      </c>
      <c r="P57" s="55">
        <f>ROUND(+Marathon!$E62,4)</f>
        <v>0.82950000000000002</v>
      </c>
      <c r="Q57" s="55">
        <f>ROUND(+Marathon!$E62,4)</f>
        <v>0.82950000000000002</v>
      </c>
      <c r="R57" s="55">
        <f>ROUND(+Marathon!$E62,4)</f>
        <v>0.82950000000000002</v>
      </c>
      <c r="S57" s="55">
        <f>ROUND(+Marathon!$E62,4)</f>
        <v>0.82950000000000002</v>
      </c>
      <c r="T57" s="55">
        <f>ROUND(+Marathon!$E62,4)</f>
        <v>0.82950000000000002</v>
      </c>
      <c r="U57" s="55">
        <f>ROUND(+Marathon!$E62,4)</f>
        <v>0.82950000000000002</v>
      </c>
      <c r="V57" s="55">
        <f>ROUND(+Marathon!$E62,4)</f>
        <v>0.82950000000000002</v>
      </c>
      <c r="W57" s="47"/>
    </row>
    <row r="58" spans="1:23">
      <c r="A58" s="49">
        <v>57</v>
      </c>
      <c r="B58" s="55">
        <f>ROUND(+Mile!E63,4)</f>
        <v>0.8306</v>
      </c>
      <c r="C58" s="55">
        <f>ROUND(+'5K'!E63,4)</f>
        <v>0.8014</v>
      </c>
      <c r="D58" s="55">
        <f>ROUND(+'6K'!E63,4)</f>
        <v>0.80779999999999996</v>
      </c>
      <c r="E58" s="55">
        <f>ROUND(+'4MI'!E63,4)</f>
        <v>0.81030000000000002</v>
      </c>
      <c r="F58" s="55">
        <f>ROUND(+'8K'!$E63,4)</f>
        <v>0.81789999999999996</v>
      </c>
      <c r="G58" s="55">
        <f>ROUND(+'5MI'!E63,4)</f>
        <v>0.81810000000000005</v>
      </c>
      <c r="H58" s="55">
        <f>ROUND(+'10K'!$E63,4)</f>
        <v>0.82569999999999999</v>
      </c>
      <c r="I58" s="56">
        <f>ROUND(+'12K'!$E63,4)</f>
        <v>0.82010000000000005</v>
      </c>
      <c r="J58" s="55">
        <f>ROUND(+'15K'!$E63,4)</f>
        <v>0.81330000000000002</v>
      </c>
      <c r="K58" s="55">
        <f>ROUND(+'10MI'!$E63,4)</f>
        <v>0.81110000000000004</v>
      </c>
      <c r="L58" s="55">
        <f>ROUND(+'20K'!$E63,4)</f>
        <v>0.8044</v>
      </c>
      <c r="M58" s="55">
        <f>ROUND(+H.Marathon!$E63,4)</f>
        <v>0.80279999999999996</v>
      </c>
      <c r="N58" s="55">
        <f>ROUND(+'25K'!$E63,4)</f>
        <v>0.80659999999999998</v>
      </c>
      <c r="O58" s="55">
        <f>ROUND(+'30K'!$E63,4)</f>
        <v>0.81079999999999997</v>
      </c>
      <c r="P58" s="55">
        <f>ROUND(+Marathon!$E63,4)</f>
        <v>0.81850000000000001</v>
      </c>
      <c r="Q58" s="55">
        <f>ROUND(+Marathon!$E63,4)</f>
        <v>0.81850000000000001</v>
      </c>
      <c r="R58" s="55">
        <f>ROUND(+Marathon!$E63,4)</f>
        <v>0.81850000000000001</v>
      </c>
      <c r="S58" s="55">
        <f>ROUND(+Marathon!$E63,4)</f>
        <v>0.81850000000000001</v>
      </c>
      <c r="T58" s="55">
        <f>ROUND(+Marathon!$E63,4)</f>
        <v>0.81850000000000001</v>
      </c>
      <c r="U58" s="55">
        <f>ROUND(+Marathon!$E63,4)</f>
        <v>0.81850000000000001</v>
      </c>
      <c r="V58" s="55">
        <f>ROUND(+Marathon!$E63,4)</f>
        <v>0.81850000000000001</v>
      </c>
      <c r="W58" s="47"/>
    </row>
    <row r="59" spans="1:23">
      <c r="A59" s="49">
        <v>58</v>
      </c>
      <c r="B59" s="55">
        <f>ROUND(+Mile!E64,4)</f>
        <v>0.82089999999999996</v>
      </c>
      <c r="C59" s="55">
        <f>ROUND(+'5K'!E64,4)</f>
        <v>0.79169999999999996</v>
      </c>
      <c r="D59" s="55">
        <f>ROUND(+'6K'!E64,4)</f>
        <v>0.79790000000000005</v>
      </c>
      <c r="E59" s="55">
        <f>ROUND(+'4MI'!E64,4)</f>
        <v>0.80030000000000001</v>
      </c>
      <c r="F59" s="55">
        <f>ROUND(+'8K'!$E64,4)</f>
        <v>0.80759999999999998</v>
      </c>
      <c r="G59" s="55">
        <f>ROUND(+'5MI'!E64,4)</f>
        <v>0.80779999999999996</v>
      </c>
      <c r="H59" s="55">
        <f>ROUND(+'10K'!$E64,4)</f>
        <v>0.81520000000000004</v>
      </c>
      <c r="I59" s="56">
        <f>ROUND(+'12K'!$E64,4)</f>
        <v>0.80969999999999998</v>
      </c>
      <c r="J59" s="55">
        <f>ROUND(+'15K'!$E64,4)</f>
        <v>0.80289999999999995</v>
      </c>
      <c r="K59" s="55">
        <f>ROUND(+'10MI'!$E64,4)</f>
        <v>0.80069999999999997</v>
      </c>
      <c r="L59" s="55">
        <f>ROUND(+'20K'!$E64,4)</f>
        <v>0.79410000000000003</v>
      </c>
      <c r="M59" s="55">
        <f>ROUND(+H.Marathon!$E64,4)</f>
        <v>0.79249999999999998</v>
      </c>
      <c r="N59" s="55">
        <f>ROUND(+'25K'!$E64,4)</f>
        <v>0.79620000000000002</v>
      </c>
      <c r="O59" s="55">
        <f>ROUND(+'30K'!$E64,4)</f>
        <v>0.80010000000000003</v>
      </c>
      <c r="P59" s="55">
        <f>ROUND(+Marathon!$E64,4)</f>
        <v>0.8075</v>
      </c>
      <c r="Q59" s="55">
        <f>ROUND(+Marathon!$E64,4)</f>
        <v>0.8075</v>
      </c>
      <c r="R59" s="55">
        <f>ROUND(+Marathon!$E64,4)</f>
        <v>0.8075</v>
      </c>
      <c r="S59" s="55">
        <f>ROUND(+Marathon!$E64,4)</f>
        <v>0.8075</v>
      </c>
      <c r="T59" s="55">
        <f>ROUND(+Marathon!$E64,4)</f>
        <v>0.8075</v>
      </c>
      <c r="U59" s="55">
        <f>ROUND(+Marathon!$E64,4)</f>
        <v>0.8075</v>
      </c>
      <c r="V59" s="55">
        <f>ROUND(+Marathon!$E64,4)</f>
        <v>0.8075</v>
      </c>
      <c r="W59" s="47"/>
    </row>
    <row r="60" spans="1:23">
      <c r="A60" s="49">
        <v>59</v>
      </c>
      <c r="B60" s="55">
        <f>ROUND(+Mile!E65,4)</f>
        <v>0.81110000000000004</v>
      </c>
      <c r="C60" s="55">
        <f>ROUND(+'5K'!E65,4)</f>
        <v>0.78200000000000003</v>
      </c>
      <c r="D60" s="55">
        <f>ROUND(+'6K'!E65,4)</f>
        <v>0.78800000000000003</v>
      </c>
      <c r="E60" s="55">
        <f>ROUND(+'4MI'!E65,4)</f>
        <v>0.7903</v>
      </c>
      <c r="F60" s="55">
        <f>ROUND(+'8K'!$E65,4)</f>
        <v>0.7974</v>
      </c>
      <c r="G60" s="55">
        <f>ROUND(+'5MI'!E65,4)</f>
        <v>0.79759999999999998</v>
      </c>
      <c r="H60" s="55">
        <f>ROUND(+'10K'!$E65,4)</f>
        <v>0.80469999999999997</v>
      </c>
      <c r="I60" s="56">
        <f>ROUND(+'12K'!$E65,4)</f>
        <v>0.79920000000000002</v>
      </c>
      <c r="J60" s="55">
        <f>ROUND(+'15K'!$E65,4)</f>
        <v>0.79239999999999999</v>
      </c>
      <c r="K60" s="55">
        <f>ROUND(+'10MI'!$E65,4)</f>
        <v>0.7903</v>
      </c>
      <c r="L60" s="55">
        <f>ROUND(+'20K'!$E65,4)</f>
        <v>0.78369999999999995</v>
      </c>
      <c r="M60" s="55">
        <f>ROUND(+H.Marathon!$E65,4)</f>
        <v>0.78210000000000002</v>
      </c>
      <c r="N60" s="55">
        <f>ROUND(+'25K'!$E65,4)</f>
        <v>0.78559999999999997</v>
      </c>
      <c r="O60" s="55">
        <f>ROUND(+'30K'!$E65,4)</f>
        <v>0.78939999999999999</v>
      </c>
      <c r="P60" s="55">
        <f>ROUND(+Marathon!$E65,4)</f>
        <v>0.79649999999999999</v>
      </c>
      <c r="Q60" s="55">
        <f>ROUND(+Marathon!$E65,4)</f>
        <v>0.79649999999999999</v>
      </c>
      <c r="R60" s="55">
        <f>ROUND(+Marathon!$E65,4)</f>
        <v>0.79649999999999999</v>
      </c>
      <c r="S60" s="55">
        <f>ROUND(+Marathon!$E65,4)</f>
        <v>0.79649999999999999</v>
      </c>
      <c r="T60" s="55">
        <f>ROUND(+Marathon!$E65,4)</f>
        <v>0.79649999999999999</v>
      </c>
      <c r="U60" s="55">
        <f>ROUND(+Marathon!$E65,4)</f>
        <v>0.79649999999999999</v>
      </c>
      <c r="V60" s="55">
        <f>ROUND(+Marathon!$E65,4)</f>
        <v>0.79649999999999999</v>
      </c>
      <c r="W60" s="47"/>
    </row>
    <row r="61" spans="1:23">
      <c r="A61" s="57">
        <v>60</v>
      </c>
      <c r="B61" s="58">
        <f>ROUND(+Mile!E66,4)</f>
        <v>0.8014</v>
      </c>
      <c r="C61" s="58">
        <f>ROUND(+'5K'!E66,4)</f>
        <v>0.77229999999999999</v>
      </c>
      <c r="D61" s="58">
        <f>ROUND(+'6K'!E66,4)</f>
        <v>0.77810000000000001</v>
      </c>
      <c r="E61" s="58">
        <f>ROUND(+'4MI'!E66,4)</f>
        <v>0.78029999999999999</v>
      </c>
      <c r="F61" s="58">
        <f>ROUND(+'8K'!$E66,4)</f>
        <v>0.78710000000000002</v>
      </c>
      <c r="G61" s="58">
        <f>ROUND(+'5MI'!E66,4)</f>
        <v>0.7873</v>
      </c>
      <c r="H61" s="58">
        <f>ROUND(+'10K'!$E66,4)</f>
        <v>0.79420000000000002</v>
      </c>
      <c r="I61" s="58">
        <f>ROUND(+'12K'!$E66,4)</f>
        <v>0.78869999999999996</v>
      </c>
      <c r="J61" s="58">
        <f>ROUND(+'15K'!$E66,4)</f>
        <v>0.78200000000000003</v>
      </c>
      <c r="K61" s="58">
        <f>ROUND(+'10MI'!$E66,4)</f>
        <v>0.77990000000000004</v>
      </c>
      <c r="L61" s="58">
        <f>ROUND(+'20K'!$E66,4)</f>
        <v>0.77339999999999998</v>
      </c>
      <c r="M61" s="58">
        <f>ROUND(+H.Marathon!$E66,4)</f>
        <v>0.77180000000000004</v>
      </c>
      <c r="N61" s="58">
        <f>ROUND(+'25K'!$E66,4)</f>
        <v>0.7752</v>
      </c>
      <c r="O61" s="58">
        <f>ROUND(+'30K'!$E66,4)</f>
        <v>0.77880000000000005</v>
      </c>
      <c r="P61" s="58">
        <f>ROUND(+Marathon!$E66,4)</f>
        <v>0.78549999999999998</v>
      </c>
      <c r="Q61" s="58">
        <f>ROUND(+Marathon!$E66,4)</f>
        <v>0.78549999999999998</v>
      </c>
      <c r="R61" s="58">
        <f>ROUND(+Marathon!$E66,4)</f>
        <v>0.78549999999999998</v>
      </c>
      <c r="S61" s="58">
        <f>ROUND(+Marathon!$E66,4)</f>
        <v>0.78549999999999998</v>
      </c>
      <c r="T61" s="58">
        <f>ROUND(+Marathon!$E66,4)</f>
        <v>0.78549999999999998</v>
      </c>
      <c r="U61" s="58">
        <f>ROUND(+Marathon!$E66,4)</f>
        <v>0.78549999999999998</v>
      </c>
      <c r="V61" s="58">
        <f>ROUND(+Marathon!$E66,4)</f>
        <v>0.78549999999999998</v>
      </c>
      <c r="W61" s="47"/>
    </row>
    <row r="62" spans="1:23">
      <c r="A62" s="49">
        <v>61</v>
      </c>
      <c r="B62" s="55">
        <f>ROUND(+Mile!E67,4)</f>
        <v>0.79169999999999996</v>
      </c>
      <c r="C62" s="55">
        <f>ROUND(+'5K'!E67,4)</f>
        <v>0.76259999999999994</v>
      </c>
      <c r="D62" s="55">
        <f>ROUND(+'6K'!E67,4)</f>
        <v>0.76819999999999999</v>
      </c>
      <c r="E62" s="55">
        <f>ROUND(+'4MI'!E67,4)</f>
        <v>0.77029999999999998</v>
      </c>
      <c r="F62" s="55">
        <f>ROUND(+'8K'!$E67,4)</f>
        <v>0.77690000000000003</v>
      </c>
      <c r="G62" s="55">
        <f>ROUND(+'5MI'!E67,4)</f>
        <v>0.77710000000000001</v>
      </c>
      <c r="H62" s="55">
        <f>ROUND(+'10K'!$E67,4)</f>
        <v>0.78369999999999995</v>
      </c>
      <c r="I62" s="56">
        <f>ROUND(+'12K'!$E67,4)</f>
        <v>0.77829999999999999</v>
      </c>
      <c r="J62" s="55">
        <f>ROUND(+'15K'!$E67,4)</f>
        <v>0.77159999999999995</v>
      </c>
      <c r="K62" s="55">
        <f>ROUND(+'10MI'!$E67,4)</f>
        <v>0.76949999999999996</v>
      </c>
      <c r="L62" s="55">
        <f>ROUND(+'20K'!$E67,4)</f>
        <v>0.76300000000000001</v>
      </c>
      <c r="M62" s="55">
        <f>ROUND(+H.Marathon!$E67,4)</f>
        <v>0.76139999999999997</v>
      </c>
      <c r="N62" s="55">
        <f>ROUND(+'25K'!$E67,4)</f>
        <v>0.76459999999999995</v>
      </c>
      <c r="O62" s="55">
        <f>ROUND(+'30K'!$E67,4)</f>
        <v>0.7681</v>
      </c>
      <c r="P62" s="55">
        <f>ROUND(+Marathon!$E67,4)</f>
        <v>0.77449999999999997</v>
      </c>
      <c r="Q62" s="55">
        <f>ROUND(+Marathon!$E67,4)</f>
        <v>0.77449999999999997</v>
      </c>
      <c r="R62" s="55">
        <f>ROUND(+Marathon!$E67,4)</f>
        <v>0.77449999999999997</v>
      </c>
      <c r="S62" s="55">
        <f>ROUND(+Marathon!$E67,4)</f>
        <v>0.77449999999999997</v>
      </c>
      <c r="T62" s="55">
        <f>ROUND(+Marathon!$E67,4)</f>
        <v>0.77449999999999997</v>
      </c>
      <c r="U62" s="55">
        <f>ROUND(+Marathon!$E67,4)</f>
        <v>0.77449999999999997</v>
      </c>
      <c r="V62" s="55">
        <f>ROUND(+Marathon!$E67,4)</f>
        <v>0.77449999999999997</v>
      </c>
      <c r="W62" s="47"/>
    </row>
    <row r="63" spans="1:23">
      <c r="A63" s="49">
        <v>62</v>
      </c>
      <c r="B63" s="55">
        <f>ROUND(+Mile!E68,4)</f>
        <v>0.78200000000000003</v>
      </c>
      <c r="C63" s="55">
        <f>ROUND(+'5K'!E68,4)</f>
        <v>0.75290000000000001</v>
      </c>
      <c r="D63" s="55">
        <f>ROUND(+'6K'!E68,4)</f>
        <v>0.75819999999999999</v>
      </c>
      <c r="E63" s="55">
        <f>ROUND(+'4MI'!E68,4)</f>
        <v>0.76029999999999998</v>
      </c>
      <c r="F63" s="55">
        <f>ROUND(+'8K'!$E68,4)</f>
        <v>0.76670000000000005</v>
      </c>
      <c r="G63" s="55">
        <f>ROUND(+'5MI'!E68,4)</f>
        <v>0.76680000000000004</v>
      </c>
      <c r="H63" s="55">
        <f>ROUND(+'10K'!$E68,4)</f>
        <v>0.7732</v>
      </c>
      <c r="I63" s="56">
        <f>ROUND(+'12K'!$E68,4)</f>
        <v>0.76780000000000004</v>
      </c>
      <c r="J63" s="55">
        <f>ROUND(+'15K'!$E68,4)</f>
        <v>0.76119999999999999</v>
      </c>
      <c r="K63" s="55">
        <f>ROUND(+'10MI'!$E68,4)</f>
        <v>0.7591</v>
      </c>
      <c r="L63" s="55">
        <f>ROUND(+'20K'!$E68,4)</f>
        <v>0.75270000000000004</v>
      </c>
      <c r="M63" s="55">
        <f>ROUND(+H.Marathon!$E68,4)</f>
        <v>0.75109999999999999</v>
      </c>
      <c r="N63" s="55">
        <f>ROUND(+'25K'!$E68,4)</f>
        <v>0.75409999999999999</v>
      </c>
      <c r="O63" s="55">
        <f>ROUND(+'30K'!$E68,4)</f>
        <v>0.75739999999999996</v>
      </c>
      <c r="P63" s="55">
        <f>ROUND(+Marathon!$E68,4)</f>
        <v>0.76349999999999996</v>
      </c>
      <c r="Q63" s="55">
        <f>ROUND(+Marathon!$E68,4)</f>
        <v>0.76349999999999996</v>
      </c>
      <c r="R63" s="55">
        <f>ROUND(+Marathon!$E68,4)</f>
        <v>0.76349999999999996</v>
      </c>
      <c r="S63" s="55">
        <f>ROUND(+Marathon!$E68,4)</f>
        <v>0.76349999999999996</v>
      </c>
      <c r="T63" s="55">
        <f>ROUND(+Marathon!$E68,4)</f>
        <v>0.76349999999999996</v>
      </c>
      <c r="U63" s="55">
        <f>ROUND(+Marathon!$E68,4)</f>
        <v>0.76349999999999996</v>
      </c>
      <c r="V63" s="55">
        <f>ROUND(+Marathon!$E68,4)</f>
        <v>0.76349999999999996</v>
      </c>
      <c r="W63" s="47"/>
    </row>
    <row r="64" spans="1:23">
      <c r="A64" s="49">
        <v>63</v>
      </c>
      <c r="B64" s="55">
        <f>ROUND(+Mile!E69,4)</f>
        <v>0.77229999999999999</v>
      </c>
      <c r="C64" s="55">
        <f>ROUND(+'5K'!E69,4)</f>
        <v>0.74319999999999997</v>
      </c>
      <c r="D64" s="55">
        <f>ROUND(+'6K'!E69,4)</f>
        <v>0.74829999999999997</v>
      </c>
      <c r="E64" s="55">
        <f>ROUND(+'4MI'!E69,4)</f>
        <v>0.75029999999999997</v>
      </c>
      <c r="F64" s="55">
        <f>ROUND(+'8K'!$E69,4)</f>
        <v>0.75639999999999996</v>
      </c>
      <c r="G64" s="55">
        <f>ROUND(+'5MI'!E69,4)</f>
        <v>0.75660000000000005</v>
      </c>
      <c r="H64" s="55">
        <f>ROUND(+'10K'!$E69,4)</f>
        <v>0.76270000000000004</v>
      </c>
      <c r="I64" s="56">
        <f>ROUND(+'12K'!$E69,4)</f>
        <v>0.75729999999999997</v>
      </c>
      <c r="J64" s="55">
        <f>ROUND(+'15K'!$E69,4)</f>
        <v>0.75080000000000002</v>
      </c>
      <c r="K64" s="55">
        <f>ROUND(+'10MI'!$E69,4)</f>
        <v>0.74870000000000003</v>
      </c>
      <c r="L64" s="55">
        <f>ROUND(+'20K'!$E69,4)</f>
        <v>0.74229999999999996</v>
      </c>
      <c r="M64" s="55">
        <f>ROUND(+H.Marathon!$E69,4)</f>
        <v>0.74070000000000003</v>
      </c>
      <c r="N64" s="55">
        <f>ROUND(+'25K'!$E69,4)</f>
        <v>0.74360000000000004</v>
      </c>
      <c r="O64" s="55">
        <f>ROUND(+'30K'!$E69,4)</f>
        <v>0.74670000000000003</v>
      </c>
      <c r="P64" s="55">
        <f>ROUND(+Marathon!$E69,4)</f>
        <v>0.75249999999999995</v>
      </c>
      <c r="Q64" s="55">
        <f>ROUND(+Marathon!$E69,4)</f>
        <v>0.75249999999999995</v>
      </c>
      <c r="R64" s="55">
        <f>ROUND(+Marathon!$E69,4)</f>
        <v>0.75249999999999995</v>
      </c>
      <c r="S64" s="55">
        <f>ROUND(+Marathon!$E69,4)</f>
        <v>0.75249999999999995</v>
      </c>
      <c r="T64" s="55">
        <f>ROUND(+Marathon!$E69,4)</f>
        <v>0.75249999999999995</v>
      </c>
      <c r="U64" s="55">
        <f>ROUND(+Marathon!$E69,4)</f>
        <v>0.75249999999999995</v>
      </c>
      <c r="V64" s="55">
        <f>ROUND(+Marathon!$E69,4)</f>
        <v>0.75249999999999995</v>
      </c>
      <c r="W64" s="47"/>
    </row>
    <row r="65" spans="1:23">
      <c r="A65" s="49">
        <v>64</v>
      </c>
      <c r="B65" s="55">
        <f>ROUND(+Mile!E70,4)</f>
        <v>0.76259999999999994</v>
      </c>
      <c r="C65" s="55">
        <f>ROUND(+'5K'!E70,4)</f>
        <v>0.73350000000000004</v>
      </c>
      <c r="D65" s="55">
        <f>ROUND(+'6K'!E70,4)</f>
        <v>0.73839999999999995</v>
      </c>
      <c r="E65" s="55">
        <f>ROUND(+'4MI'!E70,4)</f>
        <v>0.74029999999999996</v>
      </c>
      <c r="F65" s="55">
        <f>ROUND(+'8K'!$E70,4)</f>
        <v>0.74619999999999997</v>
      </c>
      <c r="G65" s="55">
        <f>ROUND(+'5MI'!E70,4)</f>
        <v>0.74629999999999996</v>
      </c>
      <c r="H65" s="55">
        <f>ROUND(+'10K'!$E70,4)</f>
        <v>0.75219999999999998</v>
      </c>
      <c r="I65" s="56">
        <f>ROUND(+'12K'!$E70,4)</f>
        <v>0.74690000000000001</v>
      </c>
      <c r="J65" s="55">
        <f>ROUND(+'15K'!$E70,4)</f>
        <v>0.74039999999999995</v>
      </c>
      <c r="K65" s="55">
        <f>ROUND(+'10MI'!$E70,4)</f>
        <v>0.73829999999999996</v>
      </c>
      <c r="L65" s="55">
        <f>ROUND(+'20K'!$E70,4)</f>
        <v>0.73199999999999998</v>
      </c>
      <c r="M65" s="55">
        <f>ROUND(+H.Marathon!$E70,4)</f>
        <v>0.73040000000000005</v>
      </c>
      <c r="N65" s="55">
        <f>ROUND(+'25K'!$E70,4)</f>
        <v>0.73309999999999997</v>
      </c>
      <c r="O65" s="55">
        <f>ROUND(+'30K'!$E70,4)</f>
        <v>0.73599999999999999</v>
      </c>
      <c r="P65" s="55">
        <f>ROUND(+Marathon!$E70,4)</f>
        <v>0.74150000000000005</v>
      </c>
      <c r="Q65" s="55">
        <f>ROUND(+Marathon!$E70,4)</f>
        <v>0.74150000000000005</v>
      </c>
      <c r="R65" s="55">
        <f>ROUND(+Marathon!$E70,4)</f>
        <v>0.74150000000000005</v>
      </c>
      <c r="S65" s="55">
        <f>ROUND(+Marathon!$E70,4)</f>
        <v>0.74150000000000005</v>
      </c>
      <c r="T65" s="55">
        <f>ROUND(+Marathon!$E70,4)</f>
        <v>0.74150000000000005</v>
      </c>
      <c r="U65" s="55">
        <f>ROUND(+Marathon!$E70,4)</f>
        <v>0.74150000000000005</v>
      </c>
      <c r="V65" s="55">
        <f>ROUND(+Marathon!$E70,4)</f>
        <v>0.74150000000000005</v>
      </c>
      <c r="W65" s="47"/>
    </row>
    <row r="66" spans="1:23">
      <c r="A66" s="57">
        <v>65</v>
      </c>
      <c r="B66" s="58">
        <f>ROUND(+Mile!E71,4)</f>
        <v>0.75290000000000001</v>
      </c>
      <c r="C66" s="58">
        <f>ROUND(+'5K'!E71,4)</f>
        <v>0.7238</v>
      </c>
      <c r="D66" s="58">
        <f>ROUND(+'6K'!E71,4)</f>
        <v>0.72850000000000004</v>
      </c>
      <c r="E66" s="58">
        <f>ROUND(+'4MI'!E71,4)</f>
        <v>0.73029999999999995</v>
      </c>
      <c r="F66" s="58">
        <f>ROUND(+'8K'!$E71,4)</f>
        <v>0.7359</v>
      </c>
      <c r="G66" s="58">
        <f>ROUND(+'5MI'!E71,4)</f>
        <v>0.73609999999999998</v>
      </c>
      <c r="H66" s="58">
        <f>ROUND(+'10K'!$E71,4)</f>
        <v>0.74170000000000003</v>
      </c>
      <c r="I66" s="58">
        <f>ROUND(+'12K'!$E71,4)</f>
        <v>0.73640000000000005</v>
      </c>
      <c r="J66" s="58">
        <f>ROUND(+'15K'!$E71,4)</f>
        <v>0.72989999999999999</v>
      </c>
      <c r="K66" s="58">
        <f>ROUND(+'10MI'!$E71,4)</f>
        <v>0.72789999999999999</v>
      </c>
      <c r="L66" s="58">
        <f>ROUND(+'20K'!$E71,4)</f>
        <v>0.72160000000000002</v>
      </c>
      <c r="M66" s="58">
        <f>ROUND(+H.Marathon!$E71,4)</f>
        <v>0.72</v>
      </c>
      <c r="N66" s="58">
        <f>ROUND(+'25K'!$E71,4)</f>
        <v>0.72260000000000002</v>
      </c>
      <c r="O66" s="58">
        <f>ROUND(+'30K'!$E71,4)</f>
        <v>0.72529999999999994</v>
      </c>
      <c r="P66" s="58">
        <f>ROUND(+Marathon!$E71,4)</f>
        <v>0.73050000000000004</v>
      </c>
      <c r="Q66" s="58">
        <f>ROUND(+Marathon!$E71,4)</f>
        <v>0.73050000000000004</v>
      </c>
      <c r="R66" s="58">
        <f>ROUND(+Marathon!$E71,4)</f>
        <v>0.73050000000000004</v>
      </c>
      <c r="S66" s="58">
        <f>ROUND(+Marathon!$E71,4)</f>
        <v>0.73050000000000004</v>
      </c>
      <c r="T66" s="58">
        <f>ROUND(+Marathon!$E71,4)</f>
        <v>0.73050000000000004</v>
      </c>
      <c r="U66" s="58">
        <f>ROUND(+Marathon!$E71,4)</f>
        <v>0.73050000000000004</v>
      </c>
      <c r="V66" s="58">
        <f>ROUND(+Marathon!$E71,4)</f>
        <v>0.73050000000000004</v>
      </c>
      <c r="W66" s="47"/>
    </row>
    <row r="67" spans="1:23">
      <c r="A67" s="49">
        <v>66</v>
      </c>
      <c r="B67" s="55">
        <f>ROUND(+Mile!E72,4)</f>
        <v>0.74319999999999997</v>
      </c>
      <c r="C67" s="55">
        <f>ROUND(+'5K'!E72,4)</f>
        <v>0.71399999999999997</v>
      </c>
      <c r="D67" s="55">
        <f>ROUND(+'6K'!E72,4)</f>
        <v>0.71850000000000003</v>
      </c>
      <c r="E67" s="55">
        <f>ROUND(+'4MI'!E72,4)</f>
        <v>0.72030000000000005</v>
      </c>
      <c r="F67" s="55">
        <f>ROUND(+'8K'!$E72,4)</f>
        <v>0.72570000000000001</v>
      </c>
      <c r="G67" s="55">
        <f>ROUND(+'5MI'!E72,4)</f>
        <v>0.7258</v>
      </c>
      <c r="H67" s="55">
        <f>ROUND(+'10K'!$E72,4)</f>
        <v>0.73119999999999996</v>
      </c>
      <c r="I67" s="56">
        <f>ROUND(+'12K'!$E72,4)</f>
        <v>0.72589999999999999</v>
      </c>
      <c r="J67" s="55">
        <f>ROUND(+'15K'!$E72,4)</f>
        <v>0.71950000000000003</v>
      </c>
      <c r="K67" s="55">
        <f>ROUND(+'10MI'!$E72,4)</f>
        <v>0.71750000000000003</v>
      </c>
      <c r="L67" s="55">
        <f>ROUND(+'20K'!$E72,4)</f>
        <v>0.71120000000000005</v>
      </c>
      <c r="M67" s="55">
        <f>ROUND(+H.Marathon!$E72,4)</f>
        <v>0.7097</v>
      </c>
      <c r="N67" s="55">
        <f>ROUND(+'25K'!$E72,4)</f>
        <v>0.71209999999999996</v>
      </c>
      <c r="O67" s="55">
        <f>ROUND(+'30K'!$E72,4)</f>
        <v>0.7147</v>
      </c>
      <c r="P67" s="55">
        <f>ROUND(+Marathon!$E72,4)</f>
        <v>0.71950000000000003</v>
      </c>
      <c r="Q67" s="55">
        <f>ROUND(+Marathon!$E72,4)</f>
        <v>0.71950000000000003</v>
      </c>
      <c r="R67" s="55">
        <f>ROUND(+Marathon!$E72,4)</f>
        <v>0.71950000000000003</v>
      </c>
      <c r="S67" s="55">
        <f>ROUND(+Marathon!$E72,4)</f>
        <v>0.71950000000000003</v>
      </c>
      <c r="T67" s="55">
        <f>ROUND(+Marathon!$E72,4)</f>
        <v>0.71950000000000003</v>
      </c>
      <c r="U67" s="55">
        <f>ROUND(+Marathon!$E72,4)</f>
        <v>0.71950000000000003</v>
      </c>
      <c r="V67" s="55">
        <f>ROUND(+Marathon!$E72,4)</f>
        <v>0.71950000000000003</v>
      </c>
      <c r="W67" s="47"/>
    </row>
    <row r="68" spans="1:23">
      <c r="A68" s="49">
        <v>67</v>
      </c>
      <c r="B68" s="55">
        <f>ROUND(+Mile!E73,4)</f>
        <v>0.73350000000000004</v>
      </c>
      <c r="C68" s="55">
        <f>ROUND(+'5K'!E73,4)</f>
        <v>0.70430000000000004</v>
      </c>
      <c r="D68" s="55">
        <f>ROUND(+'6K'!E73,4)</f>
        <v>0.70860000000000001</v>
      </c>
      <c r="E68" s="55">
        <f>ROUND(+'4MI'!E73,4)</f>
        <v>0.71030000000000004</v>
      </c>
      <c r="F68" s="55">
        <f>ROUND(+'8K'!$E73,4)</f>
        <v>0.71540000000000004</v>
      </c>
      <c r="G68" s="55">
        <f>ROUND(+'5MI'!E73,4)</f>
        <v>0.71560000000000001</v>
      </c>
      <c r="H68" s="55">
        <f>ROUND(+'10K'!$E73,4)</f>
        <v>0.72070000000000001</v>
      </c>
      <c r="I68" s="56">
        <f>ROUND(+'12K'!$E73,4)</f>
        <v>0.71550000000000002</v>
      </c>
      <c r="J68" s="55">
        <f>ROUND(+'15K'!$E73,4)</f>
        <v>0.70909999999999995</v>
      </c>
      <c r="K68" s="55">
        <f>ROUND(+'10MI'!$E73,4)</f>
        <v>0.70709999999999995</v>
      </c>
      <c r="L68" s="55">
        <f>ROUND(+'20K'!$E73,4)</f>
        <v>0.70079999999999998</v>
      </c>
      <c r="M68" s="55">
        <f>ROUND(+H.Marathon!$E73,4)</f>
        <v>0.69930000000000003</v>
      </c>
      <c r="N68" s="55">
        <f>ROUND(+'25K'!$E73,4)</f>
        <v>0.7016</v>
      </c>
      <c r="O68" s="55">
        <f>ROUND(+'30K'!$E73,4)</f>
        <v>0.70399999999999996</v>
      </c>
      <c r="P68" s="55">
        <f>ROUND(+Marathon!$E73,4)</f>
        <v>0.70850000000000002</v>
      </c>
      <c r="Q68" s="55">
        <f>ROUND(+Marathon!$E73,4)</f>
        <v>0.70850000000000002</v>
      </c>
      <c r="R68" s="55">
        <f>ROUND(+Marathon!$E73,4)</f>
        <v>0.70850000000000002</v>
      </c>
      <c r="S68" s="55">
        <f>ROUND(+Marathon!$E73,4)</f>
        <v>0.70850000000000002</v>
      </c>
      <c r="T68" s="55">
        <f>ROUND(+Marathon!$E73,4)</f>
        <v>0.70850000000000002</v>
      </c>
      <c r="U68" s="55">
        <f>ROUND(+Marathon!$E73,4)</f>
        <v>0.70850000000000002</v>
      </c>
      <c r="V68" s="55">
        <f>ROUND(+Marathon!$E73,4)</f>
        <v>0.70850000000000002</v>
      </c>
      <c r="W68" s="47"/>
    </row>
    <row r="69" spans="1:23">
      <c r="A69" s="49">
        <v>68</v>
      </c>
      <c r="B69" s="55">
        <f>ROUND(+Mile!E74,4)</f>
        <v>0.7238</v>
      </c>
      <c r="C69" s="55">
        <f>ROUND(+'5K'!E74,4)</f>
        <v>0.6946</v>
      </c>
      <c r="D69" s="55">
        <f>ROUND(+'6K'!E74,4)</f>
        <v>0.69869999999999999</v>
      </c>
      <c r="E69" s="55">
        <f>ROUND(+'4MI'!E74,4)</f>
        <v>0.70030000000000003</v>
      </c>
      <c r="F69" s="55">
        <f>ROUND(+'8K'!$E74,4)</f>
        <v>0.70520000000000005</v>
      </c>
      <c r="G69" s="55">
        <f>ROUND(+'5MI'!E74,4)</f>
        <v>0.70530000000000004</v>
      </c>
      <c r="H69" s="55">
        <f>ROUND(+'10K'!$E74,4)</f>
        <v>0.71020000000000005</v>
      </c>
      <c r="I69" s="56">
        <f>ROUND(+'12K'!$E74,4)</f>
        <v>0.70499999999999996</v>
      </c>
      <c r="J69" s="55">
        <f>ROUND(+'15K'!$E74,4)</f>
        <v>0.69869999999999999</v>
      </c>
      <c r="K69" s="55">
        <f>ROUND(+'10MI'!$E74,4)</f>
        <v>0.69669999999999999</v>
      </c>
      <c r="L69" s="55">
        <f>ROUND(+'20K'!$E74,4)</f>
        <v>0.6905</v>
      </c>
      <c r="M69" s="55">
        <f>ROUND(+H.Marathon!$E74,4)</f>
        <v>0.68899999999999995</v>
      </c>
      <c r="N69" s="55">
        <f>ROUND(+'25K'!$E74,4)</f>
        <v>0.69110000000000005</v>
      </c>
      <c r="O69" s="55">
        <f>ROUND(+'30K'!$E74,4)</f>
        <v>0.69330000000000003</v>
      </c>
      <c r="P69" s="55">
        <f>ROUND(+Marathon!$E74,4)</f>
        <v>0.69750000000000001</v>
      </c>
      <c r="Q69" s="55">
        <f>ROUND(+Marathon!$E74,4)</f>
        <v>0.69750000000000001</v>
      </c>
      <c r="R69" s="55">
        <f>ROUND(+Marathon!$E74,4)</f>
        <v>0.69750000000000001</v>
      </c>
      <c r="S69" s="55">
        <f>ROUND(+Marathon!$E74,4)</f>
        <v>0.69750000000000001</v>
      </c>
      <c r="T69" s="55">
        <f>ROUND(+Marathon!$E74,4)</f>
        <v>0.69750000000000001</v>
      </c>
      <c r="U69" s="55">
        <f>ROUND(+Marathon!$E74,4)</f>
        <v>0.69750000000000001</v>
      </c>
      <c r="V69" s="55">
        <f>ROUND(+Marathon!$E74,4)</f>
        <v>0.69750000000000001</v>
      </c>
      <c r="W69" s="47"/>
    </row>
    <row r="70" spans="1:23">
      <c r="A70" s="49">
        <v>69</v>
      </c>
      <c r="B70" s="55">
        <f>ROUND(+Mile!E75,4)</f>
        <v>0.71399999999999997</v>
      </c>
      <c r="C70" s="55">
        <f>ROUND(+'5K'!E75,4)</f>
        <v>0.68489999999999995</v>
      </c>
      <c r="D70" s="55">
        <f>ROUND(+'6K'!E75,4)</f>
        <v>0.68879999999999997</v>
      </c>
      <c r="E70" s="55">
        <f>ROUND(+'4MI'!E75,4)</f>
        <v>0.69030000000000002</v>
      </c>
      <c r="F70" s="55">
        <f>ROUND(+'8K'!$E75,4)</f>
        <v>0.69489999999999996</v>
      </c>
      <c r="G70" s="55">
        <f>ROUND(+'5MI'!E75,4)</f>
        <v>0.69510000000000005</v>
      </c>
      <c r="H70" s="55">
        <f>ROUND(+'10K'!$E75,4)</f>
        <v>0.69969999999999999</v>
      </c>
      <c r="I70" s="56">
        <f>ROUND(+'12K'!$E75,4)</f>
        <v>0.69450000000000001</v>
      </c>
      <c r="J70" s="55">
        <f>ROUND(+'15K'!$E75,4)</f>
        <v>0.68820000000000003</v>
      </c>
      <c r="K70" s="55">
        <f>ROUND(+'10MI'!$E75,4)</f>
        <v>0.68630000000000002</v>
      </c>
      <c r="L70" s="55">
        <f>ROUND(+'20K'!$E75,4)</f>
        <v>0.68010000000000004</v>
      </c>
      <c r="M70" s="55">
        <f>ROUND(+H.Marathon!$E75,4)</f>
        <v>0.67859999999999998</v>
      </c>
      <c r="N70" s="55">
        <f>ROUND(+'25K'!$E75,4)</f>
        <v>0.68049999999999999</v>
      </c>
      <c r="O70" s="55">
        <f>ROUND(+'30K'!$E75,4)</f>
        <v>0.68259999999999998</v>
      </c>
      <c r="P70" s="55">
        <f>ROUND(+Marathon!$E75,4)</f>
        <v>0.6865</v>
      </c>
      <c r="Q70" s="55">
        <f>ROUND(+Marathon!$E75,4)</f>
        <v>0.6865</v>
      </c>
      <c r="R70" s="55">
        <f>ROUND(+Marathon!$E75,4)</f>
        <v>0.6865</v>
      </c>
      <c r="S70" s="55">
        <f>ROUND(+Marathon!$E75,4)</f>
        <v>0.6865</v>
      </c>
      <c r="T70" s="55">
        <f>ROUND(+Marathon!$E75,4)</f>
        <v>0.6865</v>
      </c>
      <c r="U70" s="55">
        <f>ROUND(+Marathon!$E75,4)</f>
        <v>0.6865</v>
      </c>
      <c r="V70" s="55">
        <f>ROUND(+Marathon!$E75,4)</f>
        <v>0.6865</v>
      </c>
      <c r="W70" s="47"/>
    </row>
    <row r="71" spans="1:23">
      <c r="A71" s="57">
        <v>70</v>
      </c>
      <c r="B71" s="58">
        <f>ROUND(+Mile!E76,4)</f>
        <v>0.70430000000000004</v>
      </c>
      <c r="C71" s="58">
        <f>ROUND(+'5K'!E76,4)</f>
        <v>0.67520000000000002</v>
      </c>
      <c r="D71" s="58">
        <f>ROUND(+'6K'!E76,4)</f>
        <v>0.67889999999999995</v>
      </c>
      <c r="E71" s="58">
        <f>ROUND(+'4MI'!E76,4)</f>
        <v>0.68030000000000002</v>
      </c>
      <c r="F71" s="58">
        <f>ROUND(+'8K'!$E76,4)</f>
        <v>0.68469999999999998</v>
      </c>
      <c r="G71" s="58">
        <f>ROUND(+'5MI'!E76,4)</f>
        <v>0.68479999999999996</v>
      </c>
      <c r="H71" s="58">
        <f>ROUND(+'10K'!$E76,4)</f>
        <v>0.68920000000000003</v>
      </c>
      <c r="I71" s="58">
        <f>ROUND(+'12K'!$E76,4)</f>
        <v>0.68410000000000004</v>
      </c>
      <c r="J71" s="58">
        <f>ROUND(+'15K'!$E76,4)</f>
        <v>0.67779999999999996</v>
      </c>
      <c r="K71" s="58">
        <f>ROUND(+'10MI'!$E76,4)</f>
        <v>0.67589999999999995</v>
      </c>
      <c r="L71" s="58">
        <f>ROUND(+'20K'!$E76,4)</f>
        <v>0.66979999999999995</v>
      </c>
      <c r="M71" s="58">
        <f>ROUND(+H.Marathon!$E76,4)</f>
        <v>0.66830000000000001</v>
      </c>
      <c r="N71" s="58">
        <f>ROUND(+'25K'!$E76,4)</f>
        <v>0.67010000000000003</v>
      </c>
      <c r="O71" s="58">
        <f>ROUND(+'30K'!$E76,4)</f>
        <v>0.67200000000000004</v>
      </c>
      <c r="P71" s="58">
        <f>ROUND(+Marathon!$E76,4)</f>
        <v>0.67549999999999999</v>
      </c>
      <c r="Q71" s="58">
        <f>ROUND(+Marathon!$E76,4)</f>
        <v>0.67549999999999999</v>
      </c>
      <c r="R71" s="58">
        <f>ROUND(+Marathon!$E76,4)</f>
        <v>0.67549999999999999</v>
      </c>
      <c r="S71" s="58">
        <f>ROUND(+Marathon!$E76,4)</f>
        <v>0.67549999999999999</v>
      </c>
      <c r="T71" s="58">
        <f>ROUND(+Marathon!$E76,4)</f>
        <v>0.67549999999999999</v>
      </c>
      <c r="U71" s="58">
        <f>ROUND(+Marathon!$E76,4)</f>
        <v>0.67549999999999999</v>
      </c>
      <c r="V71" s="58">
        <f>ROUND(+Marathon!$E76,4)</f>
        <v>0.67549999999999999</v>
      </c>
      <c r="W71" s="47"/>
    </row>
    <row r="72" spans="1:23">
      <c r="A72" s="49">
        <v>71</v>
      </c>
      <c r="B72" s="55">
        <f>ROUND(+Mile!E77,4)</f>
        <v>0.6946</v>
      </c>
      <c r="C72" s="55">
        <f>ROUND(+'5K'!E77,4)</f>
        <v>0.66549999999999998</v>
      </c>
      <c r="D72" s="55">
        <f>ROUND(+'6K'!E77,4)</f>
        <v>0.66900000000000004</v>
      </c>
      <c r="E72" s="55">
        <f>ROUND(+'4MI'!E77,4)</f>
        <v>0.67030000000000001</v>
      </c>
      <c r="F72" s="55">
        <f>ROUND(+'8K'!$E77,4)</f>
        <v>0.67449999999999999</v>
      </c>
      <c r="G72" s="55">
        <f>ROUND(+'5MI'!E77,4)</f>
        <v>0.67459999999999998</v>
      </c>
      <c r="H72" s="55">
        <f>ROUND(+'10K'!$E77,4)</f>
        <v>0.67869999999999997</v>
      </c>
      <c r="I72" s="56">
        <f>ROUND(+'12K'!$E77,4)</f>
        <v>0.67359999999999998</v>
      </c>
      <c r="J72" s="55">
        <f>ROUND(+'15K'!$E77,4)</f>
        <v>0.66739999999999999</v>
      </c>
      <c r="K72" s="55">
        <f>ROUND(+'10MI'!$E77,4)</f>
        <v>0.66539999999999999</v>
      </c>
      <c r="L72" s="55">
        <f>ROUND(+'20K'!$E77,4)</f>
        <v>0.65939999999999999</v>
      </c>
      <c r="M72" s="55">
        <f>ROUND(+H.Marathon!$E77,4)</f>
        <v>0.65790000000000004</v>
      </c>
      <c r="N72" s="55">
        <f>ROUND(+'25K'!$E77,4)</f>
        <v>0.65949999999999998</v>
      </c>
      <c r="O72" s="55">
        <f>ROUND(+'30K'!$E77,4)</f>
        <v>0.6613</v>
      </c>
      <c r="P72" s="55">
        <f>ROUND(+Marathon!$E77,4)</f>
        <v>0.66449999999999998</v>
      </c>
      <c r="Q72" s="55">
        <f>ROUND(+Marathon!$E77,4)</f>
        <v>0.66449999999999998</v>
      </c>
      <c r="R72" s="55">
        <f>ROUND(+Marathon!$E77,4)</f>
        <v>0.66449999999999998</v>
      </c>
      <c r="S72" s="55">
        <f>ROUND(+Marathon!$E77,4)</f>
        <v>0.66449999999999998</v>
      </c>
      <c r="T72" s="55">
        <f>ROUND(+Marathon!$E77,4)</f>
        <v>0.66449999999999998</v>
      </c>
      <c r="U72" s="55">
        <f>ROUND(+Marathon!$E77,4)</f>
        <v>0.66449999999999998</v>
      </c>
      <c r="V72" s="55">
        <f>ROUND(+Marathon!$E77,4)</f>
        <v>0.66449999999999998</v>
      </c>
      <c r="W72" s="47"/>
    </row>
    <row r="73" spans="1:23">
      <c r="A73" s="49">
        <v>72</v>
      </c>
      <c r="B73" s="55">
        <f>ROUND(+Mile!E78,4)</f>
        <v>0.68489999999999995</v>
      </c>
      <c r="C73" s="55">
        <f>ROUND(+'5K'!E78,4)</f>
        <v>0.65580000000000005</v>
      </c>
      <c r="D73" s="55">
        <f>ROUND(+'6K'!E78,4)</f>
        <v>0.65910000000000002</v>
      </c>
      <c r="E73" s="55">
        <f>ROUND(+'4MI'!E78,4)</f>
        <v>0.6603</v>
      </c>
      <c r="F73" s="55">
        <f>ROUND(+'8K'!$E78,4)</f>
        <v>0.66420000000000001</v>
      </c>
      <c r="G73" s="55">
        <f>ROUND(+'5MI'!E78,4)</f>
        <v>0.6643</v>
      </c>
      <c r="H73" s="55">
        <f>ROUND(+'10K'!$E78,4)</f>
        <v>0.66820000000000002</v>
      </c>
      <c r="I73" s="56">
        <f>ROUND(+'12K'!$E78,4)</f>
        <v>0.66320000000000001</v>
      </c>
      <c r="J73" s="55">
        <f>ROUND(+'15K'!$E78,4)</f>
        <v>0.65700000000000003</v>
      </c>
      <c r="K73" s="55">
        <f>ROUND(+'10MI'!$E78,4)</f>
        <v>0.65510000000000002</v>
      </c>
      <c r="L73" s="55">
        <f>ROUND(+'20K'!$E78,4)</f>
        <v>0.64910000000000001</v>
      </c>
      <c r="M73" s="55">
        <f>ROUND(+H.Marathon!$E78,4)</f>
        <v>0.64759999999999995</v>
      </c>
      <c r="N73" s="55">
        <f>ROUND(+'25K'!$E78,4)</f>
        <v>0.64900000000000002</v>
      </c>
      <c r="O73" s="55">
        <f>ROUND(+'30K'!$E78,4)</f>
        <v>0.65059999999999996</v>
      </c>
      <c r="P73" s="55">
        <f>ROUND(+Marathon!$E78,4)</f>
        <v>0.65349999999999997</v>
      </c>
      <c r="Q73" s="55">
        <f>ROUND(+Marathon!$E78,4)</f>
        <v>0.65349999999999997</v>
      </c>
      <c r="R73" s="55">
        <f>ROUND(+Marathon!$E78,4)</f>
        <v>0.65349999999999997</v>
      </c>
      <c r="S73" s="55">
        <f>ROUND(+Marathon!$E78,4)</f>
        <v>0.65349999999999997</v>
      </c>
      <c r="T73" s="55">
        <f>ROUND(+Marathon!$E78,4)</f>
        <v>0.65349999999999997</v>
      </c>
      <c r="U73" s="55">
        <f>ROUND(+Marathon!$E78,4)</f>
        <v>0.65349999999999997</v>
      </c>
      <c r="V73" s="55">
        <f>ROUND(+Marathon!$E78,4)</f>
        <v>0.65349999999999997</v>
      </c>
      <c r="W73" s="47"/>
    </row>
    <row r="74" spans="1:23">
      <c r="A74" s="49">
        <v>73</v>
      </c>
      <c r="B74" s="55">
        <f>ROUND(+Mile!E79,4)</f>
        <v>0.67520000000000002</v>
      </c>
      <c r="C74" s="55">
        <f>ROUND(+'5K'!E79,4)</f>
        <v>0.64610000000000001</v>
      </c>
      <c r="D74" s="55">
        <f>ROUND(+'6K'!E79,4)</f>
        <v>0.6492</v>
      </c>
      <c r="E74" s="55">
        <f>ROUND(+'4MI'!E79,4)</f>
        <v>0.65029999999999999</v>
      </c>
      <c r="F74" s="55">
        <f>ROUND(+'8K'!$E79,4)</f>
        <v>0.65400000000000003</v>
      </c>
      <c r="G74" s="55">
        <f>ROUND(+'5MI'!E79,4)</f>
        <v>0.65410000000000001</v>
      </c>
      <c r="H74" s="55">
        <f>ROUND(+'10K'!$E79,4)</f>
        <v>0.65769999999999995</v>
      </c>
      <c r="I74" s="56">
        <f>ROUND(+'12K'!$E79,4)</f>
        <v>0.65269999999999995</v>
      </c>
      <c r="J74" s="55">
        <f>ROUND(+'15K'!$E79,4)</f>
        <v>0.64659999999999995</v>
      </c>
      <c r="K74" s="55">
        <f>ROUND(+'10MI'!$E79,4)</f>
        <v>0.64459999999999995</v>
      </c>
      <c r="L74" s="55">
        <f>ROUND(+'20K'!$E79,4)</f>
        <v>0.63870000000000005</v>
      </c>
      <c r="M74" s="55">
        <f>ROUND(+H.Marathon!$E79,4)</f>
        <v>0.63719999999999999</v>
      </c>
      <c r="N74" s="55">
        <f>ROUND(+'25K'!$E79,4)</f>
        <v>0.63849999999999996</v>
      </c>
      <c r="O74" s="55">
        <f>ROUND(+'30K'!$E79,4)</f>
        <v>0.63990000000000002</v>
      </c>
      <c r="P74" s="55">
        <f>ROUND(+Marathon!$E79,4)</f>
        <v>0.64249999999999996</v>
      </c>
      <c r="Q74" s="55">
        <f>ROUND(+Marathon!$E79,4)</f>
        <v>0.64249999999999996</v>
      </c>
      <c r="R74" s="55">
        <f>ROUND(+Marathon!$E79,4)</f>
        <v>0.64249999999999996</v>
      </c>
      <c r="S74" s="55">
        <f>ROUND(+Marathon!$E79,4)</f>
        <v>0.64249999999999996</v>
      </c>
      <c r="T74" s="55">
        <f>ROUND(+Marathon!$E79,4)</f>
        <v>0.64249999999999996</v>
      </c>
      <c r="U74" s="55">
        <f>ROUND(+Marathon!$E79,4)</f>
        <v>0.64249999999999996</v>
      </c>
      <c r="V74" s="55">
        <f>ROUND(+Marathon!$E79,4)</f>
        <v>0.64249999999999996</v>
      </c>
      <c r="W74" s="47"/>
    </row>
    <row r="75" spans="1:23">
      <c r="A75" s="49">
        <v>74</v>
      </c>
      <c r="B75" s="55">
        <f>ROUND(+Mile!E80,4)</f>
        <v>0.66549999999999998</v>
      </c>
      <c r="C75" s="55">
        <f>ROUND(+'5K'!E80,4)</f>
        <v>0.63639999999999997</v>
      </c>
      <c r="D75" s="55">
        <f>ROUND(+'6K'!E80,4)</f>
        <v>0.63919999999999999</v>
      </c>
      <c r="E75" s="55">
        <f>ROUND(+'4MI'!E80,4)</f>
        <v>0.64029999999999998</v>
      </c>
      <c r="F75" s="55">
        <f>ROUND(+'8K'!$E80,4)</f>
        <v>0.64370000000000005</v>
      </c>
      <c r="G75" s="55">
        <f>ROUND(+'5MI'!E80,4)</f>
        <v>0.64380000000000004</v>
      </c>
      <c r="H75" s="55">
        <f>ROUND(+'10K'!$E80,4)</f>
        <v>0.6472</v>
      </c>
      <c r="I75" s="56">
        <f>ROUND(+'12K'!$E80,4)</f>
        <v>0.64219999999999999</v>
      </c>
      <c r="J75" s="55">
        <f>ROUND(+'15K'!$E80,4)</f>
        <v>0.63619999999999999</v>
      </c>
      <c r="K75" s="55">
        <f>ROUND(+'10MI'!$E80,4)</f>
        <v>0.63429999999999997</v>
      </c>
      <c r="L75" s="55">
        <f>ROUND(+'20K'!$E80,4)</f>
        <v>0.62839999999999996</v>
      </c>
      <c r="M75" s="55">
        <f>ROUND(+H.Marathon!$E80,4)</f>
        <v>0.62690000000000001</v>
      </c>
      <c r="N75" s="55">
        <f>ROUND(+'25K'!$E80,4)</f>
        <v>0.628</v>
      </c>
      <c r="O75" s="55">
        <f>ROUND(+'30K'!$E80,4)</f>
        <v>0.62919999999999998</v>
      </c>
      <c r="P75" s="55">
        <f>ROUND(+Marathon!$E80,4)</f>
        <v>0.63149999999999995</v>
      </c>
      <c r="Q75" s="55">
        <f>ROUND(+Marathon!$E80,4)</f>
        <v>0.63149999999999995</v>
      </c>
      <c r="R75" s="55">
        <f>ROUND(+Marathon!$E80,4)</f>
        <v>0.63149999999999995</v>
      </c>
      <c r="S75" s="55">
        <f>ROUND(+Marathon!$E80,4)</f>
        <v>0.63149999999999995</v>
      </c>
      <c r="T75" s="55">
        <f>ROUND(+Marathon!$E80,4)</f>
        <v>0.63149999999999995</v>
      </c>
      <c r="U75" s="55">
        <f>ROUND(+Marathon!$E80,4)</f>
        <v>0.63149999999999995</v>
      </c>
      <c r="V75" s="55">
        <f>ROUND(+Marathon!$E80,4)</f>
        <v>0.63149999999999995</v>
      </c>
      <c r="W75" s="47"/>
    </row>
    <row r="76" spans="1:23">
      <c r="A76" s="57">
        <v>75</v>
      </c>
      <c r="B76" s="58">
        <f>ROUND(+Mile!E81,4)</f>
        <v>0.65580000000000005</v>
      </c>
      <c r="C76" s="58">
        <f>ROUND(+'5K'!E81,4)</f>
        <v>0.62670000000000003</v>
      </c>
      <c r="D76" s="58">
        <f>ROUND(+'6K'!E81,4)</f>
        <v>0.62929999999999997</v>
      </c>
      <c r="E76" s="58">
        <f>ROUND(+'4MI'!E81,4)</f>
        <v>0.63029999999999997</v>
      </c>
      <c r="F76" s="58">
        <f>ROUND(+'8K'!$E81,4)</f>
        <v>0.63349999999999995</v>
      </c>
      <c r="G76" s="58">
        <f>ROUND(+'5MI'!E81,4)</f>
        <v>0.63360000000000005</v>
      </c>
      <c r="H76" s="58">
        <f>ROUND(+'10K'!$E81,4)</f>
        <v>0.63670000000000004</v>
      </c>
      <c r="I76" s="58">
        <f>ROUND(+'12K'!$E81,4)</f>
        <v>0.63180000000000003</v>
      </c>
      <c r="J76" s="58">
        <f>ROUND(+'15K'!$E81,4)</f>
        <v>0.62570000000000003</v>
      </c>
      <c r="K76" s="58">
        <f>ROUND(+'10MI'!$E81,4)</f>
        <v>0.62380000000000002</v>
      </c>
      <c r="L76" s="58">
        <f>ROUND(+'20K'!$E81,4)</f>
        <v>0.6179</v>
      </c>
      <c r="M76" s="58">
        <f>ROUND(+H.Marathon!$E81,4)</f>
        <v>0.61650000000000005</v>
      </c>
      <c r="N76" s="58">
        <f>ROUND(+'25K'!$E81,4)</f>
        <v>0.61750000000000005</v>
      </c>
      <c r="O76" s="58">
        <f>ROUND(+'30K'!$E81,4)</f>
        <v>0.61850000000000005</v>
      </c>
      <c r="P76" s="58">
        <f>ROUND(+Marathon!$E81,4)</f>
        <v>0.62050000000000005</v>
      </c>
      <c r="Q76" s="58">
        <f>ROUND(+Marathon!$E81,4)</f>
        <v>0.62050000000000005</v>
      </c>
      <c r="R76" s="58">
        <f>ROUND(+Marathon!$E81,4)</f>
        <v>0.62050000000000005</v>
      </c>
      <c r="S76" s="58">
        <f>ROUND(+Marathon!$E81,4)</f>
        <v>0.62050000000000005</v>
      </c>
      <c r="T76" s="58">
        <f>ROUND(+Marathon!$E81,4)</f>
        <v>0.62050000000000005</v>
      </c>
      <c r="U76" s="58">
        <f>ROUND(+Marathon!$E81,4)</f>
        <v>0.62050000000000005</v>
      </c>
      <c r="V76" s="58">
        <f>ROUND(+Marathon!$E81,4)</f>
        <v>0.62050000000000005</v>
      </c>
      <c r="W76" s="47"/>
    </row>
    <row r="77" spans="1:23">
      <c r="A77" s="49">
        <v>76</v>
      </c>
      <c r="B77" s="55">
        <f>ROUND(+Mile!E82,4)</f>
        <v>0.64610000000000001</v>
      </c>
      <c r="C77" s="55">
        <f>ROUND(+'5K'!E82,4)</f>
        <v>0.6169</v>
      </c>
      <c r="D77" s="55">
        <f>ROUND(+'6K'!E82,4)</f>
        <v>0.61929999999999996</v>
      </c>
      <c r="E77" s="55">
        <f>ROUND(+'4MI'!E82,4)</f>
        <v>0.62029999999999996</v>
      </c>
      <c r="F77" s="55">
        <f>ROUND(+'8K'!$E82,4)</f>
        <v>0.62319999999999998</v>
      </c>
      <c r="G77" s="55">
        <f>ROUND(+'5MI'!E82,4)</f>
        <v>0.62329999999999997</v>
      </c>
      <c r="H77" s="55">
        <f>ROUND(+'10K'!$E82,4)</f>
        <v>0.62619999999999998</v>
      </c>
      <c r="I77" s="56">
        <f>ROUND(+'12K'!$E82,4)</f>
        <v>0.62119999999999997</v>
      </c>
      <c r="J77" s="55">
        <f>ROUND(+'15K'!$E82,4)</f>
        <v>0.61519999999999997</v>
      </c>
      <c r="K77" s="55">
        <f>ROUND(+'10MI'!$E82,4)</f>
        <v>0.61329999999999996</v>
      </c>
      <c r="L77" s="55">
        <f>ROUND(+'20K'!$E82,4)</f>
        <v>0.60740000000000005</v>
      </c>
      <c r="M77" s="55">
        <f>ROUND(+H.Marathon!$E82,4)</f>
        <v>0.60589999999999999</v>
      </c>
      <c r="N77" s="55">
        <f>ROUND(+'25K'!$E82,4)</f>
        <v>0.60680000000000001</v>
      </c>
      <c r="O77" s="55">
        <f>ROUND(+'30K'!$E82,4)</f>
        <v>0.60770000000000002</v>
      </c>
      <c r="P77" s="55">
        <f>ROUND(+Marathon!$E82,4)</f>
        <v>0.60940000000000005</v>
      </c>
      <c r="Q77" s="55">
        <f>ROUND(+Marathon!$E82,4)</f>
        <v>0.60940000000000005</v>
      </c>
      <c r="R77" s="55">
        <f>ROUND(+Marathon!$E82,4)</f>
        <v>0.60940000000000005</v>
      </c>
      <c r="S77" s="55">
        <f>ROUND(+Marathon!$E82,4)</f>
        <v>0.60940000000000005</v>
      </c>
      <c r="T77" s="55">
        <f>ROUND(+Marathon!$E82,4)</f>
        <v>0.60940000000000005</v>
      </c>
      <c r="U77" s="55">
        <f>ROUND(+Marathon!$E82,4)</f>
        <v>0.60940000000000005</v>
      </c>
      <c r="V77" s="55">
        <f>ROUND(+Marathon!$E82,4)</f>
        <v>0.60940000000000005</v>
      </c>
      <c r="W77" s="47"/>
    </row>
    <row r="78" spans="1:23">
      <c r="A78" s="49">
        <v>77</v>
      </c>
      <c r="B78" s="55">
        <f>ROUND(+Mile!E83,4)</f>
        <v>0.63639999999999997</v>
      </c>
      <c r="C78" s="55">
        <f>ROUND(+'5K'!E83,4)</f>
        <v>0.60719999999999996</v>
      </c>
      <c r="D78" s="55">
        <f>ROUND(+'6K'!E83,4)</f>
        <v>0.60940000000000005</v>
      </c>
      <c r="E78" s="55">
        <f>ROUND(+'4MI'!E83,4)</f>
        <v>0.61029999999999995</v>
      </c>
      <c r="F78" s="55">
        <f>ROUND(+'8K'!$E83,4)</f>
        <v>0.61299999999999999</v>
      </c>
      <c r="G78" s="55">
        <f>ROUND(+'5MI'!E83,4)</f>
        <v>0.61299999999999999</v>
      </c>
      <c r="H78" s="55">
        <f>ROUND(+'10K'!$E83,4)</f>
        <v>0.61570000000000003</v>
      </c>
      <c r="I78" s="56">
        <f>ROUND(+'12K'!$E83,4)</f>
        <v>0.61050000000000004</v>
      </c>
      <c r="J78" s="55">
        <f>ROUND(+'15K'!$E83,4)</f>
        <v>0.60419999999999996</v>
      </c>
      <c r="K78" s="55">
        <f>ROUND(+'10MI'!$E83,4)</f>
        <v>0.60219999999999996</v>
      </c>
      <c r="L78" s="55">
        <f>ROUND(+'20K'!$E83,4)</f>
        <v>0.59599999999999997</v>
      </c>
      <c r="M78" s="55">
        <f>ROUND(+H.Marathon!$E83,4)</f>
        <v>0.59450000000000003</v>
      </c>
      <c r="N78" s="55">
        <f>ROUND(+'25K'!$E83,4)</f>
        <v>0.59519999999999995</v>
      </c>
      <c r="O78" s="55">
        <f>ROUND(+'30K'!$E83,4)</f>
        <v>0.59589999999999999</v>
      </c>
      <c r="P78" s="55">
        <f>ROUND(+Marathon!$E83,4)</f>
        <v>0.59730000000000005</v>
      </c>
      <c r="Q78" s="55">
        <f>ROUND(+Marathon!$E83,4)</f>
        <v>0.59730000000000005</v>
      </c>
      <c r="R78" s="55">
        <f>ROUND(+Marathon!$E83,4)</f>
        <v>0.59730000000000005</v>
      </c>
      <c r="S78" s="55">
        <f>ROUND(+Marathon!$E83,4)</f>
        <v>0.59730000000000005</v>
      </c>
      <c r="T78" s="55">
        <f>ROUND(+Marathon!$E83,4)</f>
        <v>0.59730000000000005</v>
      </c>
      <c r="U78" s="55">
        <f>ROUND(+Marathon!$E83,4)</f>
        <v>0.59730000000000005</v>
      </c>
      <c r="V78" s="55">
        <f>ROUND(+Marathon!$E83,4)</f>
        <v>0.59730000000000005</v>
      </c>
      <c r="W78" s="47"/>
    </row>
    <row r="79" spans="1:23">
      <c r="A79" s="49">
        <v>78</v>
      </c>
      <c r="B79" s="55">
        <f>ROUND(+Mile!E84,4)</f>
        <v>0.62670000000000003</v>
      </c>
      <c r="C79" s="55">
        <f>ROUND(+'5K'!E84,4)</f>
        <v>0.59709999999999996</v>
      </c>
      <c r="D79" s="55">
        <f>ROUND(+'6K'!E84,4)</f>
        <v>0.59899999999999998</v>
      </c>
      <c r="E79" s="55">
        <f>ROUND(+'4MI'!E84,4)</f>
        <v>0.59970000000000001</v>
      </c>
      <c r="F79" s="55">
        <f>ROUND(+'8K'!$E84,4)</f>
        <v>0.60199999999999998</v>
      </c>
      <c r="G79" s="55">
        <f>ROUND(+'5MI'!E84,4)</f>
        <v>0.60199999999999998</v>
      </c>
      <c r="H79" s="55">
        <f>ROUND(+'10K'!$E84,4)</f>
        <v>0.60429999999999995</v>
      </c>
      <c r="I79" s="56">
        <f>ROUND(+'12K'!$E84,4)</f>
        <v>0.59889999999999999</v>
      </c>
      <c r="J79" s="55">
        <f>ROUND(+'15K'!$E84,4)</f>
        <v>0.59230000000000005</v>
      </c>
      <c r="K79" s="55">
        <f>ROUND(+'10MI'!$E84,4)</f>
        <v>0.59019999999999995</v>
      </c>
      <c r="L79" s="55">
        <f>ROUND(+'20K'!$E84,4)</f>
        <v>0.58379999999999999</v>
      </c>
      <c r="M79" s="55">
        <f>ROUND(+H.Marathon!$E84,4)</f>
        <v>0.58220000000000005</v>
      </c>
      <c r="N79" s="55">
        <f>ROUND(+'25K'!$E84,4)</f>
        <v>0.5827</v>
      </c>
      <c r="O79" s="55">
        <f>ROUND(+'30K'!$E84,4)</f>
        <v>0.58320000000000005</v>
      </c>
      <c r="P79" s="55">
        <f>ROUND(+Marathon!$E84,4)</f>
        <v>0.58409999999999995</v>
      </c>
      <c r="Q79" s="55">
        <f>ROUND(+Marathon!$E84,4)</f>
        <v>0.58409999999999995</v>
      </c>
      <c r="R79" s="55">
        <f>ROUND(+Marathon!$E84,4)</f>
        <v>0.58409999999999995</v>
      </c>
      <c r="S79" s="55">
        <f>ROUND(+Marathon!$E84,4)</f>
        <v>0.58409999999999995</v>
      </c>
      <c r="T79" s="55">
        <f>ROUND(+Marathon!$E84,4)</f>
        <v>0.58409999999999995</v>
      </c>
      <c r="U79" s="55">
        <f>ROUND(+Marathon!$E84,4)</f>
        <v>0.58409999999999995</v>
      </c>
      <c r="V79" s="55">
        <f>ROUND(+Marathon!$E84,4)</f>
        <v>0.58409999999999995</v>
      </c>
      <c r="W79" s="47"/>
    </row>
    <row r="80" spans="1:23">
      <c r="A80" s="49">
        <v>79</v>
      </c>
      <c r="B80" s="55">
        <f>ROUND(+Mile!E85,4)</f>
        <v>0.61680000000000001</v>
      </c>
      <c r="C80" s="55">
        <f>ROUND(+'5K'!E85,4)</f>
        <v>0.58620000000000005</v>
      </c>
      <c r="D80" s="55">
        <f>ROUND(+'6K'!E85,4)</f>
        <v>0.5877</v>
      </c>
      <c r="E80" s="55">
        <f>ROUND(+'4MI'!E85,4)</f>
        <v>0.58830000000000005</v>
      </c>
      <c r="F80" s="55">
        <f>ROUND(+'8K'!$E85,4)</f>
        <v>0.59009999999999996</v>
      </c>
      <c r="G80" s="55">
        <f>ROUND(+'5MI'!E85,4)</f>
        <v>0.59019999999999995</v>
      </c>
      <c r="H80" s="55">
        <f>ROUND(+'10K'!$E85,4)</f>
        <v>0.59199999999999997</v>
      </c>
      <c r="I80" s="56">
        <f>ROUND(+'12K'!$E85,4)</f>
        <v>0.58640000000000003</v>
      </c>
      <c r="J80" s="55">
        <f>ROUND(+'15K'!$E85,4)</f>
        <v>0.5796</v>
      </c>
      <c r="K80" s="55">
        <f>ROUND(+'10MI'!$E85,4)</f>
        <v>0.57750000000000001</v>
      </c>
      <c r="L80" s="55">
        <f>ROUND(+'20K'!$E85,4)</f>
        <v>0.57079999999999997</v>
      </c>
      <c r="M80" s="55">
        <f>ROUND(+H.Marathon!$E85,4)</f>
        <v>0.56920000000000004</v>
      </c>
      <c r="N80" s="55">
        <f>ROUND(+'25K'!$E85,4)</f>
        <v>0.56930000000000003</v>
      </c>
      <c r="O80" s="55">
        <f>ROUND(+'30K'!$E85,4)</f>
        <v>0.56950000000000001</v>
      </c>
      <c r="P80" s="55">
        <f>ROUND(+Marathon!$E85,4)</f>
        <v>0.56979999999999997</v>
      </c>
      <c r="Q80" s="55">
        <f>ROUND(+Marathon!$E85,4)</f>
        <v>0.56979999999999997</v>
      </c>
      <c r="R80" s="55">
        <f>ROUND(+Marathon!$E85,4)</f>
        <v>0.56979999999999997</v>
      </c>
      <c r="S80" s="55">
        <f>ROUND(+Marathon!$E85,4)</f>
        <v>0.56979999999999997</v>
      </c>
      <c r="T80" s="55">
        <f>ROUND(+Marathon!$E85,4)</f>
        <v>0.56979999999999997</v>
      </c>
      <c r="U80" s="55">
        <f>ROUND(+Marathon!$E85,4)</f>
        <v>0.56979999999999997</v>
      </c>
      <c r="V80" s="55">
        <f>ROUND(+Marathon!$E85,4)</f>
        <v>0.56979999999999997</v>
      </c>
      <c r="W80" s="47"/>
    </row>
    <row r="81" spans="1:23">
      <c r="A81" s="57">
        <v>80</v>
      </c>
      <c r="B81" s="58">
        <f>ROUND(+Mile!E86,4)</f>
        <v>0.60619999999999996</v>
      </c>
      <c r="C81" s="58">
        <f>ROUND(+'5K'!E86,4)</f>
        <v>0.57450000000000001</v>
      </c>
      <c r="D81" s="58">
        <f>ROUND(+'6K'!E86,4)</f>
        <v>0.5756</v>
      </c>
      <c r="E81" s="58">
        <f>ROUND(+'4MI'!E86,4)</f>
        <v>0.57599999999999996</v>
      </c>
      <c r="F81" s="58">
        <f>ROUND(+'8K'!$E86,4)</f>
        <v>0.57730000000000004</v>
      </c>
      <c r="G81" s="58">
        <f>ROUND(+'5MI'!E86,4)</f>
        <v>0.57730000000000004</v>
      </c>
      <c r="H81" s="58">
        <f>ROUND(+'10K'!$E86,4)</f>
        <v>0.5786</v>
      </c>
      <c r="I81" s="58">
        <f>ROUND(+'12K'!$E86,4)</f>
        <v>0.57550000000000001</v>
      </c>
      <c r="J81" s="58">
        <f>ROUND(+'15K'!$E86,4)</f>
        <v>0.56599999999999995</v>
      </c>
      <c r="K81" s="58">
        <f>ROUND(+'10MI'!$E86,4)</f>
        <v>0.56379999999999997</v>
      </c>
      <c r="L81" s="58">
        <f>ROUND(+'20K'!$E86,4)</f>
        <v>0.55710000000000004</v>
      </c>
      <c r="M81" s="58">
        <f>ROUND(+H.Marathon!$E86,4)</f>
        <v>0.5554</v>
      </c>
      <c r="N81" s="58">
        <f>ROUND(+'25K'!$E86,4)</f>
        <v>0.55520000000000003</v>
      </c>
      <c r="O81" s="58">
        <f>ROUND(+'30K'!$E86,4)</f>
        <v>0.55489999999999995</v>
      </c>
      <c r="P81" s="58">
        <f>ROUND(+Marathon!$E86,4)</f>
        <v>0.5544</v>
      </c>
      <c r="Q81" s="58">
        <f>ROUND(+Marathon!$E86,4)</f>
        <v>0.5544</v>
      </c>
      <c r="R81" s="58">
        <f>ROUND(+Marathon!$E86,4)</f>
        <v>0.5544</v>
      </c>
      <c r="S81" s="58">
        <f>ROUND(+Marathon!$E86,4)</f>
        <v>0.5544</v>
      </c>
      <c r="T81" s="58">
        <f>ROUND(+Marathon!$E86,4)</f>
        <v>0.5544</v>
      </c>
      <c r="U81" s="58">
        <f>ROUND(+Marathon!$E86,4)</f>
        <v>0.5544</v>
      </c>
      <c r="V81" s="58">
        <f>ROUND(+Marathon!$E86,4)</f>
        <v>0.5544</v>
      </c>
      <c r="W81" s="47"/>
    </row>
    <row r="82" spans="1:23">
      <c r="A82" s="49">
        <v>81</v>
      </c>
      <c r="B82" s="55">
        <f>ROUND(+Mile!E87,4)</f>
        <v>0.59460000000000002</v>
      </c>
      <c r="C82" s="55">
        <f>ROUND(+'5K'!E87,4)</f>
        <v>0.56200000000000006</v>
      </c>
      <c r="D82" s="55">
        <f>ROUND(+'6K'!E87,4)</f>
        <v>0.56259999999999999</v>
      </c>
      <c r="E82" s="55">
        <f>ROUND(+'4MI'!E87,4)</f>
        <v>0.56279999999999997</v>
      </c>
      <c r="F82" s="55">
        <f>ROUND(+'8K'!$E87,4)</f>
        <v>0.56359999999999999</v>
      </c>
      <c r="G82" s="55">
        <f>ROUND(+'5MI'!E87,4)</f>
        <v>0.56359999999999999</v>
      </c>
      <c r="H82" s="55">
        <f>ROUND(+'10K'!$E87,4)</f>
        <v>0.56430000000000002</v>
      </c>
      <c r="I82" s="56">
        <f>ROUND(+'12K'!$E87,4)</f>
        <v>0.5585</v>
      </c>
      <c r="J82" s="55">
        <f>ROUND(+'15K'!$E87,4)</f>
        <v>0.55149999999999999</v>
      </c>
      <c r="K82" s="55">
        <f>ROUND(+'10MI'!$E87,4)</f>
        <v>0.54930000000000001</v>
      </c>
      <c r="L82" s="55">
        <f>ROUND(+'20K'!$E87,4)</f>
        <v>0.54239999999999999</v>
      </c>
      <c r="M82" s="55">
        <f>ROUND(+H.Marathon!$E87,4)</f>
        <v>0.54069999999999996</v>
      </c>
      <c r="N82" s="55">
        <f>ROUND(+'25K'!$E87,4)</f>
        <v>0.54</v>
      </c>
      <c r="O82" s="55">
        <f>ROUND(+'30K'!$E87,4)</f>
        <v>0.5393</v>
      </c>
      <c r="P82" s="55">
        <f>ROUND(+Marathon!$E87,4)</f>
        <v>0.53790000000000004</v>
      </c>
      <c r="Q82" s="55">
        <f>ROUND(+Marathon!$E87,4)</f>
        <v>0.53790000000000004</v>
      </c>
      <c r="R82" s="55">
        <f>ROUND(+Marathon!$E87,4)</f>
        <v>0.53790000000000004</v>
      </c>
      <c r="S82" s="55">
        <f>ROUND(+Marathon!$E87,4)</f>
        <v>0.53790000000000004</v>
      </c>
      <c r="T82" s="55">
        <f>ROUND(+Marathon!$E87,4)</f>
        <v>0.53790000000000004</v>
      </c>
      <c r="U82" s="55">
        <f>ROUND(+Marathon!$E87,4)</f>
        <v>0.53790000000000004</v>
      </c>
      <c r="V82" s="55">
        <f>ROUND(+Marathon!$E87,4)</f>
        <v>0.53790000000000004</v>
      </c>
      <c r="W82" s="47"/>
    </row>
    <row r="83" spans="1:23">
      <c r="A83" s="49">
        <v>82</v>
      </c>
      <c r="B83" s="55">
        <f>ROUND(+Mile!E88,4)</f>
        <v>0.58209999999999995</v>
      </c>
      <c r="C83" s="55">
        <f>ROUND(+'5K'!E88,4)</f>
        <v>0.54869999999999997</v>
      </c>
      <c r="D83" s="55">
        <f>ROUND(+'6K'!E88,4)</f>
        <v>0.54879999999999995</v>
      </c>
      <c r="E83" s="55">
        <f>ROUND(+'4MI'!E88,4)</f>
        <v>0.54879999999999995</v>
      </c>
      <c r="F83" s="55">
        <f>ROUND(+'8K'!$E88,4)</f>
        <v>0.54879999999999995</v>
      </c>
      <c r="G83" s="55">
        <f>ROUND(+'5MI'!E88,4)</f>
        <v>0.54879999999999995</v>
      </c>
      <c r="H83" s="55">
        <f>ROUND(+'10K'!$E88,4)</f>
        <v>0.54890000000000005</v>
      </c>
      <c r="I83" s="56">
        <f>ROUND(+'12K'!$E88,4)</f>
        <v>0.54310000000000003</v>
      </c>
      <c r="J83" s="55">
        <f>ROUND(+'15K'!$E88,4)</f>
        <v>0.53610000000000002</v>
      </c>
      <c r="K83" s="55">
        <f>ROUND(+'10MI'!$E88,4)</f>
        <v>0.53390000000000004</v>
      </c>
      <c r="L83" s="55">
        <f>ROUND(+'20K'!$E88,4)</f>
        <v>0.52700000000000002</v>
      </c>
      <c r="M83" s="55">
        <f>ROUND(+H.Marathon!$E88,4)</f>
        <v>0.52529999999999999</v>
      </c>
      <c r="N83" s="55">
        <f>ROUND(+'25K'!$E88,4)</f>
        <v>0.52410000000000001</v>
      </c>
      <c r="O83" s="55">
        <f>ROUND(+'30K'!$E88,4)</f>
        <v>0.52280000000000004</v>
      </c>
      <c r="P83" s="55">
        <f>ROUND(+Marathon!$E88,4)</f>
        <v>0.52029999999999998</v>
      </c>
      <c r="Q83" s="55">
        <f>ROUND(+Marathon!$E88,4)</f>
        <v>0.52029999999999998</v>
      </c>
      <c r="R83" s="55">
        <f>ROUND(+Marathon!$E88,4)</f>
        <v>0.52029999999999998</v>
      </c>
      <c r="S83" s="55">
        <f>ROUND(+Marathon!$E88,4)</f>
        <v>0.52029999999999998</v>
      </c>
      <c r="T83" s="55">
        <f>ROUND(+Marathon!$E88,4)</f>
        <v>0.52029999999999998</v>
      </c>
      <c r="U83" s="55">
        <f>ROUND(+Marathon!$E88,4)</f>
        <v>0.52029999999999998</v>
      </c>
      <c r="V83" s="55">
        <f>ROUND(+Marathon!$E88,4)</f>
        <v>0.52029999999999998</v>
      </c>
      <c r="W83" s="47"/>
    </row>
    <row r="84" spans="1:23">
      <c r="A84" s="49">
        <v>83</v>
      </c>
      <c r="B84" s="55">
        <f>ROUND(+Mile!E89,4)</f>
        <v>0.56859999999999999</v>
      </c>
      <c r="C84" s="55">
        <f>ROUND(+'5K'!E89,4)</f>
        <v>0.53459999999999996</v>
      </c>
      <c r="D84" s="55">
        <f>ROUND(+'6K'!E89,4)</f>
        <v>0.53400000000000003</v>
      </c>
      <c r="E84" s="55">
        <f>ROUND(+'4MI'!E89,4)</f>
        <v>0.53380000000000005</v>
      </c>
      <c r="F84" s="55">
        <f>ROUND(+'8K'!$E89,4)</f>
        <v>0.53320000000000001</v>
      </c>
      <c r="G84" s="55">
        <f>ROUND(+'5MI'!E89,4)</f>
        <v>0.53320000000000001</v>
      </c>
      <c r="H84" s="55">
        <f>ROUND(+'10K'!$E89,4)</f>
        <v>0.53249999999999997</v>
      </c>
      <c r="I84" s="56">
        <f>ROUND(+'12K'!$E89,4)</f>
        <v>0.52680000000000005</v>
      </c>
      <c r="J84" s="55">
        <f>ROUND(+'15K'!$E89,4)</f>
        <v>0.51980000000000004</v>
      </c>
      <c r="K84" s="55">
        <f>ROUND(+'10MI'!$E89,4)</f>
        <v>0.51759999999999995</v>
      </c>
      <c r="L84" s="55">
        <f>ROUND(+'20K'!$E89,4)</f>
        <v>0.51080000000000003</v>
      </c>
      <c r="M84" s="55">
        <f>ROUND(+H.Marathon!$E89,4)</f>
        <v>0.5091</v>
      </c>
      <c r="N84" s="55">
        <f>ROUND(+'25K'!$E89,4)</f>
        <v>0.50729999999999997</v>
      </c>
      <c r="O84" s="55">
        <f>ROUND(+'30K'!$E89,4)</f>
        <v>0.50529999999999997</v>
      </c>
      <c r="P84" s="55">
        <f>ROUND(+Marathon!$E89,4)</f>
        <v>0.50160000000000005</v>
      </c>
      <c r="Q84" s="55">
        <f>ROUND(+Marathon!$E89,4)</f>
        <v>0.50160000000000005</v>
      </c>
      <c r="R84" s="55">
        <f>ROUND(+Marathon!$E89,4)</f>
        <v>0.50160000000000005</v>
      </c>
      <c r="S84" s="55">
        <f>ROUND(+Marathon!$E89,4)</f>
        <v>0.50160000000000005</v>
      </c>
      <c r="T84" s="55">
        <f>ROUND(+Marathon!$E89,4)</f>
        <v>0.50160000000000005</v>
      </c>
      <c r="U84" s="55">
        <f>ROUND(+Marathon!$E89,4)</f>
        <v>0.50160000000000005</v>
      </c>
      <c r="V84" s="55">
        <f>ROUND(+Marathon!$E89,4)</f>
        <v>0.50160000000000005</v>
      </c>
      <c r="W84" s="47"/>
    </row>
    <row r="85" spans="1:23">
      <c r="A85" s="49">
        <v>84</v>
      </c>
      <c r="B85" s="55">
        <f>ROUND(+Mile!E90,4)</f>
        <v>0.55420000000000003</v>
      </c>
      <c r="C85" s="55">
        <f>ROUND(+'5K'!E90,4)</f>
        <v>0.51970000000000005</v>
      </c>
      <c r="D85" s="55">
        <f>ROUND(+'6K'!E90,4)</f>
        <v>0.51849999999999996</v>
      </c>
      <c r="E85" s="55">
        <f>ROUND(+'4MI'!E90,4)</f>
        <v>0.51800000000000002</v>
      </c>
      <c r="F85" s="55">
        <f>ROUND(+'8K'!$E90,4)</f>
        <v>0.51649999999999996</v>
      </c>
      <c r="G85" s="55">
        <f>ROUND(+'5MI'!E90,4)</f>
        <v>0.51649999999999996</v>
      </c>
      <c r="H85" s="55">
        <f>ROUND(+'10K'!$E90,4)</f>
        <v>0.51500000000000001</v>
      </c>
      <c r="I85" s="56">
        <f>ROUND(+'12K'!$E90,4)</f>
        <v>0.50939999999999996</v>
      </c>
      <c r="J85" s="55">
        <f>ROUND(+'15K'!$E90,4)</f>
        <v>0.50260000000000005</v>
      </c>
      <c r="K85" s="55">
        <f>ROUND(+'10MI'!$E90,4)</f>
        <v>0.50039999999999996</v>
      </c>
      <c r="L85" s="55">
        <f>ROUND(+'20K'!$E90,4)</f>
        <v>0.49370000000000003</v>
      </c>
      <c r="M85" s="55">
        <f>ROUND(+H.Marathon!$E90,4)</f>
        <v>0.49209999999999998</v>
      </c>
      <c r="N85" s="55">
        <f>ROUND(+'25K'!$E90,4)</f>
        <v>0.48959999999999998</v>
      </c>
      <c r="O85" s="55">
        <f>ROUND(+'30K'!$E90,4)</f>
        <v>0.4869</v>
      </c>
      <c r="P85" s="55">
        <f>ROUND(+Marathon!$E90,4)</f>
        <v>0.48180000000000001</v>
      </c>
      <c r="Q85" s="55">
        <f>ROUND(+Marathon!$E90,4)</f>
        <v>0.48180000000000001</v>
      </c>
      <c r="R85" s="55">
        <f>ROUND(+Marathon!$E90,4)</f>
        <v>0.48180000000000001</v>
      </c>
      <c r="S85" s="55">
        <f>ROUND(+Marathon!$E90,4)</f>
        <v>0.48180000000000001</v>
      </c>
      <c r="T85" s="55">
        <f>ROUND(+Marathon!$E90,4)</f>
        <v>0.48180000000000001</v>
      </c>
      <c r="U85" s="55">
        <f>ROUND(+Marathon!$E90,4)</f>
        <v>0.48180000000000001</v>
      </c>
      <c r="V85" s="55">
        <f>ROUND(+Marathon!$E90,4)</f>
        <v>0.48180000000000001</v>
      </c>
      <c r="W85" s="47"/>
    </row>
    <row r="86" spans="1:23">
      <c r="A86" s="57">
        <v>85</v>
      </c>
      <c r="B86" s="58">
        <f>ROUND(+Mile!E91,4)</f>
        <v>0.53879999999999995</v>
      </c>
      <c r="C86" s="58">
        <f>ROUND(+'5K'!E91,4)</f>
        <v>0.504</v>
      </c>
      <c r="D86" s="58">
        <f>ROUND(+'6K'!E91,4)</f>
        <v>0.50209999999999999</v>
      </c>
      <c r="E86" s="58">
        <f>ROUND(+'4MI'!E91,4)</f>
        <v>0.50129999999999997</v>
      </c>
      <c r="F86" s="58">
        <f>ROUND(+'8K'!$E91,4)</f>
        <v>0.499</v>
      </c>
      <c r="G86" s="58">
        <f>ROUND(+'5MI'!E91,4)</f>
        <v>0.49890000000000001</v>
      </c>
      <c r="H86" s="58">
        <f>ROUND(+'10K'!$E91,4)</f>
        <v>0.49659999999999999</v>
      </c>
      <c r="I86" s="58">
        <f>ROUND(+'12K'!$E91,4)</f>
        <v>0.49109999999999998</v>
      </c>
      <c r="J86" s="58">
        <f>ROUND(+'15K'!$E91,4)</f>
        <v>0.4844</v>
      </c>
      <c r="K86" s="58">
        <f>ROUND(+'10MI'!$E91,4)</f>
        <v>0.48230000000000001</v>
      </c>
      <c r="L86" s="58">
        <f>ROUND(+'20K'!$E91,4)</f>
        <v>0.4758</v>
      </c>
      <c r="M86" s="58">
        <f>ROUND(+H.Marathon!$E91,4)</f>
        <v>0.47420000000000001</v>
      </c>
      <c r="N86" s="58">
        <f>ROUND(+'25K'!$E91,4)</f>
        <v>0.47089999999999999</v>
      </c>
      <c r="O86" s="58">
        <f>ROUND(+'30K'!$E91,4)</f>
        <v>0.46739999999999998</v>
      </c>
      <c r="P86" s="58">
        <f>ROUND(+Marathon!$E91,4)</f>
        <v>0.46089999999999998</v>
      </c>
      <c r="Q86" s="58">
        <f>ROUND(+Marathon!$E91,4)</f>
        <v>0.46089999999999998</v>
      </c>
      <c r="R86" s="58">
        <f>ROUND(+Marathon!$E91,4)</f>
        <v>0.46089999999999998</v>
      </c>
      <c r="S86" s="58">
        <f>ROUND(+Marathon!$E91,4)</f>
        <v>0.46089999999999998</v>
      </c>
      <c r="T86" s="58">
        <f>ROUND(+Marathon!$E91,4)</f>
        <v>0.46089999999999998</v>
      </c>
      <c r="U86" s="58">
        <f>ROUND(+Marathon!$E91,4)</f>
        <v>0.46089999999999998</v>
      </c>
      <c r="V86" s="58">
        <f>ROUND(+Marathon!$E91,4)</f>
        <v>0.46089999999999998</v>
      </c>
      <c r="W86" s="47"/>
    </row>
    <row r="87" spans="1:23">
      <c r="A87" s="49">
        <v>86</v>
      </c>
      <c r="B87" s="55">
        <f>ROUND(+Mile!E92,4)</f>
        <v>0.52249999999999996</v>
      </c>
      <c r="C87" s="55">
        <f>ROUND(+'5K'!E92,4)</f>
        <v>0.4874</v>
      </c>
      <c r="D87" s="55">
        <f>ROUND(+'6K'!E92,4)</f>
        <v>0.48470000000000002</v>
      </c>
      <c r="E87" s="55">
        <f>ROUND(+'4MI'!E92,4)</f>
        <v>0.48359999999999997</v>
      </c>
      <c r="F87" s="55">
        <f>ROUND(+'8K'!$E92,4)</f>
        <v>0.48039999999999999</v>
      </c>
      <c r="G87" s="55">
        <f>ROUND(+'5MI'!E92,4)</f>
        <v>0.4803</v>
      </c>
      <c r="H87" s="55">
        <f>ROUND(+'10K'!$E92,4)</f>
        <v>0.47710000000000002</v>
      </c>
      <c r="I87" s="56">
        <f>ROUND(+'12K'!$E92,4)</f>
        <v>0.4718</v>
      </c>
      <c r="J87" s="55">
        <f>ROUND(+'15K'!$E92,4)</f>
        <v>0.46539999999999998</v>
      </c>
      <c r="K87" s="55">
        <f>ROUND(+'10MI'!$E92,4)</f>
        <v>0.46339999999999998</v>
      </c>
      <c r="L87" s="55">
        <f>ROUND(+'20K'!$E92,4)</f>
        <v>0.45710000000000001</v>
      </c>
      <c r="M87" s="55">
        <f>ROUND(+H.Marathon!$E92,4)</f>
        <v>0.4556</v>
      </c>
      <c r="N87" s="55">
        <f>ROUND(+'25K'!$E92,4)</f>
        <v>0.45150000000000001</v>
      </c>
      <c r="O87" s="55">
        <f>ROUND(+'30K'!$E92,4)</f>
        <v>0.4471</v>
      </c>
      <c r="P87" s="55">
        <f>ROUND(+Marathon!$E92,4)</f>
        <v>0.43890000000000001</v>
      </c>
      <c r="Q87" s="55">
        <f>ROUND(+Marathon!$E92,4)</f>
        <v>0.43890000000000001</v>
      </c>
      <c r="R87" s="55">
        <f>ROUND(+Marathon!$E92,4)</f>
        <v>0.43890000000000001</v>
      </c>
      <c r="S87" s="55">
        <f>ROUND(+Marathon!$E92,4)</f>
        <v>0.43890000000000001</v>
      </c>
      <c r="T87" s="55">
        <f>ROUND(+Marathon!$E92,4)</f>
        <v>0.43890000000000001</v>
      </c>
      <c r="U87" s="55">
        <f>ROUND(+Marathon!$E92,4)</f>
        <v>0.43890000000000001</v>
      </c>
      <c r="V87" s="55">
        <f>ROUND(+Marathon!$E92,4)</f>
        <v>0.43890000000000001</v>
      </c>
      <c r="W87" s="47"/>
    </row>
    <row r="88" spans="1:23">
      <c r="A88" s="49">
        <v>87</v>
      </c>
      <c r="B88" s="55">
        <f>ROUND(+Mile!E93,4)</f>
        <v>0.50529999999999997</v>
      </c>
      <c r="C88" s="55">
        <f>ROUND(+'5K'!E93,4)</f>
        <v>0.47010000000000002</v>
      </c>
      <c r="D88" s="55">
        <f>ROUND(+'6K'!E93,4)</f>
        <v>0.46650000000000003</v>
      </c>
      <c r="E88" s="55">
        <f>ROUND(+'4MI'!E93,4)</f>
        <v>0.4652</v>
      </c>
      <c r="F88" s="55">
        <f>ROUND(+'8K'!$E93,4)</f>
        <v>0.46089999999999998</v>
      </c>
      <c r="G88" s="55">
        <f>ROUND(+'5MI'!E93,4)</f>
        <v>0.46079999999999999</v>
      </c>
      <c r="H88" s="55">
        <f>ROUND(+'10K'!$E93,4)</f>
        <v>0.45660000000000001</v>
      </c>
      <c r="I88" s="56">
        <f>ROUND(+'12K'!$E93,4)</f>
        <v>0.4516</v>
      </c>
      <c r="J88" s="55">
        <f>ROUND(+'15K'!$E93,4)</f>
        <v>0.44550000000000001</v>
      </c>
      <c r="K88" s="55">
        <f>ROUND(+'10MI'!$E93,4)</f>
        <v>0.44359999999999999</v>
      </c>
      <c r="L88" s="55">
        <f>ROUND(+'20K'!$E93,4)</f>
        <v>0.43769999999999998</v>
      </c>
      <c r="M88" s="55">
        <f>ROUND(+H.Marathon!$E93,4)</f>
        <v>0.43619999999999998</v>
      </c>
      <c r="N88" s="55">
        <f>ROUND(+'25K'!$E93,4)</f>
        <v>0.43120000000000003</v>
      </c>
      <c r="O88" s="55">
        <f>ROUND(+'30K'!$E93,4)</f>
        <v>0.42580000000000001</v>
      </c>
      <c r="P88" s="55">
        <f>ROUND(+Marathon!$E93,4)</f>
        <v>0.4158</v>
      </c>
      <c r="Q88" s="55">
        <f>ROUND(+Marathon!$E93,4)</f>
        <v>0.4158</v>
      </c>
      <c r="R88" s="55">
        <f>ROUND(+Marathon!$E93,4)</f>
        <v>0.4158</v>
      </c>
      <c r="S88" s="55">
        <f>ROUND(+Marathon!$E93,4)</f>
        <v>0.4158</v>
      </c>
      <c r="T88" s="55">
        <f>ROUND(+Marathon!$E93,4)</f>
        <v>0.4158</v>
      </c>
      <c r="U88" s="55">
        <f>ROUND(+Marathon!$E93,4)</f>
        <v>0.4158</v>
      </c>
      <c r="V88" s="55">
        <f>ROUND(+Marathon!$E93,4)</f>
        <v>0.4158</v>
      </c>
      <c r="W88" s="47"/>
    </row>
    <row r="89" spans="1:23">
      <c r="A89" s="49">
        <v>88</v>
      </c>
      <c r="B89" s="55">
        <f>ROUND(+Mile!E94,4)</f>
        <v>0.48709999999999998</v>
      </c>
      <c r="C89" s="55">
        <f>ROUND(+'5K'!E94,4)</f>
        <v>0.45200000000000001</v>
      </c>
      <c r="D89" s="55">
        <f>ROUND(+'6K'!E94,4)</f>
        <v>0.4476</v>
      </c>
      <c r="E89" s="55">
        <f>ROUND(+'4MI'!E94,4)</f>
        <v>0.44579999999999997</v>
      </c>
      <c r="F89" s="55">
        <f>ROUND(+'8K'!$E94,4)</f>
        <v>0.4405</v>
      </c>
      <c r="G89" s="55">
        <f>ROUND(+'5MI'!E94,4)</f>
        <v>0.44040000000000001</v>
      </c>
      <c r="H89" s="55">
        <f>ROUND(+'10K'!$E94,4)</f>
        <v>0.43509999999999999</v>
      </c>
      <c r="I89" s="56">
        <f>ROUND(+'12K'!$E94,4)</f>
        <v>0.4304</v>
      </c>
      <c r="J89" s="55">
        <f>ROUND(+'15K'!$E94,4)</f>
        <v>0.42470000000000002</v>
      </c>
      <c r="K89" s="55">
        <f>ROUND(+'10MI'!$E94,4)</f>
        <v>0.4229</v>
      </c>
      <c r="L89" s="55">
        <f>ROUND(+'20K'!$E94,4)</f>
        <v>0.4173</v>
      </c>
      <c r="M89" s="55">
        <f>ROUND(+H.Marathon!$E94,4)</f>
        <v>0.41589999999999999</v>
      </c>
      <c r="N89" s="55">
        <f>ROUND(+'25K'!$E94,4)</f>
        <v>0.40989999999999999</v>
      </c>
      <c r="O89" s="55">
        <f>ROUND(+'30K'!$E94,4)</f>
        <v>0.40360000000000001</v>
      </c>
      <c r="P89" s="55">
        <f>ROUND(+Marathon!$E94,4)</f>
        <v>0.3916</v>
      </c>
      <c r="Q89" s="55">
        <f>ROUND(+Marathon!$E94,4)</f>
        <v>0.3916</v>
      </c>
      <c r="R89" s="55">
        <f>ROUND(+Marathon!$E94,4)</f>
        <v>0.3916</v>
      </c>
      <c r="S89" s="55">
        <f>ROUND(+Marathon!$E94,4)</f>
        <v>0.3916</v>
      </c>
      <c r="T89" s="55">
        <f>ROUND(+Marathon!$E94,4)</f>
        <v>0.3916</v>
      </c>
      <c r="U89" s="55">
        <f>ROUND(+Marathon!$E94,4)</f>
        <v>0.3916</v>
      </c>
      <c r="V89" s="55">
        <f>ROUND(+Marathon!$E94,4)</f>
        <v>0.3916</v>
      </c>
      <c r="W89" s="47"/>
    </row>
    <row r="90" spans="1:23">
      <c r="A90" s="49">
        <v>89</v>
      </c>
      <c r="B90" s="55">
        <f>ROUND(+Mile!E95,4)</f>
        <v>0.46800000000000003</v>
      </c>
      <c r="C90" s="55">
        <f>ROUND(+'5K'!E95,4)</f>
        <v>0.43309999999999998</v>
      </c>
      <c r="D90" s="55">
        <f>ROUND(+'6K'!E95,4)</f>
        <v>0.42770000000000002</v>
      </c>
      <c r="E90" s="55">
        <f>ROUND(+'4MI'!E95,4)</f>
        <v>0.42559999999999998</v>
      </c>
      <c r="F90" s="55">
        <f>ROUND(+'8K'!$E95,4)</f>
        <v>0.41909999999999997</v>
      </c>
      <c r="G90" s="55">
        <f>ROUND(+'5MI'!E95,4)</f>
        <v>0.41899999999999998</v>
      </c>
      <c r="H90" s="55">
        <f>ROUND(+'10K'!$E95,4)</f>
        <v>0.41249999999999998</v>
      </c>
      <c r="I90" s="56">
        <f>ROUND(+'12K'!$E95,4)</f>
        <v>0.40820000000000001</v>
      </c>
      <c r="J90" s="55">
        <f>ROUND(+'15K'!$E95,4)</f>
        <v>0.40289999999999998</v>
      </c>
      <c r="K90" s="55">
        <f>ROUND(+'10MI'!$E95,4)</f>
        <v>0.40129999999999999</v>
      </c>
      <c r="L90" s="55">
        <f>ROUND(+'20K'!$E95,4)</f>
        <v>0.3962</v>
      </c>
      <c r="M90" s="55">
        <f>ROUND(+H.Marathon!$E95,4)</f>
        <v>0.39489999999999997</v>
      </c>
      <c r="N90" s="55">
        <f>ROUND(+'25K'!$E95,4)</f>
        <v>0.38790000000000002</v>
      </c>
      <c r="O90" s="55">
        <f>ROUND(+'30K'!$E95,4)</f>
        <v>0.38040000000000002</v>
      </c>
      <c r="P90" s="55">
        <f>ROUND(+Marathon!$E95,4)</f>
        <v>0.36630000000000001</v>
      </c>
      <c r="Q90" s="55">
        <f>ROUND(+Marathon!$E95,4)</f>
        <v>0.36630000000000001</v>
      </c>
      <c r="R90" s="55">
        <f>ROUND(+Marathon!$E95,4)</f>
        <v>0.36630000000000001</v>
      </c>
      <c r="S90" s="55">
        <f>ROUND(+Marathon!$E95,4)</f>
        <v>0.36630000000000001</v>
      </c>
      <c r="T90" s="55">
        <f>ROUND(+Marathon!$E95,4)</f>
        <v>0.36630000000000001</v>
      </c>
      <c r="U90" s="55">
        <f>ROUND(+Marathon!$E95,4)</f>
        <v>0.36630000000000001</v>
      </c>
      <c r="V90" s="55">
        <f>ROUND(+Marathon!$E95,4)</f>
        <v>0.36630000000000001</v>
      </c>
      <c r="W90" s="47"/>
    </row>
    <row r="91" spans="1:23">
      <c r="A91" s="57">
        <v>90</v>
      </c>
      <c r="B91" s="58">
        <f>ROUND(+Mile!E96,4)</f>
        <v>0.44800000000000001</v>
      </c>
      <c r="C91" s="58">
        <f>ROUND(+'5K'!E96,4)</f>
        <v>0.41339999999999999</v>
      </c>
      <c r="D91" s="58">
        <f>ROUND(+'6K'!E96,4)</f>
        <v>0.40699999999999997</v>
      </c>
      <c r="E91" s="58">
        <f>ROUND(+'4MI'!E96,4)</f>
        <v>0.40450000000000003</v>
      </c>
      <c r="F91" s="58">
        <f>ROUND(+'8K'!$E96,4)</f>
        <v>0.39689999999999998</v>
      </c>
      <c r="G91" s="58">
        <f>ROUND(+'5MI'!E96,4)</f>
        <v>0.3967</v>
      </c>
      <c r="H91" s="58">
        <f>ROUND(+'10K'!$E96,4)</f>
        <v>0.38900000000000001</v>
      </c>
      <c r="I91" s="58">
        <f>ROUND(+'12K'!$E96,4)</f>
        <v>0.3851</v>
      </c>
      <c r="J91" s="58">
        <f>ROUND(+'15K'!$E96,4)</f>
        <v>0.38040000000000002</v>
      </c>
      <c r="K91" s="58">
        <f>ROUND(+'10MI'!$E96,4)</f>
        <v>0.37890000000000001</v>
      </c>
      <c r="L91" s="58">
        <f>ROUND(+'20K'!$E96,4)</f>
        <v>0.37419999999999998</v>
      </c>
      <c r="M91" s="58">
        <f>ROUND(+H.Marathon!$E96,4)</f>
        <v>0.37309999999999999</v>
      </c>
      <c r="N91" s="58">
        <f>ROUND(+'25K'!$E96,4)</f>
        <v>0.36499999999999999</v>
      </c>
      <c r="O91" s="58">
        <f>ROUND(+'30K'!$E96,4)</f>
        <v>0.35620000000000002</v>
      </c>
      <c r="P91" s="58">
        <f>ROUND(+Marathon!$E96,4)</f>
        <v>0.33989999999999998</v>
      </c>
      <c r="Q91" s="58">
        <f>ROUND(+Marathon!$E96,4)</f>
        <v>0.33989999999999998</v>
      </c>
      <c r="R91" s="58">
        <f>ROUND(+Marathon!$E96,4)</f>
        <v>0.33989999999999998</v>
      </c>
      <c r="S91" s="58">
        <f>ROUND(+Marathon!$E96,4)</f>
        <v>0.33989999999999998</v>
      </c>
      <c r="T91" s="58">
        <f>ROUND(+Marathon!$E96,4)</f>
        <v>0.33989999999999998</v>
      </c>
      <c r="U91" s="58">
        <f>ROUND(+Marathon!$E96,4)</f>
        <v>0.33989999999999998</v>
      </c>
      <c r="V91" s="58">
        <f>ROUND(+Marathon!$E96,4)</f>
        <v>0.33989999999999998</v>
      </c>
      <c r="W91" s="47"/>
    </row>
    <row r="92" spans="1:23">
      <c r="A92" s="49">
        <v>91</v>
      </c>
      <c r="B92" s="55">
        <f>ROUND(+Mile!E97,4)</f>
        <v>0.42699999999999999</v>
      </c>
      <c r="C92" s="55">
        <f>ROUND(+'5K'!E97,4)</f>
        <v>0.39290000000000003</v>
      </c>
      <c r="D92" s="55">
        <f>ROUND(+'6K'!E97,4)</f>
        <v>0.38540000000000002</v>
      </c>
      <c r="E92" s="55">
        <f>ROUND(+'4MI'!E97,4)</f>
        <v>0.38250000000000001</v>
      </c>
      <c r="F92" s="55">
        <f>ROUND(+'8K'!$E97,4)</f>
        <v>0.37359999999999999</v>
      </c>
      <c r="G92" s="55">
        <f>ROUND(+'5MI'!E97,4)</f>
        <v>0.37330000000000002</v>
      </c>
      <c r="H92" s="55">
        <f>ROUND(+'10K'!$E97,4)</f>
        <v>0.3644</v>
      </c>
      <c r="I92" s="56">
        <f>ROUND(+'12K'!$E97,4)</f>
        <v>0.36099999999999999</v>
      </c>
      <c r="J92" s="55">
        <f>ROUND(+'15K'!$E97,4)</f>
        <v>0.35680000000000001</v>
      </c>
      <c r="K92" s="55">
        <f>ROUND(+'10MI'!$E97,4)</f>
        <v>0.35549999999999998</v>
      </c>
      <c r="L92" s="55">
        <f>ROUND(+'20K'!$E97,4)</f>
        <v>0.35139999999999999</v>
      </c>
      <c r="M92" s="55">
        <f>ROUND(+H.Marathon!$E97,4)</f>
        <v>0.35039999999999999</v>
      </c>
      <c r="N92" s="55">
        <f>ROUND(+'25K'!$E97,4)</f>
        <v>0.34110000000000001</v>
      </c>
      <c r="O92" s="55">
        <f>ROUND(+'30K'!$E97,4)</f>
        <v>0.33110000000000001</v>
      </c>
      <c r="P92" s="55">
        <f>ROUND(+Marathon!$E97,4)</f>
        <v>0.31240000000000001</v>
      </c>
      <c r="Q92" s="55">
        <f>ROUND(+Marathon!$E97,4)</f>
        <v>0.31240000000000001</v>
      </c>
      <c r="R92" s="55">
        <f>ROUND(+Marathon!$E97,4)</f>
        <v>0.31240000000000001</v>
      </c>
      <c r="S92" s="55">
        <f>ROUND(+Marathon!$E97,4)</f>
        <v>0.31240000000000001</v>
      </c>
      <c r="T92" s="55">
        <f>ROUND(+Marathon!$E97,4)</f>
        <v>0.31240000000000001</v>
      </c>
      <c r="U92" s="55">
        <f>ROUND(+Marathon!$E97,4)</f>
        <v>0.31240000000000001</v>
      </c>
      <c r="V92" s="55">
        <f>ROUND(+Marathon!$E97,4)</f>
        <v>0.31240000000000001</v>
      </c>
      <c r="W92" s="47"/>
    </row>
    <row r="93" spans="1:23">
      <c r="A93" s="49">
        <v>92</v>
      </c>
      <c r="B93" s="55">
        <f>ROUND(+Mile!E98,4)</f>
        <v>0.40510000000000002</v>
      </c>
      <c r="C93" s="55">
        <f>ROUND(+'5K'!E98,4)</f>
        <v>0.37159999999999999</v>
      </c>
      <c r="D93" s="55">
        <f>ROUND(+'6K'!E98,4)</f>
        <v>0.36299999999999999</v>
      </c>
      <c r="E93" s="55">
        <f>ROUND(+'4MI'!E98,4)</f>
        <v>0.35959999999999998</v>
      </c>
      <c r="F93" s="55">
        <f>ROUND(+'8K'!$E98,4)</f>
        <v>0.34939999999999999</v>
      </c>
      <c r="G93" s="55">
        <f>ROUND(+'5MI'!E98,4)</f>
        <v>0.34910000000000002</v>
      </c>
      <c r="H93" s="55">
        <f>ROUND(+'10K'!$E98,4)</f>
        <v>0.33879999999999999</v>
      </c>
      <c r="I93" s="56">
        <f>ROUND(+'12K'!$E98,4)</f>
        <v>0.33589999999999998</v>
      </c>
      <c r="J93" s="55">
        <f>ROUND(+'15K'!$E98,4)</f>
        <v>0.33239999999999997</v>
      </c>
      <c r="K93" s="55">
        <f>ROUND(+'10MI'!$E98,4)</f>
        <v>0.33129999999999998</v>
      </c>
      <c r="L93" s="55">
        <f>ROUND(+'20K'!$E98,4)</f>
        <v>0.32779999999999998</v>
      </c>
      <c r="M93" s="55">
        <f>ROUND(+H.Marathon!$E98,4)</f>
        <v>0.32700000000000001</v>
      </c>
      <c r="N93" s="55">
        <f>ROUND(+'25K'!$E98,4)</f>
        <v>0.31640000000000001</v>
      </c>
      <c r="O93" s="55">
        <f>ROUND(+'30K'!$E98,4)</f>
        <v>0.30509999999999998</v>
      </c>
      <c r="P93" s="55">
        <f>ROUND(+Marathon!$E98,4)</f>
        <v>0.2838</v>
      </c>
      <c r="Q93" s="55">
        <f>ROUND(+Marathon!$E98,4)</f>
        <v>0.2838</v>
      </c>
      <c r="R93" s="55">
        <f>ROUND(+Marathon!$E98,4)</f>
        <v>0.2838</v>
      </c>
      <c r="S93" s="55">
        <f>ROUND(+Marathon!$E98,4)</f>
        <v>0.2838</v>
      </c>
      <c r="T93" s="55">
        <f>ROUND(+Marathon!$E98,4)</f>
        <v>0.2838</v>
      </c>
      <c r="U93" s="55">
        <f>ROUND(+Marathon!$E98,4)</f>
        <v>0.2838</v>
      </c>
      <c r="V93" s="55">
        <f>ROUND(+Marathon!$E98,4)</f>
        <v>0.2838</v>
      </c>
      <c r="W93" s="47"/>
    </row>
    <row r="94" spans="1:23">
      <c r="A94" s="49">
        <v>93</v>
      </c>
      <c r="B94" s="55">
        <f>ROUND(+Mile!E99,4)</f>
        <v>0.38219999999999998</v>
      </c>
      <c r="C94" s="55">
        <f>ROUND(+'5K'!E99,4)</f>
        <v>0.34949999999999998</v>
      </c>
      <c r="D94" s="55">
        <f>ROUND(+'6K'!E99,4)</f>
        <v>0.3397</v>
      </c>
      <c r="E94" s="55">
        <f>ROUND(+'4MI'!E99,4)</f>
        <v>0.33589999999999998</v>
      </c>
      <c r="F94" s="55">
        <f>ROUND(+'8K'!$E99,4)</f>
        <v>0.32419999999999999</v>
      </c>
      <c r="G94" s="55">
        <f>ROUND(+'5MI'!E99,4)</f>
        <v>0.32390000000000002</v>
      </c>
      <c r="H94" s="55">
        <f>ROUND(+'10K'!$E99,4)</f>
        <v>0.31219999999999998</v>
      </c>
      <c r="I94" s="56">
        <f>ROUND(+'12K'!$E99,4)</f>
        <v>0.30990000000000001</v>
      </c>
      <c r="J94" s="55">
        <f>ROUND(+'15K'!$E99,4)</f>
        <v>0.30709999999999998</v>
      </c>
      <c r="K94" s="55">
        <f>ROUND(+'10MI'!$E99,4)</f>
        <v>0.30620000000000003</v>
      </c>
      <c r="L94" s="55">
        <f>ROUND(+'20K'!$E99,4)</f>
        <v>0.30349999999999999</v>
      </c>
      <c r="M94" s="55">
        <f>ROUND(+H.Marathon!$E99,4)</f>
        <v>0.30280000000000001</v>
      </c>
      <c r="N94" s="55">
        <f>ROUND(+'25K'!$E99,4)</f>
        <v>0.29089999999999999</v>
      </c>
      <c r="O94" s="55">
        <f>ROUND(+'30K'!$E99,4)</f>
        <v>0.27810000000000001</v>
      </c>
      <c r="P94" s="55">
        <f>ROUND(+Marathon!$E99,4)</f>
        <v>0.25409999999999999</v>
      </c>
      <c r="Q94" s="55">
        <f>ROUND(+Marathon!$E99,4)</f>
        <v>0.25409999999999999</v>
      </c>
      <c r="R94" s="55">
        <f>ROUND(+Marathon!$E99,4)</f>
        <v>0.25409999999999999</v>
      </c>
      <c r="S94" s="55">
        <f>ROUND(+Marathon!$E99,4)</f>
        <v>0.25409999999999999</v>
      </c>
      <c r="T94" s="55">
        <f>ROUND(+Marathon!$E99,4)</f>
        <v>0.25409999999999999</v>
      </c>
      <c r="U94" s="55">
        <f>ROUND(+Marathon!$E99,4)</f>
        <v>0.25409999999999999</v>
      </c>
      <c r="V94" s="55">
        <f>ROUND(+Marathon!$E99,4)</f>
        <v>0.25409999999999999</v>
      </c>
      <c r="W94" s="47"/>
    </row>
    <row r="95" spans="1:23">
      <c r="A95" s="49">
        <v>94</v>
      </c>
      <c r="B95" s="55">
        <f>ROUND(+Mile!E100,4)</f>
        <v>0.3584</v>
      </c>
      <c r="C95" s="55">
        <f>ROUND(+'5K'!E100,4)</f>
        <v>0.3266</v>
      </c>
      <c r="D95" s="55">
        <f>ROUND(+'6K'!E100,4)</f>
        <v>0.31559999999999999</v>
      </c>
      <c r="E95" s="55">
        <f>ROUND(+'4MI'!E100,4)</f>
        <v>0.31130000000000002</v>
      </c>
      <c r="F95" s="55">
        <f>ROUND(+'8K'!$E100,4)</f>
        <v>0.29809999999999998</v>
      </c>
      <c r="G95" s="55">
        <f>ROUND(+'5MI'!E100,4)</f>
        <v>0.29780000000000001</v>
      </c>
      <c r="H95" s="55">
        <f>ROUND(+'10K'!$E100,4)</f>
        <v>0.28460000000000002</v>
      </c>
      <c r="I95" s="56">
        <f>ROUND(+'12K'!$E100,4)</f>
        <v>0.28289999999999998</v>
      </c>
      <c r="J95" s="55">
        <f>ROUND(+'15K'!$E100,4)</f>
        <v>0.28089999999999998</v>
      </c>
      <c r="K95" s="55">
        <f>ROUND(+'10MI'!$E100,4)</f>
        <v>0.28029999999999999</v>
      </c>
      <c r="L95" s="55">
        <f>ROUND(+'20K'!$E100,4)</f>
        <v>0.27829999999999999</v>
      </c>
      <c r="M95" s="55">
        <f>ROUND(+H.Marathon!$E100,4)</f>
        <v>0.27779999999999999</v>
      </c>
      <c r="N95" s="55">
        <f>ROUND(+'25K'!$E100,4)</f>
        <v>0.26450000000000001</v>
      </c>
      <c r="O95" s="55">
        <f>ROUND(+'30K'!$E100,4)</f>
        <v>0.25009999999999999</v>
      </c>
      <c r="P95" s="55">
        <f>ROUND(+Marathon!$E100,4)</f>
        <v>0.2233</v>
      </c>
      <c r="Q95" s="55">
        <f>ROUND(+Marathon!$E100,4)</f>
        <v>0.2233</v>
      </c>
      <c r="R95" s="55">
        <f>ROUND(+Marathon!$E100,4)</f>
        <v>0.2233</v>
      </c>
      <c r="S95" s="55">
        <f>ROUND(+Marathon!$E100,4)</f>
        <v>0.2233</v>
      </c>
      <c r="T95" s="55">
        <f>ROUND(+Marathon!$E100,4)</f>
        <v>0.2233</v>
      </c>
      <c r="U95" s="55">
        <f>ROUND(+Marathon!$E100,4)</f>
        <v>0.2233</v>
      </c>
      <c r="V95" s="55">
        <f>ROUND(+Marathon!$E100,4)</f>
        <v>0.2233</v>
      </c>
      <c r="W95" s="47"/>
    </row>
    <row r="96" spans="1:23">
      <c r="A96" s="57">
        <v>95</v>
      </c>
      <c r="B96" s="58">
        <f>ROUND(+Mile!E101,4)</f>
        <v>0.33360000000000001</v>
      </c>
      <c r="C96" s="58">
        <f>ROUND(+'5K'!E101,4)</f>
        <v>0.3029</v>
      </c>
      <c r="D96" s="58">
        <f>ROUND(+'6K'!E101,4)</f>
        <v>0.29049999999999998</v>
      </c>
      <c r="E96" s="58">
        <f>ROUND(+'4MI'!E101,4)</f>
        <v>0.2858</v>
      </c>
      <c r="F96" s="58">
        <f>ROUND(+'8K'!$E101,4)</f>
        <v>0.27100000000000002</v>
      </c>
      <c r="G96" s="58">
        <f>ROUND(+'5MI'!E101,4)</f>
        <v>0.27060000000000001</v>
      </c>
      <c r="H96" s="58">
        <f>ROUND(+'10K'!$E101,4)</f>
        <v>0.25590000000000002</v>
      </c>
      <c r="I96" s="58">
        <f>ROUND(+'12K'!$E101,4)</f>
        <v>0.25490000000000002</v>
      </c>
      <c r="J96" s="58">
        <f>ROUND(+'15K'!$E101,4)</f>
        <v>0.25369999999999998</v>
      </c>
      <c r="K96" s="58">
        <f>ROUND(+'10MI'!$E101,4)</f>
        <v>0.25340000000000001</v>
      </c>
      <c r="L96" s="58">
        <f>ROUND(+'20K'!$E101,4)</f>
        <v>0.25219999999999998</v>
      </c>
      <c r="M96" s="58">
        <f>ROUND(+H.Marathon!$E101,4)</f>
        <v>0.25190000000000001</v>
      </c>
      <c r="N96" s="58">
        <f>ROUND(+'25K'!$E101,4)</f>
        <v>0.23710000000000001</v>
      </c>
      <c r="O96" s="58">
        <f>ROUND(+'30K'!$E101,4)</f>
        <v>0.22120000000000001</v>
      </c>
      <c r="P96" s="58">
        <f>ROUND(+Marathon!$E101,4)</f>
        <v>0.19139999999999999</v>
      </c>
      <c r="Q96" s="58">
        <f>ROUND(+Marathon!$E101,4)</f>
        <v>0.19139999999999999</v>
      </c>
      <c r="R96" s="58">
        <f>ROUND(+Marathon!$E101,4)</f>
        <v>0.19139999999999999</v>
      </c>
      <c r="S96" s="58">
        <f>ROUND(+Marathon!$E101,4)</f>
        <v>0.19139999999999999</v>
      </c>
      <c r="T96" s="58">
        <f>ROUND(+Marathon!$E101,4)</f>
        <v>0.19139999999999999</v>
      </c>
      <c r="U96" s="58">
        <f>ROUND(+Marathon!$E101,4)</f>
        <v>0.19139999999999999</v>
      </c>
      <c r="V96" s="58">
        <f>ROUND(+Marathon!$E101,4)</f>
        <v>0.19139999999999999</v>
      </c>
      <c r="W96" s="47"/>
    </row>
    <row r="97" spans="1:23">
      <c r="A97" s="49">
        <v>96</v>
      </c>
      <c r="B97" s="55">
        <f>ROUND(+Mile!E102,4)</f>
        <v>0.30790000000000001</v>
      </c>
      <c r="C97" s="55">
        <f>ROUND(+'5K'!E102,4)</f>
        <v>0.27829999999999999</v>
      </c>
      <c r="D97" s="55">
        <f>ROUND(+'6K'!E102,4)</f>
        <v>0.2646</v>
      </c>
      <c r="E97" s="55">
        <f>ROUND(+'4MI'!E102,4)</f>
        <v>0.25929999999999997</v>
      </c>
      <c r="F97" s="55">
        <f>ROUND(+'8K'!$E102,4)</f>
        <v>0.24299999999999999</v>
      </c>
      <c r="G97" s="55">
        <f>ROUND(+'5MI'!E102,4)</f>
        <v>0.24249999999999999</v>
      </c>
      <c r="H97" s="55">
        <f>ROUND(+'10K'!$E102,4)</f>
        <v>0.22620000000000001</v>
      </c>
      <c r="I97" s="56">
        <f>ROUND(+'12K'!$E102,4)</f>
        <v>0.22600000000000001</v>
      </c>
      <c r="J97" s="55">
        <f>ROUND(+'15K'!$E102,4)</f>
        <v>0.22570000000000001</v>
      </c>
      <c r="K97" s="55">
        <f>ROUND(+'10MI'!$E102,4)</f>
        <v>0.22559999999999999</v>
      </c>
      <c r="L97" s="55">
        <f>ROUND(+'20K'!$E102,4)</f>
        <v>0.22539999999999999</v>
      </c>
      <c r="M97" s="55">
        <f>ROUND(+H.Marathon!$E102,4)</f>
        <v>0.2253</v>
      </c>
      <c r="N97" s="55">
        <f>ROUND(+'25K'!$E102,4)</f>
        <v>0.2089</v>
      </c>
      <c r="O97" s="55">
        <f>ROUND(+'30K'!$E102,4)</f>
        <v>0.1913</v>
      </c>
      <c r="P97" s="55">
        <f>ROUND(+Marathon!$E102,4)</f>
        <v>0.15840000000000001</v>
      </c>
      <c r="Q97" s="55">
        <f>ROUND(+Marathon!$E102,4)</f>
        <v>0.15840000000000001</v>
      </c>
      <c r="R97" s="55">
        <f>ROUND(+Marathon!$E102,4)</f>
        <v>0.15840000000000001</v>
      </c>
      <c r="S97" s="55">
        <f>ROUND(+Marathon!$E102,4)</f>
        <v>0.15840000000000001</v>
      </c>
      <c r="T97" s="55">
        <f>ROUND(+Marathon!$E102,4)</f>
        <v>0.15840000000000001</v>
      </c>
      <c r="U97" s="55">
        <f>ROUND(+Marathon!$E102,4)</f>
        <v>0.15840000000000001</v>
      </c>
      <c r="V97" s="55">
        <f>ROUND(+Marathon!$E102,4)</f>
        <v>0.15840000000000001</v>
      </c>
      <c r="W97" s="47"/>
    </row>
    <row r="98" spans="1:23">
      <c r="A98" s="49">
        <v>97</v>
      </c>
      <c r="B98" s="55">
        <f>ROUND(+Mile!E103,4)</f>
        <v>0.28129999999999999</v>
      </c>
      <c r="C98" s="55">
        <f>ROUND(+'5K'!E103,4)</f>
        <v>0.253</v>
      </c>
      <c r="D98" s="55">
        <f>ROUND(+'6K'!E103,4)</f>
        <v>0.2379</v>
      </c>
      <c r="E98" s="55">
        <f>ROUND(+'4MI'!E103,4)</f>
        <v>0.23200000000000001</v>
      </c>
      <c r="F98" s="55">
        <f>ROUND(+'8K'!$E103,4)</f>
        <v>0.214</v>
      </c>
      <c r="G98" s="55">
        <f>ROUND(+'5MI'!E103,4)</f>
        <v>0.2135</v>
      </c>
      <c r="H98" s="55">
        <f>ROUND(+'10K'!$E103,4)</f>
        <v>0.19550000000000001</v>
      </c>
      <c r="I98" s="56">
        <f>ROUND(+'12K'!$E103,4)</f>
        <v>0.1961</v>
      </c>
      <c r="J98" s="55">
        <f>ROUND(+'15K'!$E103,4)</f>
        <v>0.1968</v>
      </c>
      <c r="K98" s="55">
        <f>ROUND(+'10MI'!$E103,4)</f>
        <v>0.19700000000000001</v>
      </c>
      <c r="L98" s="55">
        <f>ROUND(+'20K'!$E103,4)</f>
        <v>0.19769999999999999</v>
      </c>
      <c r="M98" s="55">
        <f>ROUND(+H.Marathon!$E103,4)</f>
        <v>0.19789999999999999</v>
      </c>
      <c r="N98" s="55">
        <f>ROUND(+'25K'!$E103,4)</f>
        <v>0.1799</v>
      </c>
      <c r="O98" s="55">
        <f>ROUND(+'30K'!$E103,4)</f>
        <v>0.1605</v>
      </c>
      <c r="P98" s="55">
        <f>ROUND(+Marathon!$E103,4)</f>
        <v>0.12429999999999999</v>
      </c>
      <c r="Q98" s="55">
        <f>ROUND(+Marathon!$E103,4)</f>
        <v>0.12429999999999999</v>
      </c>
      <c r="R98" s="55">
        <f>ROUND(+Marathon!$E103,4)</f>
        <v>0.12429999999999999</v>
      </c>
      <c r="S98" s="55">
        <f>ROUND(+Marathon!$E103,4)</f>
        <v>0.12429999999999999</v>
      </c>
      <c r="T98" s="55">
        <f>ROUND(+Marathon!$E103,4)</f>
        <v>0.12429999999999999</v>
      </c>
      <c r="U98" s="55">
        <f>ROUND(+Marathon!$E103,4)</f>
        <v>0.12429999999999999</v>
      </c>
      <c r="V98" s="55">
        <f>ROUND(+Marathon!$E103,4)</f>
        <v>0.12429999999999999</v>
      </c>
      <c r="W98" s="47"/>
    </row>
    <row r="99" spans="1:23">
      <c r="A99" s="49">
        <v>98</v>
      </c>
      <c r="B99" s="55">
        <f>ROUND(+Mile!E104,4)</f>
        <v>0.25369999999999998</v>
      </c>
      <c r="C99" s="55">
        <f>ROUND(+'5K'!E104,4)</f>
        <v>0.22689999999999999</v>
      </c>
      <c r="D99" s="55">
        <f>ROUND(+'6K'!E104,4)</f>
        <v>0.21029999999999999</v>
      </c>
      <c r="E99" s="55">
        <f>ROUND(+'4MI'!E104,4)</f>
        <v>0.2039</v>
      </c>
      <c r="F99" s="55">
        <f>ROUND(+'8K'!$E104,4)</f>
        <v>0.18410000000000001</v>
      </c>
      <c r="G99" s="55">
        <f>ROUND(+'5MI'!E104,4)</f>
        <v>0.18360000000000001</v>
      </c>
      <c r="H99" s="55">
        <f>ROUND(+'10K'!$E104,4)</f>
        <v>0.1638</v>
      </c>
      <c r="I99" s="56">
        <f>ROUND(+'12K'!$E104,4)</f>
        <v>0.16520000000000001</v>
      </c>
      <c r="J99" s="55">
        <f>ROUND(+'15K'!$E104,4)</f>
        <v>0.16700000000000001</v>
      </c>
      <c r="K99" s="55">
        <f>ROUND(+'10MI'!$E104,4)</f>
        <v>0.16750000000000001</v>
      </c>
      <c r="L99" s="55">
        <f>ROUND(+'20K'!$E104,4)</f>
        <v>0.16919999999999999</v>
      </c>
      <c r="M99" s="55">
        <f>ROUND(+H.Marathon!$E104,4)</f>
        <v>0.1696</v>
      </c>
      <c r="N99" s="55">
        <f>ROUND(+'25K'!$E104,4)</f>
        <v>0.14990000000000001</v>
      </c>
      <c r="O99" s="55">
        <f>ROUND(+'30K'!$E104,4)</f>
        <v>0.12870000000000001</v>
      </c>
      <c r="P99" s="55">
        <f>ROUND(+Marathon!$E104,4)</f>
        <v>8.9099999999999999E-2</v>
      </c>
      <c r="Q99" s="55">
        <f>ROUND(+Marathon!$E104,4)</f>
        <v>8.9099999999999999E-2</v>
      </c>
      <c r="R99" s="55">
        <f>ROUND(+Marathon!$E104,4)</f>
        <v>8.9099999999999999E-2</v>
      </c>
      <c r="S99" s="55">
        <f>ROUND(+Marathon!$E104,4)</f>
        <v>8.9099999999999999E-2</v>
      </c>
      <c r="T99" s="55">
        <f>ROUND(+Marathon!$E104,4)</f>
        <v>8.9099999999999999E-2</v>
      </c>
      <c r="U99" s="55">
        <f>ROUND(+Marathon!$E104,4)</f>
        <v>8.9099999999999999E-2</v>
      </c>
      <c r="V99" s="55">
        <f>ROUND(+Marathon!$E104,4)</f>
        <v>8.9099999999999999E-2</v>
      </c>
      <c r="W99" s="47"/>
    </row>
    <row r="100" spans="1:23">
      <c r="A100" s="49">
        <v>99</v>
      </c>
      <c r="B100" s="55">
        <f>ROUND(+Mile!E105,4)</f>
        <v>0.22520000000000001</v>
      </c>
      <c r="C100" s="55">
        <f>ROUND(+'5K'!E105,4)</f>
        <v>0.2</v>
      </c>
      <c r="D100" s="55">
        <f>ROUND(+'6K'!E105,4)</f>
        <v>0.18190000000000001</v>
      </c>
      <c r="E100" s="55">
        <f>ROUND(+'4MI'!E105,4)</f>
        <v>0.1749</v>
      </c>
      <c r="F100" s="55">
        <f>ROUND(+'8K'!$E105,4)</f>
        <v>0.15329999999999999</v>
      </c>
      <c r="G100" s="55">
        <f>ROUND(+'5MI'!E105,4)</f>
        <v>0.1527</v>
      </c>
      <c r="H100" s="55">
        <f>ROUND(+'10K'!$E105,4)</f>
        <v>0.13109999999999999</v>
      </c>
      <c r="I100" s="56">
        <f>ROUND(+'12K'!$E105,4)</f>
        <v>0.13339999999999999</v>
      </c>
      <c r="J100" s="55">
        <f>ROUND(+'15K'!$E105,4)</f>
        <v>0.1363</v>
      </c>
      <c r="K100" s="55">
        <f>ROUND(+'10MI'!$E105,4)</f>
        <v>0.13719999999999999</v>
      </c>
      <c r="L100" s="55">
        <f>ROUND(+'20K'!$E105,4)</f>
        <v>0.1399</v>
      </c>
      <c r="M100" s="55">
        <f>ROUND(+H.Marathon!$E105,4)</f>
        <v>0.1406</v>
      </c>
      <c r="N100" s="55">
        <f>ROUND(+'25K'!$E105,4)</f>
        <v>0.1191</v>
      </c>
      <c r="O100" s="55">
        <f>ROUND(+'30K'!$E105,4)</f>
        <v>9.6000000000000002E-2</v>
      </c>
      <c r="P100" s="55">
        <f>ROUND(+Marathon!$E105,4)</f>
        <v>5.28E-2</v>
      </c>
      <c r="Q100" s="55">
        <f>ROUND(+Marathon!$E105,4)</f>
        <v>5.28E-2</v>
      </c>
      <c r="R100" s="55">
        <f>ROUND(+Marathon!$E105,4)</f>
        <v>5.28E-2</v>
      </c>
      <c r="S100" s="55">
        <f>ROUND(+Marathon!$E105,4)</f>
        <v>5.28E-2</v>
      </c>
      <c r="T100" s="55">
        <f>ROUND(+Marathon!$E105,4)</f>
        <v>5.28E-2</v>
      </c>
      <c r="U100" s="55">
        <f>ROUND(+Marathon!$E105,4)</f>
        <v>5.28E-2</v>
      </c>
      <c r="V100" s="55">
        <f>ROUND(+Marathon!$E105,4)</f>
        <v>5.28E-2</v>
      </c>
      <c r="W100" s="47"/>
    </row>
    <row r="101" spans="1:23" ht="15.75" thickBot="1">
      <c r="A101" s="146">
        <v>100</v>
      </c>
      <c r="B101" s="146">
        <f>ROUND(+Mile!E106,4)</f>
        <v>0.1958</v>
      </c>
      <c r="C101" s="58">
        <f>ROUND(+'5K'!E106,4)</f>
        <v>0.17230000000000001</v>
      </c>
      <c r="D101" s="58">
        <f>ROUND(+'6K'!E106,4)</f>
        <v>0.15260000000000001</v>
      </c>
      <c r="E101" s="58">
        <f>ROUND(+'4MI'!E106,4)</f>
        <v>0.14499999999999999</v>
      </c>
      <c r="F101" s="58">
        <f>ROUND(+'8K'!$E106,4)</f>
        <v>0.12139999999999999</v>
      </c>
      <c r="G101" s="58">
        <f>ROUND(+'5MI'!E106,4)</f>
        <v>0.1208</v>
      </c>
      <c r="H101" s="58">
        <f>ROUND(+'10K'!$E106,4)</f>
        <v>9.7299999999999998E-2</v>
      </c>
      <c r="I101" s="58">
        <f>ROUND(+'12K'!$E106,4)</f>
        <v>0.10059999999999999</v>
      </c>
      <c r="J101" s="58">
        <f>ROUND(+'15K'!$E106,4)</f>
        <v>0.1046</v>
      </c>
      <c r="K101" s="58">
        <f>ROUND(+'10MI'!$E106,4)</f>
        <v>0.10589999999999999</v>
      </c>
      <c r="L101" s="58">
        <f>ROUND(+'20K'!$E106,4)</f>
        <v>0.10979999999999999</v>
      </c>
      <c r="M101" s="58">
        <f>ROUND(+H.Marathon!$E106,4)</f>
        <v>0.1108</v>
      </c>
      <c r="N101" s="58">
        <f>ROUND(+'25K'!$E106,4)</f>
        <v>8.7400000000000005E-2</v>
      </c>
      <c r="O101" s="58">
        <f>ROUND(+'30K'!$E106,4)</f>
        <v>6.2300000000000001E-2</v>
      </c>
      <c r="P101" s="58">
        <f>ROUND(+Marathon!$E106,4)</f>
        <v>1.54E-2</v>
      </c>
      <c r="Q101" s="58">
        <f>ROUND(+Marathon!$E106,4)</f>
        <v>1.54E-2</v>
      </c>
      <c r="R101" s="58">
        <f>ROUND(+Marathon!$E106,4)</f>
        <v>1.54E-2</v>
      </c>
      <c r="S101" s="58">
        <f>ROUND(+Marathon!$E106,4)</f>
        <v>1.54E-2</v>
      </c>
      <c r="T101" s="58">
        <f>ROUND(+Marathon!$E106,4)</f>
        <v>1.54E-2</v>
      </c>
      <c r="U101" s="58">
        <f>ROUND(+Marathon!$E106,4)</f>
        <v>1.54E-2</v>
      </c>
      <c r="V101" s="58">
        <f>ROUND(+Marathon!$E106,4)</f>
        <v>1.54E-2</v>
      </c>
      <c r="W101" s="47"/>
    </row>
    <row r="102" spans="1:23" ht="15.75">
      <c r="A102" s="162" t="s">
        <v>1803</v>
      </c>
      <c r="B102" s="31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3">
      <c r="A103" s="163" t="s">
        <v>960</v>
      </c>
      <c r="B103" s="141"/>
    </row>
    <row r="104" spans="1:23" ht="15.75">
      <c r="A104" s="164" t="s">
        <v>2384</v>
      </c>
      <c r="B104" s="142"/>
    </row>
    <row r="105" spans="1:23" ht="15.75">
      <c r="A105" s="164" t="s">
        <v>1802</v>
      </c>
      <c r="B105" s="143"/>
    </row>
    <row r="106" spans="1:23" ht="15.75">
      <c r="A106" s="164" t="s">
        <v>956</v>
      </c>
      <c r="B106" s="144"/>
    </row>
    <row r="107" spans="1:23" ht="15.75">
      <c r="B107" s="145"/>
    </row>
    <row r="108" spans="1:23" ht="15.75">
      <c r="A108" s="164"/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FBEB-8F2B-4A16-BD01-4477E3A3F48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8"/>
  <sheetViews>
    <sheetView zoomScale="87" zoomScaleNormal="87" workbookViewId="0">
      <selection sqref="A1:V106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24" thickBot="1">
      <c r="A1" s="44" t="s">
        <v>1805</v>
      </c>
      <c r="B1" s="44"/>
    </row>
    <row r="2" spans="1:23" ht="15.75" thickBot="1">
      <c r="A2" s="45" t="s">
        <v>70</v>
      </c>
      <c r="B2" s="150" t="s">
        <v>957</v>
      </c>
      <c r="C2" s="46" t="s">
        <v>126</v>
      </c>
      <c r="D2" s="46" t="s">
        <v>127</v>
      </c>
      <c r="E2" s="46" t="s">
        <v>128</v>
      </c>
      <c r="F2" s="46" t="s">
        <v>129</v>
      </c>
      <c r="G2" s="46" t="s">
        <v>130</v>
      </c>
      <c r="H2" s="46" t="s">
        <v>131</v>
      </c>
      <c r="I2" s="46" t="s">
        <v>132</v>
      </c>
      <c r="J2" s="46" t="s">
        <v>133</v>
      </c>
      <c r="K2" s="46" t="s">
        <v>134</v>
      </c>
      <c r="L2" s="46" t="s">
        <v>135</v>
      </c>
      <c r="M2" s="46" t="s">
        <v>9</v>
      </c>
      <c r="N2" s="46" t="s">
        <v>136</v>
      </c>
      <c r="O2" s="46" t="s">
        <v>137</v>
      </c>
      <c r="P2" s="46" t="s">
        <v>10</v>
      </c>
      <c r="Q2" s="46" t="s">
        <v>98</v>
      </c>
      <c r="R2" s="46" t="s">
        <v>138</v>
      </c>
      <c r="S2" s="46" t="s">
        <v>139</v>
      </c>
      <c r="T2" s="46" t="s">
        <v>140</v>
      </c>
      <c r="U2" s="46" t="s">
        <v>141</v>
      </c>
      <c r="V2" s="46" t="s">
        <v>142</v>
      </c>
      <c r="W2" s="47"/>
    </row>
    <row r="3" spans="1:23">
      <c r="A3" s="45" t="s">
        <v>0</v>
      </c>
      <c r="B3" s="151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6">
        <f>Parameters!B19</f>
        <v>12</v>
      </c>
      <c r="J3" s="46">
        <f>Parameters!B20</f>
        <v>15</v>
      </c>
      <c r="K3" s="46">
        <f>Parameters!B21</f>
        <v>16.093440000000001</v>
      </c>
      <c r="L3" s="46">
        <f>Parameters!B22</f>
        <v>20</v>
      </c>
      <c r="M3" s="46">
        <f>Parameters!B23</f>
        <v>21.0975</v>
      </c>
      <c r="N3" s="46">
        <f>Parameters!B24</f>
        <v>25</v>
      </c>
      <c r="O3" s="46">
        <f>Parameters!B25</f>
        <v>30</v>
      </c>
      <c r="P3" s="46">
        <f>Parameters!B26</f>
        <v>42.195</v>
      </c>
      <c r="Q3" s="48">
        <f>Parameters!$B27</f>
        <v>50</v>
      </c>
      <c r="R3" s="48">
        <f>Parameters!$B28</f>
        <v>80.467200000000005</v>
      </c>
      <c r="S3" s="48">
        <f>Parameters!$B29</f>
        <v>100</v>
      </c>
      <c r="T3" s="48">
        <f>Parameters!$B30</f>
        <v>150</v>
      </c>
      <c r="U3" s="48">
        <f>Parameters!$B31</f>
        <v>160.93440000000001</v>
      </c>
      <c r="V3" s="48">
        <f>Parameters!$B32</f>
        <v>200</v>
      </c>
      <c r="W3" s="47"/>
    </row>
    <row r="4" spans="1:23">
      <c r="A4" s="49" t="s">
        <v>124</v>
      </c>
      <c r="B4" s="152">
        <v>253</v>
      </c>
      <c r="C4" s="50">
        <f>'5K'!$E$5</f>
        <v>853</v>
      </c>
      <c r="D4" s="50">
        <f>'6K'!$E$5</f>
        <v>1026</v>
      </c>
      <c r="E4" s="50">
        <f>'4MI'!$E$5</f>
        <v>1103</v>
      </c>
      <c r="F4" s="50">
        <f>'8K'!$E$5</f>
        <v>1375</v>
      </c>
      <c r="G4" s="50">
        <f>'5MI'!$E$5</f>
        <v>1385</v>
      </c>
      <c r="H4" s="50">
        <f>'10K'!$E$5</f>
        <v>1726.0000000000002</v>
      </c>
      <c r="I4" s="50">
        <f>'12K'!$E$5</f>
        <v>2084</v>
      </c>
      <c r="J4" s="50">
        <f>'15K'!$E$5</f>
        <v>2629</v>
      </c>
      <c r="K4" s="50">
        <f>'10MI'!$E$5</f>
        <v>2832</v>
      </c>
      <c r="L4" s="50">
        <f>'20K'!$E$5</f>
        <v>3570</v>
      </c>
      <c r="M4" s="50">
        <f>H.Marathon!$E$5</f>
        <v>3772</v>
      </c>
      <c r="N4" s="50">
        <f>'25K'!$E$5</f>
        <v>4500</v>
      </c>
      <c r="O4" s="50">
        <f>'30K'!$E$5</f>
        <v>5450.0000000000009</v>
      </c>
      <c r="P4" s="50">
        <f>Marathon!$E$5</f>
        <v>7796</v>
      </c>
      <c r="Q4" s="50">
        <f>Parameters!$H27</f>
        <v>9390</v>
      </c>
      <c r="R4" s="50">
        <f>Parameters!$H28</f>
        <v>17100</v>
      </c>
      <c r="S4" s="50">
        <f>Parameters!$H29</f>
        <v>23590.999999999996</v>
      </c>
      <c r="T4" s="50">
        <f>Parameters!$H30</f>
        <v>39700</v>
      </c>
      <c r="U4" s="50">
        <f>Parameters!$H31</f>
        <v>43500</v>
      </c>
      <c r="V4" s="50">
        <f>Parameters!$H32</f>
        <v>57600</v>
      </c>
      <c r="W4" s="47"/>
    </row>
    <row r="5" spans="1:23" ht="15.75" thickBot="1">
      <c r="A5" s="49" t="s">
        <v>125</v>
      </c>
      <c r="B5" s="51">
        <f t="shared" ref="B5:V5" si="0">B4/86400</f>
        <v>2.9282407407407408E-3</v>
      </c>
      <c r="C5" s="51">
        <f t="shared" si="0"/>
        <v>9.8726851851851857E-3</v>
      </c>
      <c r="D5" s="51">
        <f t="shared" si="0"/>
        <v>1.1875E-2</v>
      </c>
      <c r="E5" s="51">
        <f t="shared" si="0"/>
        <v>1.2766203703703703E-2</v>
      </c>
      <c r="F5" s="51">
        <f t="shared" si="0"/>
        <v>1.5914351851851853E-2</v>
      </c>
      <c r="G5" s="51">
        <f t="shared" si="0"/>
        <v>1.6030092592592592E-2</v>
      </c>
      <c r="H5" s="51">
        <f t="shared" si="0"/>
        <v>1.9976851851851853E-2</v>
      </c>
      <c r="I5" s="51">
        <f t="shared" si="0"/>
        <v>2.4120370370370372E-2</v>
      </c>
      <c r="J5" s="51">
        <f t="shared" si="0"/>
        <v>3.0428240740740742E-2</v>
      </c>
      <c r="K5" s="51">
        <f t="shared" si="0"/>
        <v>3.2777777777777781E-2</v>
      </c>
      <c r="L5" s="51">
        <f t="shared" si="0"/>
        <v>4.1319444444444443E-2</v>
      </c>
      <c r="M5" s="51">
        <f t="shared" si="0"/>
        <v>4.3657407407407409E-2</v>
      </c>
      <c r="N5" s="51">
        <f t="shared" si="0"/>
        <v>5.2083333333333336E-2</v>
      </c>
      <c r="O5" s="51">
        <f t="shared" si="0"/>
        <v>6.307870370370372E-2</v>
      </c>
      <c r="P5" s="51">
        <f t="shared" si="0"/>
        <v>9.0231481481481482E-2</v>
      </c>
      <c r="Q5" s="51">
        <f t="shared" si="0"/>
        <v>0.10868055555555556</v>
      </c>
      <c r="R5" s="51">
        <f t="shared" si="0"/>
        <v>0.19791666666666666</v>
      </c>
      <c r="S5" s="51">
        <f t="shared" si="0"/>
        <v>0.27304398148148146</v>
      </c>
      <c r="T5" s="51">
        <f t="shared" si="0"/>
        <v>0.45949074074074076</v>
      </c>
      <c r="U5" s="51">
        <f t="shared" si="0"/>
        <v>0.50347222222222221</v>
      </c>
      <c r="V5" s="51">
        <f t="shared" si="0"/>
        <v>0.66666666666666663</v>
      </c>
      <c r="W5" s="47"/>
    </row>
    <row r="6" spans="1:23">
      <c r="A6" s="53">
        <v>5</v>
      </c>
      <c r="B6" s="59">
        <f>ROUND(+B$4/+'Age Factors'!B6,0)</f>
        <v>350</v>
      </c>
      <c r="C6" s="59">
        <f>ROUND(+C$4/+'Age Factors'!C6,0)</f>
        <v>1193</v>
      </c>
      <c r="D6" s="60">
        <f>ROUND(+D$4/+'Age Factors'!D6,0)</f>
        <v>1478</v>
      </c>
      <c r="E6" s="60">
        <f>ROUND(+E$4/+'5K'!$E11,0)</f>
        <v>1542</v>
      </c>
      <c r="F6" s="60">
        <f>ROUND(+F$4/+'5K'!$E11,0)</f>
        <v>1922</v>
      </c>
      <c r="G6" s="60">
        <f>ROUND(+G$4/+'5K'!$E11,0)</f>
        <v>1936</v>
      </c>
      <c r="H6" s="60">
        <f>ROUND(+H$4/+'5K'!$E11,0)</f>
        <v>2413</v>
      </c>
      <c r="I6" s="60">
        <f>ROUND(+I$4/+'5K'!$E11,0)</f>
        <v>2913</v>
      </c>
      <c r="J6" s="60">
        <f>ROUND(+J$4/+'5K'!$E11,0)</f>
        <v>3675</v>
      </c>
      <c r="K6" s="60">
        <f>ROUND(+K$4/+'5K'!$E11,0)</f>
        <v>3959</v>
      </c>
      <c r="L6" s="60">
        <f>ROUND(+L$4/+'5K'!$E11,0)</f>
        <v>4991</v>
      </c>
      <c r="M6" s="60">
        <f>ROUND(+M$4/+'5K'!$E11,0)</f>
        <v>5273</v>
      </c>
      <c r="N6" s="60">
        <f>ROUND(+N$4/+'5K'!$E11,0)</f>
        <v>6291</v>
      </c>
      <c r="O6" s="60">
        <f>ROUND(+O$4/+'5K'!$E11,0)</f>
        <v>7619</v>
      </c>
      <c r="P6" s="60">
        <f>ROUND(+P$4/+'5K'!$E11,0)</f>
        <v>10899</v>
      </c>
      <c r="Q6" s="60">
        <f>ROUND(+Q$4/+'5K'!$E11,0)</f>
        <v>13127</v>
      </c>
      <c r="R6" s="60">
        <f>ROUND(+R$4/+'5K'!$E11,0)</f>
        <v>23906</v>
      </c>
      <c r="S6" s="60">
        <f>ROUND(+S$4/+'5K'!$E11,0)</f>
        <v>32981</v>
      </c>
      <c r="T6" s="60">
        <f>ROUND(+T$4/+'5K'!$E11,0)</f>
        <v>55501</v>
      </c>
      <c r="U6" s="60">
        <f>ROUND(+U$4/+'5K'!$E11,0)</f>
        <v>60814</v>
      </c>
      <c r="V6" s="60">
        <f>ROUND(+V$4/+'5K'!$E11,0)</f>
        <v>80526</v>
      </c>
      <c r="W6" s="47"/>
    </row>
    <row r="7" spans="1:23">
      <c r="A7" s="49">
        <v>6</v>
      </c>
      <c r="B7" s="50">
        <f>ROUND(+B$4/+'Age Factors'!B7,0)</f>
        <v>337</v>
      </c>
      <c r="C7" s="50">
        <f>ROUND(+C$4/+'Age Factors'!C7,0)</f>
        <v>1147</v>
      </c>
      <c r="D7" s="50">
        <f>ROUND(+D$4/+'Age Factors'!D7,0)</f>
        <v>1416</v>
      </c>
      <c r="E7" s="50">
        <f>ROUND(+E$4/+'Age Factors'!E7,0)</f>
        <v>1538</v>
      </c>
      <c r="F7" s="50">
        <f>ROUND(+F$4/+'Age Factors'!F7,0)</f>
        <v>1980</v>
      </c>
      <c r="G7" s="50">
        <f>ROUND(+G$4/+'Age Factors'!G7,0)</f>
        <v>1996</v>
      </c>
      <c r="H7" s="50">
        <f>ROUND(+H$4/+'Age Factors'!H7,0)</f>
        <v>2572</v>
      </c>
      <c r="I7" s="50">
        <f>ROUND(+I$4/+'Age Factors'!I7,0)</f>
        <v>3182</v>
      </c>
      <c r="J7" s="50">
        <f>ROUND(+J$4/+'Age Factors'!J7,0)</f>
        <v>4138</v>
      </c>
      <c r="K7" s="50">
        <f>ROUND(+K$4/+'Age Factors'!K7,0)</f>
        <v>4502</v>
      </c>
      <c r="L7" s="50">
        <f>ROUND(+L$4/+'Age Factors'!L7,0)</f>
        <v>5853</v>
      </c>
      <c r="M7" s="50">
        <f>ROUND(+M$4/+'Age Factors'!M7,0)</f>
        <v>6233</v>
      </c>
      <c r="N7" s="50">
        <f>ROUND(+N$4/+'Age Factors'!N7,0)</f>
        <v>7490</v>
      </c>
      <c r="O7" s="50">
        <f>ROUND(+O$4/+'Age Factors'!O7,0)</f>
        <v>9141</v>
      </c>
      <c r="P7" s="50">
        <f>ROUND(+P$4/+'Age Factors'!P7,0)</f>
        <v>13272</v>
      </c>
      <c r="Q7" s="50">
        <f>ROUND(+Q$4/+'Age Factors'!Q7,0)</f>
        <v>15986</v>
      </c>
      <c r="R7" s="50">
        <f>ROUND(+R$4/+'Age Factors'!R7,0)</f>
        <v>29111</v>
      </c>
      <c r="S7" s="50">
        <f>ROUND(+S$4/+'Age Factors'!S7,0)</f>
        <v>40162</v>
      </c>
      <c r="T7" s="50">
        <f>ROUND(+T$4/+'Age Factors'!T7,0)</f>
        <v>67586</v>
      </c>
      <c r="U7" s="50">
        <f>ROUND(+U$4/+'Age Factors'!U7,0)</f>
        <v>74055</v>
      </c>
      <c r="V7" s="50">
        <f>ROUND(+V$4/+'Age Factors'!V7,0)</f>
        <v>98059</v>
      </c>
      <c r="W7" s="47"/>
    </row>
    <row r="8" spans="1:23">
      <c r="A8" s="49">
        <v>7</v>
      </c>
      <c r="B8" s="50">
        <f>ROUND(+B$4/+'Age Factors'!B8,0)</f>
        <v>325</v>
      </c>
      <c r="C8" s="50">
        <f>ROUND(+C$4/+'Age Factors'!C8,0)</f>
        <v>1108</v>
      </c>
      <c r="D8" s="50">
        <f>ROUND(+D$4/+'Age Factors'!D8,0)</f>
        <v>1363</v>
      </c>
      <c r="E8" s="50">
        <f>ROUND(+E$4/+'Age Factors'!E8,0)</f>
        <v>1478</v>
      </c>
      <c r="F8" s="50">
        <f>ROUND(+F$4/+'Age Factors'!F8,0)</f>
        <v>1893</v>
      </c>
      <c r="G8" s="50">
        <f>ROUND(+G$4/+'Age Factors'!G8,0)</f>
        <v>1909</v>
      </c>
      <c r="H8" s="50">
        <f>ROUND(+H$4/+'Age Factors'!H8,0)</f>
        <v>2446</v>
      </c>
      <c r="I8" s="50">
        <f>ROUND(+I$4/+'Age Factors'!I8,0)</f>
        <v>3017</v>
      </c>
      <c r="J8" s="50">
        <f>ROUND(+J$4/+'Age Factors'!J8,0)</f>
        <v>3909</v>
      </c>
      <c r="K8" s="50">
        <f>ROUND(+K$4/+'Age Factors'!K8,0)</f>
        <v>4247</v>
      </c>
      <c r="L8" s="50">
        <f>ROUND(+L$4/+'Age Factors'!L8,0)</f>
        <v>5500</v>
      </c>
      <c r="M8" s="50">
        <f>ROUND(+M$4/+'Age Factors'!M8,0)</f>
        <v>5850</v>
      </c>
      <c r="N8" s="50">
        <f>ROUND(+N$4/+'Age Factors'!N8,0)</f>
        <v>7016</v>
      </c>
      <c r="O8" s="50">
        <f>ROUND(+O$4/+'Age Factors'!O8,0)</f>
        <v>8545</v>
      </c>
      <c r="P8" s="50">
        <f>ROUND(+P$4/+'Age Factors'!P8,0)</f>
        <v>12353</v>
      </c>
      <c r="Q8" s="50">
        <f>ROUND(+Q$4/+'Age Factors'!Q8,0)</f>
        <v>14879</v>
      </c>
      <c r="R8" s="50">
        <f>ROUND(+R$4/+'Age Factors'!R8,0)</f>
        <v>27096</v>
      </c>
      <c r="S8" s="50">
        <f>ROUND(+S$4/+'Age Factors'!S8,0)</f>
        <v>37381</v>
      </c>
      <c r="T8" s="50">
        <f>ROUND(+T$4/+'Age Factors'!T8,0)</f>
        <v>62906</v>
      </c>
      <c r="U8" s="50">
        <f>ROUND(+U$4/+'Age Factors'!U8,0)</f>
        <v>68927</v>
      </c>
      <c r="V8" s="50">
        <f>ROUND(+V$4/+'Age Factors'!V8,0)</f>
        <v>91269</v>
      </c>
      <c r="W8" s="47"/>
    </row>
    <row r="9" spans="1:23">
      <c r="A9" s="49">
        <v>8</v>
      </c>
      <c r="B9" s="50">
        <f>ROUND(+B$4/+'Age Factors'!B9,0)</f>
        <v>314</v>
      </c>
      <c r="C9" s="50">
        <f>ROUND(+C$4/+'Age Factors'!C9,0)</f>
        <v>1073</v>
      </c>
      <c r="D9" s="50">
        <f>ROUND(+D$4/+'Age Factors'!D9,0)</f>
        <v>1315</v>
      </c>
      <c r="E9" s="50">
        <f>ROUND(+E$4/+'Age Factors'!E9,0)</f>
        <v>1425</v>
      </c>
      <c r="F9" s="50">
        <f>ROUND(+F$4/+'Age Factors'!F9,0)</f>
        <v>1818</v>
      </c>
      <c r="G9" s="50">
        <f>ROUND(+G$4/+'Age Factors'!G9,0)</f>
        <v>1832</v>
      </c>
      <c r="H9" s="50">
        <f>ROUND(+H$4/+'Age Factors'!H9,0)</f>
        <v>2338</v>
      </c>
      <c r="I9" s="50">
        <f>ROUND(+I$4/+'Age Factors'!I9,0)</f>
        <v>2876</v>
      </c>
      <c r="J9" s="50">
        <f>ROUND(+J$4/+'Age Factors'!J9,0)</f>
        <v>3714</v>
      </c>
      <c r="K9" s="50">
        <f>ROUND(+K$4/+'Age Factors'!K9,0)</f>
        <v>4031</v>
      </c>
      <c r="L9" s="50">
        <f>ROUND(+L$4/+'Age Factors'!L9,0)</f>
        <v>5202</v>
      </c>
      <c r="M9" s="50">
        <f>ROUND(+M$4/+'Age Factors'!M9,0)</f>
        <v>5528</v>
      </c>
      <c r="N9" s="50">
        <f>ROUND(+N$4/+'Age Factors'!N9,0)</f>
        <v>6621</v>
      </c>
      <c r="O9" s="50">
        <f>ROUND(+O$4/+'Age Factors'!O9,0)</f>
        <v>8050</v>
      </c>
      <c r="P9" s="50">
        <f>ROUND(+P$4/+'Age Factors'!P9,0)</f>
        <v>11605</v>
      </c>
      <c r="Q9" s="50">
        <f>ROUND(+Q$4/+'Age Factors'!Q9,0)</f>
        <v>13977</v>
      </c>
      <c r="R9" s="50">
        <f>ROUND(+R$4/+'Age Factors'!R9,0)</f>
        <v>25454</v>
      </c>
      <c r="S9" s="50">
        <f>ROUND(+S$4/+'Age Factors'!S9,0)</f>
        <v>35116</v>
      </c>
      <c r="T9" s="50">
        <f>ROUND(+T$4/+'Age Factors'!T9,0)</f>
        <v>59095</v>
      </c>
      <c r="U9" s="50">
        <f>ROUND(+U$4/+'Age Factors'!U9,0)</f>
        <v>64751</v>
      </c>
      <c r="V9" s="50">
        <f>ROUND(+V$4/+'Age Factors'!V9,0)</f>
        <v>85740</v>
      </c>
      <c r="W9" s="47"/>
    </row>
    <row r="10" spans="1:23">
      <c r="A10" s="49">
        <v>9</v>
      </c>
      <c r="B10" s="50">
        <f>ROUND(+B$4/+'Age Factors'!B10,0)</f>
        <v>305</v>
      </c>
      <c r="C10" s="50">
        <f>ROUND(+C$4/+'Age Factors'!C10,0)</f>
        <v>1042</v>
      </c>
      <c r="D10" s="50">
        <f>ROUND(+D$4/+'Age Factors'!D10,0)</f>
        <v>1274</v>
      </c>
      <c r="E10" s="50">
        <f>ROUND(+E$4/+'Age Factors'!E10,0)</f>
        <v>1378</v>
      </c>
      <c r="F10" s="50">
        <f>ROUND(+F$4/+'Age Factors'!F10,0)</f>
        <v>1752</v>
      </c>
      <c r="G10" s="50">
        <f>ROUND(+G$4/+'Age Factors'!G10,0)</f>
        <v>1765</v>
      </c>
      <c r="H10" s="50">
        <f>ROUND(+H$4/+'Age Factors'!H10,0)</f>
        <v>2245</v>
      </c>
      <c r="I10" s="50">
        <f>ROUND(+I$4/+'Age Factors'!I10,0)</f>
        <v>2756</v>
      </c>
      <c r="J10" s="50">
        <f>ROUND(+J$4/+'Age Factors'!J10,0)</f>
        <v>3547</v>
      </c>
      <c r="K10" s="50">
        <f>ROUND(+K$4/+'Age Factors'!K10,0)</f>
        <v>3846</v>
      </c>
      <c r="L10" s="50">
        <f>ROUND(+L$4/+'Age Factors'!L10,0)</f>
        <v>4949</v>
      </c>
      <c r="M10" s="50">
        <f>ROUND(+M$4/+'Age Factors'!M10,0)</f>
        <v>5255</v>
      </c>
      <c r="N10" s="50">
        <f>ROUND(+N$4/+'Age Factors'!N10,0)</f>
        <v>6288</v>
      </c>
      <c r="O10" s="50">
        <f>ROUND(+O$4/+'Age Factors'!O10,0)</f>
        <v>7638</v>
      </c>
      <c r="P10" s="50">
        <f>ROUND(+P$4/+'Age Factors'!P10,0)</f>
        <v>10991</v>
      </c>
      <c r="Q10" s="50">
        <f>ROUND(+Q$4/+'Age Factors'!Q10,0)</f>
        <v>13238</v>
      </c>
      <c r="R10" s="50">
        <f>ROUND(+R$4/+'Age Factors'!R10,0)</f>
        <v>24108</v>
      </c>
      <c r="S10" s="50">
        <f>ROUND(+S$4/+'Age Factors'!S10,0)</f>
        <v>33260</v>
      </c>
      <c r="T10" s="50">
        <f>ROUND(+T$4/+'Age Factors'!T10,0)</f>
        <v>55971</v>
      </c>
      <c r="U10" s="50">
        <f>ROUND(+U$4/+'Age Factors'!U10,0)</f>
        <v>61328</v>
      </c>
      <c r="V10" s="50">
        <f>ROUND(+V$4/+'Age Factors'!V10,0)</f>
        <v>81207</v>
      </c>
      <c r="W10" s="47"/>
    </row>
    <row r="11" spans="1:23">
      <c r="A11" s="57">
        <v>10</v>
      </c>
      <c r="B11" s="61">
        <f>ROUND(+B$4/+'Age Factors'!B11,0)</f>
        <v>296</v>
      </c>
      <c r="C11" s="61">
        <f>ROUND(+C$4/+'Age Factors'!C11,0)</f>
        <v>1014</v>
      </c>
      <c r="D11" s="61">
        <f>ROUND(+D$4/+'Age Factors'!D11,0)</f>
        <v>1237</v>
      </c>
      <c r="E11" s="61">
        <f>ROUND(+E$4/+'Age Factors'!E11,0)</f>
        <v>1337</v>
      </c>
      <c r="F11" s="61">
        <f>ROUND(+F$4/+'Age Factors'!F11,0)</f>
        <v>1694</v>
      </c>
      <c r="G11" s="61">
        <f>ROUND(+G$4/+'Age Factors'!G11,0)</f>
        <v>1707</v>
      </c>
      <c r="H11" s="61">
        <f>ROUND(+H$4/+'Age Factors'!H11,0)</f>
        <v>2164</v>
      </c>
      <c r="I11" s="61">
        <f>ROUND(+I$4/+'Age Factors'!I11,0)</f>
        <v>2650</v>
      </c>
      <c r="J11" s="61">
        <f>ROUND(+J$4/+'Age Factors'!J11,0)</f>
        <v>3403</v>
      </c>
      <c r="K11" s="61">
        <f>ROUND(+K$4/+'Age Factors'!K11,0)</f>
        <v>3687</v>
      </c>
      <c r="L11" s="61">
        <f>ROUND(+L$4/+'Age Factors'!L11,0)</f>
        <v>4731</v>
      </c>
      <c r="M11" s="61">
        <f>ROUND(+M$4/+'Age Factors'!M11,0)</f>
        <v>5021</v>
      </c>
      <c r="N11" s="61">
        <f>ROUND(+N$4/+'Age Factors'!N11,0)</f>
        <v>6004</v>
      </c>
      <c r="O11" s="61">
        <f>ROUND(+O$4/+'Age Factors'!O11,0)</f>
        <v>7291</v>
      </c>
      <c r="P11" s="61">
        <f>ROUND(+P$4/+'Age Factors'!P11,0)</f>
        <v>10481</v>
      </c>
      <c r="Q11" s="61">
        <f>ROUND(+Q$4/+'Age Factors'!Q11,0)</f>
        <v>12624</v>
      </c>
      <c r="R11" s="61">
        <f>ROUND(+R$4/+'Age Factors'!R11,0)</f>
        <v>22990</v>
      </c>
      <c r="S11" s="61">
        <f>ROUND(+S$4/+'Age Factors'!S11,0)</f>
        <v>31717</v>
      </c>
      <c r="T11" s="61">
        <f>ROUND(+T$4/+'Age Factors'!T11,0)</f>
        <v>53375</v>
      </c>
      <c r="U11" s="61">
        <f>ROUND(+U$4/+'Age Factors'!U11,0)</f>
        <v>58483</v>
      </c>
      <c r="V11" s="61">
        <f>ROUND(+V$4/+'Age Factors'!V11,0)</f>
        <v>77440</v>
      </c>
      <c r="W11" s="47"/>
    </row>
    <row r="12" spans="1:23">
      <c r="A12" s="49">
        <v>11</v>
      </c>
      <c r="B12" s="50">
        <f>ROUND(+B$4/+'Age Factors'!B12,0)</f>
        <v>289</v>
      </c>
      <c r="C12" s="50">
        <f>ROUND(+C$4/+'Age Factors'!C12,0)</f>
        <v>990</v>
      </c>
      <c r="D12" s="50">
        <f>ROUND(+D$4/+'Age Factors'!D12,0)</f>
        <v>1204</v>
      </c>
      <c r="E12" s="50">
        <f>ROUND(+E$4/+'Age Factors'!E12,0)</f>
        <v>1300</v>
      </c>
      <c r="F12" s="50">
        <f>ROUND(+F$4/+'Age Factors'!F12,0)</f>
        <v>1643</v>
      </c>
      <c r="G12" s="50">
        <f>ROUND(+G$4/+'Age Factors'!G12,0)</f>
        <v>1656</v>
      </c>
      <c r="H12" s="50">
        <f>ROUND(+H$4/+'Age Factors'!H12,0)</f>
        <v>2093</v>
      </c>
      <c r="I12" s="50">
        <f>ROUND(+I$4/+'Age Factors'!I12,0)</f>
        <v>2559</v>
      </c>
      <c r="J12" s="50">
        <f>ROUND(+J$4/+'Age Factors'!J12,0)</f>
        <v>3278</v>
      </c>
      <c r="K12" s="50">
        <f>ROUND(+K$4/+'Age Factors'!K12,0)</f>
        <v>3549</v>
      </c>
      <c r="L12" s="50">
        <f>ROUND(+L$4/+'Age Factors'!L12,0)</f>
        <v>4544</v>
      </c>
      <c r="M12" s="50">
        <f>ROUND(+M$4/+'Age Factors'!M12,0)</f>
        <v>4819</v>
      </c>
      <c r="N12" s="50">
        <f>ROUND(+N$4/+'Age Factors'!N12,0)</f>
        <v>5763</v>
      </c>
      <c r="O12" s="50">
        <f>ROUND(+O$4/+'Age Factors'!O12,0)</f>
        <v>6998</v>
      </c>
      <c r="P12" s="50">
        <f>ROUND(+P$4/+'Age Factors'!P12,0)</f>
        <v>10058</v>
      </c>
      <c r="Q12" s="50">
        <f>ROUND(+Q$4/+'Age Factors'!Q12,0)</f>
        <v>12115</v>
      </c>
      <c r="R12" s="50">
        <f>ROUND(+R$4/+'Age Factors'!R12,0)</f>
        <v>22062</v>
      </c>
      <c r="S12" s="50">
        <f>ROUND(+S$4/+'Age Factors'!S12,0)</f>
        <v>30436</v>
      </c>
      <c r="T12" s="50">
        <f>ROUND(+T$4/+'Age Factors'!T12,0)</f>
        <v>51219</v>
      </c>
      <c r="U12" s="50">
        <f>ROUND(+U$4/+'Age Factors'!U12,0)</f>
        <v>56122</v>
      </c>
      <c r="V12" s="50">
        <f>ROUND(+V$4/+'Age Factors'!V12,0)</f>
        <v>74313</v>
      </c>
      <c r="W12" s="47"/>
    </row>
    <row r="13" spans="1:23">
      <c r="A13" s="49">
        <v>12</v>
      </c>
      <c r="B13" s="50">
        <f>ROUND(+B$4/+'Age Factors'!B13,0)</f>
        <v>282</v>
      </c>
      <c r="C13" s="50">
        <f>ROUND(+C$4/+'Age Factors'!C13,0)</f>
        <v>968</v>
      </c>
      <c r="D13" s="50">
        <f>ROUND(+D$4/+'Age Factors'!D13,0)</f>
        <v>1176</v>
      </c>
      <c r="E13" s="50">
        <f>ROUND(+E$4/+'Age Factors'!E13,0)</f>
        <v>1268</v>
      </c>
      <c r="F13" s="50">
        <f>ROUND(+F$4/+'Age Factors'!F13,0)</f>
        <v>1599</v>
      </c>
      <c r="G13" s="50">
        <f>ROUND(+G$4/+'Age Factors'!G13,0)</f>
        <v>1611</v>
      </c>
      <c r="H13" s="50">
        <f>ROUND(+H$4/+'Age Factors'!H13,0)</f>
        <v>2030</v>
      </c>
      <c r="I13" s="50">
        <f>ROUND(+I$4/+'Age Factors'!I13,0)</f>
        <v>2479</v>
      </c>
      <c r="J13" s="50">
        <f>ROUND(+J$4/+'Age Factors'!J13,0)</f>
        <v>3169</v>
      </c>
      <c r="K13" s="50">
        <f>ROUND(+K$4/+'Age Factors'!K13,0)</f>
        <v>3429</v>
      </c>
      <c r="L13" s="50">
        <f>ROUND(+L$4/+'Age Factors'!L13,0)</f>
        <v>4381</v>
      </c>
      <c r="M13" s="50">
        <f>ROUND(+M$4/+'Age Factors'!M13,0)</f>
        <v>4645</v>
      </c>
      <c r="N13" s="50">
        <f>ROUND(+N$4/+'Age Factors'!N13,0)</f>
        <v>5556</v>
      </c>
      <c r="O13" s="50">
        <f>ROUND(+O$4/+'Age Factors'!O13,0)</f>
        <v>6748</v>
      </c>
      <c r="P13" s="50">
        <f>ROUND(+P$4/+'Age Factors'!P13,0)</f>
        <v>9704</v>
      </c>
      <c r="Q13" s="50">
        <f>ROUND(+Q$4/+'Age Factors'!Q13,0)</f>
        <v>11688</v>
      </c>
      <c r="R13" s="50">
        <f>ROUND(+R$4/+'Age Factors'!R13,0)</f>
        <v>21285</v>
      </c>
      <c r="S13" s="50">
        <f>ROUND(+S$4/+'Age Factors'!S13,0)</f>
        <v>29364</v>
      </c>
      <c r="T13" s="50">
        <f>ROUND(+T$4/+'Age Factors'!T13,0)</f>
        <v>49415</v>
      </c>
      <c r="U13" s="50">
        <f>ROUND(+U$4/+'Age Factors'!U13,0)</f>
        <v>54145</v>
      </c>
      <c r="V13" s="50">
        <f>ROUND(+V$4/+'Age Factors'!V13,0)</f>
        <v>71695</v>
      </c>
      <c r="W13" s="47"/>
    </row>
    <row r="14" spans="1:23">
      <c r="A14" s="49">
        <v>13</v>
      </c>
      <c r="B14" s="50">
        <f>ROUND(+B$4/+'Age Factors'!B14,0)</f>
        <v>276</v>
      </c>
      <c r="C14" s="50">
        <f>ROUND(+C$4/+'Age Factors'!C14,0)</f>
        <v>949</v>
      </c>
      <c r="D14" s="50">
        <f>ROUND(+D$4/+'Age Factors'!D14,0)</f>
        <v>1150</v>
      </c>
      <c r="E14" s="50">
        <f>ROUND(+E$4/+'Age Factors'!E14,0)</f>
        <v>1240</v>
      </c>
      <c r="F14" s="50">
        <f>ROUND(+F$4/+'Age Factors'!F14,0)</f>
        <v>1560</v>
      </c>
      <c r="G14" s="50">
        <f>ROUND(+G$4/+'Age Factors'!G14,0)</f>
        <v>1571</v>
      </c>
      <c r="H14" s="50">
        <f>ROUND(+H$4/+'Age Factors'!H14,0)</f>
        <v>1976</v>
      </c>
      <c r="I14" s="50">
        <f>ROUND(+I$4/+'Age Factors'!I14,0)</f>
        <v>2409</v>
      </c>
      <c r="J14" s="50">
        <f>ROUND(+J$4/+'Age Factors'!J14,0)</f>
        <v>3075</v>
      </c>
      <c r="K14" s="50">
        <f>ROUND(+K$4/+'Age Factors'!K14,0)</f>
        <v>3325</v>
      </c>
      <c r="L14" s="50">
        <f>ROUND(+L$4/+'Age Factors'!L14,0)</f>
        <v>4241</v>
      </c>
      <c r="M14" s="50">
        <f>ROUND(+M$4/+'Age Factors'!M14,0)</f>
        <v>4494</v>
      </c>
      <c r="N14" s="50">
        <f>ROUND(+N$4/+'Age Factors'!N14,0)</f>
        <v>5378</v>
      </c>
      <c r="O14" s="50">
        <f>ROUND(+O$4/+'Age Factors'!O14,0)</f>
        <v>6536</v>
      </c>
      <c r="P14" s="50">
        <f>ROUND(+P$4/+'Age Factors'!P14,0)</f>
        <v>9410</v>
      </c>
      <c r="Q14" s="50">
        <f>ROUND(+Q$4/+'Age Factors'!Q14,0)</f>
        <v>11334</v>
      </c>
      <c r="R14" s="50">
        <f>ROUND(+R$4/+'Age Factors'!R14,0)</f>
        <v>20640</v>
      </c>
      <c r="S14" s="50">
        <f>ROUND(+S$4/+'Age Factors'!S14,0)</f>
        <v>28474</v>
      </c>
      <c r="T14" s="50">
        <f>ROUND(+T$4/+'Age Factors'!T14,0)</f>
        <v>47918</v>
      </c>
      <c r="U14" s="50">
        <f>ROUND(+U$4/+'Age Factors'!U14,0)</f>
        <v>52505</v>
      </c>
      <c r="V14" s="50">
        <f>ROUND(+V$4/+'Age Factors'!V14,0)</f>
        <v>69523</v>
      </c>
      <c r="W14" s="47"/>
    </row>
    <row r="15" spans="1:23">
      <c r="A15" s="49">
        <v>14</v>
      </c>
      <c r="B15" s="50">
        <f>ROUND(+B$4/+'Age Factors'!B15,0)</f>
        <v>271</v>
      </c>
      <c r="C15" s="50">
        <f>ROUND(+C$4/+'Age Factors'!C15,0)</f>
        <v>932</v>
      </c>
      <c r="D15" s="50">
        <f>ROUND(+D$4/+'Age Factors'!D15,0)</f>
        <v>1128</v>
      </c>
      <c r="E15" s="50">
        <f>ROUND(+E$4/+'Age Factors'!E15,0)</f>
        <v>1215</v>
      </c>
      <c r="F15" s="50">
        <f>ROUND(+F$4/+'Age Factors'!F15,0)</f>
        <v>1525</v>
      </c>
      <c r="G15" s="50">
        <f>ROUND(+G$4/+'Age Factors'!G15,0)</f>
        <v>1537</v>
      </c>
      <c r="H15" s="50">
        <f>ROUND(+H$4/+'Age Factors'!H15,0)</f>
        <v>1928</v>
      </c>
      <c r="I15" s="50">
        <f>ROUND(+I$4/+'Age Factors'!I15,0)</f>
        <v>2348</v>
      </c>
      <c r="J15" s="50">
        <f>ROUND(+J$4/+'Age Factors'!J15,0)</f>
        <v>2992</v>
      </c>
      <c r="K15" s="50">
        <f>ROUND(+K$4/+'Age Factors'!K15,0)</f>
        <v>3234</v>
      </c>
      <c r="L15" s="50">
        <f>ROUND(+L$4/+'Age Factors'!L15,0)</f>
        <v>4118</v>
      </c>
      <c r="M15" s="50">
        <f>ROUND(+M$4/+'Age Factors'!M15,0)</f>
        <v>4362</v>
      </c>
      <c r="N15" s="50">
        <f>ROUND(+N$4/+'Age Factors'!N15,0)</f>
        <v>5225</v>
      </c>
      <c r="O15" s="50">
        <f>ROUND(+O$4/+'Age Factors'!O15,0)</f>
        <v>6356</v>
      </c>
      <c r="P15" s="50">
        <f>ROUND(+P$4/+'Age Factors'!P15,0)</f>
        <v>9165</v>
      </c>
      <c r="Q15" s="50">
        <f>ROUND(+Q$4/+'Age Factors'!Q15,0)</f>
        <v>11039</v>
      </c>
      <c r="R15" s="50">
        <f>ROUND(+R$4/+'Age Factors'!R15,0)</f>
        <v>20103</v>
      </c>
      <c r="S15" s="50">
        <f>ROUND(+S$4/+'Age Factors'!S15,0)</f>
        <v>27735</v>
      </c>
      <c r="T15" s="50">
        <f>ROUND(+T$4/+'Age Factors'!T15,0)</f>
        <v>46673</v>
      </c>
      <c r="U15" s="50">
        <f>ROUND(+U$4/+'Age Factors'!U15,0)</f>
        <v>51140</v>
      </c>
      <c r="V15" s="50">
        <f>ROUND(+V$4/+'Age Factors'!V15,0)</f>
        <v>67717</v>
      </c>
      <c r="W15" s="47"/>
    </row>
    <row r="16" spans="1:23">
      <c r="A16" s="57">
        <v>15</v>
      </c>
      <c r="B16" s="61">
        <f>ROUND(+B$4/+'Age Factors'!B16,0)</f>
        <v>266</v>
      </c>
      <c r="C16" s="61">
        <f>ROUND(+C$4/+'Age Factors'!C16,0)</f>
        <v>917</v>
      </c>
      <c r="D16" s="61">
        <f>ROUND(+D$4/+'Age Factors'!D16,0)</f>
        <v>1108</v>
      </c>
      <c r="E16" s="61">
        <f>ROUND(+E$4/+'Age Factors'!E16,0)</f>
        <v>1193</v>
      </c>
      <c r="F16" s="61">
        <f>ROUND(+F$4/+'Age Factors'!F16,0)</f>
        <v>1495</v>
      </c>
      <c r="G16" s="61">
        <f>ROUND(+G$4/+'Age Factors'!G16,0)</f>
        <v>1506</v>
      </c>
      <c r="H16" s="61">
        <f>ROUND(+H$4/+'Age Factors'!H16,0)</f>
        <v>1886</v>
      </c>
      <c r="I16" s="61">
        <f>ROUND(+I$4/+'Age Factors'!I16,0)</f>
        <v>2294</v>
      </c>
      <c r="J16" s="61">
        <f>ROUND(+J$4/+'Age Factors'!J16,0)</f>
        <v>2920</v>
      </c>
      <c r="K16" s="61">
        <f>ROUND(+K$4/+'Age Factors'!K16,0)</f>
        <v>3155</v>
      </c>
      <c r="L16" s="61">
        <f>ROUND(+L$4/+'Age Factors'!L16,0)</f>
        <v>4012</v>
      </c>
      <c r="M16" s="61">
        <f>ROUND(+M$4/+'Age Factors'!M16,0)</f>
        <v>4248</v>
      </c>
      <c r="N16" s="61">
        <f>ROUND(+N$4/+'Age Factors'!N16,0)</f>
        <v>5094</v>
      </c>
      <c r="O16" s="61">
        <f>ROUND(+O$4/+'Age Factors'!O16,0)</f>
        <v>6203</v>
      </c>
      <c r="P16" s="61">
        <f>ROUND(+P$4/+'Age Factors'!P16,0)</f>
        <v>8966</v>
      </c>
      <c r="Q16" s="61">
        <f>ROUND(+Q$4/+'Age Factors'!Q16,0)</f>
        <v>10799</v>
      </c>
      <c r="R16" s="61">
        <f>ROUND(+R$4/+'Age Factors'!R16,0)</f>
        <v>19666</v>
      </c>
      <c r="S16" s="61">
        <f>ROUND(+S$4/+'Age Factors'!S16,0)</f>
        <v>27132</v>
      </c>
      <c r="T16" s="61">
        <f>ROUND(+T$4/+'Age Factors'!T16,0)</f>
        <v>45658</v>
      </c>
      <c r="U16" s="61">
        <f>ROUND(+U$4/+'Age Factors'!U16,0)</f>
        <v>50029</v>
      </c>
      <c r="V16" s="61">
        <f>ROUND(+V$4/+'Age Factors'!V16,0)</f>
        <v>66245</v>
      </c>
      <c r="W16" s="47"/>
    </row>
    <row r="17" spans="1:23">
      <c r="A17" s="49">
        <v>16</v>
      </c>
      <c r="B17" s="50">
        <f>ROUND(+B$4/+'Age Factors'!B17,0)</f>
        <v>261</v>
      </c>
      <c r="C17" s="50">
        <f>ROUND(+C$4/+'Age Factors'!C17,0)</f>
        <v>904</v>
      </c>
      <c r="D17" s="50">
        <f>ROUND(+D$4/+'Age Factors'!D17,0)</f>
        <v>1090</v>
      </c>
      <c r="E17" s="50">
        <f>ROUND(+E$4/+'Age Factors'!E17,0)</f>
        <v>1173</v>
      </c>
      <c r="F17" s="50">
        <f>ROUND(+F$4/+'Age Factors'!F17,0)</f>
        <v>1467</v>
      </c>
      <c r="G17" s="50">
        <f>ROUND(+G$4/+'Age Factors'!G17,0)</f>
        <v>1478</v>
      </c>
      <c r="H17" s="50">
        <f>ROUND(+H$4/+'Age Factors'!H17,0)</f>
        <v>1848</v>
      </c>
      <c r="I17" s="50">
        <f>ROUND(+I$4/+'Age Factors'!I17,0)</f>
        <v>2246</v>
      </c>
      <c r="J17" s="50">
        <f>ROUND(+J$4/+'Age Factors'!J17,0)</f>
        <v>2856</v>
      </c>
      <c r="K17" s="50">
        <f>ROUND(+K$4/+'Age Factors'!K17,0)</f>
        <v>3085</v>
      </c>
      <c r="L17" s="50">
        <f>ROUND(+L$4/+'Age Factors'!L17,0)</f>
        <v>3919</v>
      </c>
      <c r="M17" s="50">
        <f>ROUND(+M$4/+'Age Factors'!M17,0)</f>
        <v>4149</v>
      </c>
      <c r="N17" s="50">
        <f>ROUND(+N$4/+'Age Factors'!N17,0)</f>
        <v>4980</v>
      </c>
      <c r="O17" s="50">
        <f>ROUND(+O$4/+'Age Factors'!O17,0)</f>
        <v>6070</v>
      </c>
      <c r="P17" s="50">
        <f>ROUND(+P$4/+'Age Factors'!P17,0)</f>
        <v>8790</v>
      </c>
      <c r="Q17" s="50">
        <f>ROUND(+Q$4/+'Age Factors'!Q17,0)</f>
        <v>10587</v>
      </c>
      <c r="R17" s="50">
        <f>ROUND(+R$4/+'Age Factors'!R17,0)</f>
        <v>19281</v>
      </c>
      <c r="S17" s="50">
        <f>ROUND(+S$4/+'Age Factors'!S17,0)</f>
        <v>26599</v>
      </c>
      <c r="T17" s="50">
        <f>ROUND(+T$4/+'Age Factors'!T17,0)</f>
        <v>44763</v>
      </c>
      <c r="U17" s="50">
        <f>ROUND(+U$4/+'Age Factors'!U17,0)</f>
        <v>49047</v>
      </c>
      <c r="V17" s="50">
        <f>ROUND(+V$4/+'Age Factors'!V17,0)</f>
        <v>64945</v>
      </c>
      <c r="W17" s="47"/>
    </row>
    <row r="18" spans="1:23">
      <c r="A18" s="49">
        <v>17</v>
      </c>
      <c r="B18" s="50">
        <f>ROUND(+B$4/+'Age Factors'!B18,0)</f>
        <v>257</v>
      </c>
      <c r="C18" s="50">
        <f>ROUND(+C$4/+'Age Factors'!C18,0)</f>
        <v>890</v>
      </c>
      <c r="D18" s="50">
        <f>ROUND(+D$4/+'Age Factors'!D18,0)</f>
        <v>1073</v>
      </c>
      <c r="E18" s="50">
        <f>ROUND(+E$4/+'Age Factors'!E18,0)</f>
        <v>1154</v>
      </c>
      <c r="F18" s="50">
        <f>ROUND(+F$4/+'Age Factors'!F18,0)</f>
        <v>1441</v>
      </c>
      <c r="G18" s="50">
        <f>ROUND(+G$4/+'Age Factors'!G18,0)</f>
        <v>1451</v>
      </c>
      <c r="H18" s="50">
        <f>ROUND(+H$4/+'Age Factors'!H18,0)</f>
        <v>1812</v>
      </c>
      <c r="I18" s="50">
        <f>ROUND(+I$4/+'Age Factors'!I18,0)</f>
        <v>2200</v>
      </c>
      <c r="J18" s="50">
        <f>ROUND(+J$4/+'Age Factors'!J18,0)</f>
        <v>2797</v>
      </c>
      <c r="K18" s="50">
        <f>ROUND(+K$4/+'Age Factors'!K18,0)</f>
        <v>3020</v>
      </c>
      <c r="L18" s="50">
        <f>ROUND(+L$4/+'Age Factors'!L18,0)</f>
        <v>3835</v>
      </c>
      <c r="M18" s="50">
        <f>ROUND(+M$4/+'Age Factors'!M18,0)</f>
        <v>4059</v>
      </c>
      <c r="N18" s="50">
        <f>ROUND(+N$4/+'Age Factors'!N18,0)</f>
        <v>4874</v>
      </c>
      <c r="O18" s="50">
        <f>ROUND(+O$4/+'Age Factors'!O18,0)</f>
        <v>5946</v>
      </c>
      <c r="P18" s="50">
        <f>ROUND(+P$4/+'Age Factors'!P18,0)</f>
        <v>8621</v>
      </c>
      <c r="Q18" s="50">
        <f>ROUND(+Q$4/+'Age Factors'!Q18,0)</f>
        <v>10384</v>
      </c>
      <c r="R18" s="50">
        <f>ROUND(+R$4/+'Age Factors'!R18,0)</f>
        <v>18910</v>
      </c>
      <c r="S18" s="50">
        <f>ROUND(+S$4/+'Age Factors'!S18,0)</f>
        <v>26088</v>
      </c>
      <c r="T18" s="50">
        <f>ROUND(+T$4/+'Age Factors'!T18,0)</f>
        <v>43901</v>
      </c>
      <c r="U18" s="50">
        <f>ROUND(+U$4/+'Age Factors'!U18,0)</f>
        <v>48104</v>
      </c>
      <c r="V18" s="50">
        <f>ROUND(+V$4/+'Age Factors'!V18,0)</f>
        <v>63696</v>
      </c>
      <c r="W18" s="47"/>
    </row>
    <row r="19" spans="1:23">
      <c r="A19" s="49">
        <v>18</v>
      </c>
      <c r="B19" s="50">
        <f>ROUND(+B$4/+'Age Factors'!B19,0)</f>
        <v>254</v>
      </c>
      <c r="C19" s="50">
        <f>ROUND(+C$4/+'Age Factors'!C19,0)</f>
        <v>878</v>
      </c>
      <c r="D19" s="50">
        <f>ROUND(+D$4/+'Age Factors'!D19,0)</f>
        <v>1056</v>
      </c>
      <c r="E19" s="50">
        <f>ROUND(+E$4/+'Age Factors'!E19,0)</f>
        <v>1136</v>
      </c>
      <c r="F19" s="50">
        <f>ROUND(+F$4/+'Age Factors'!F19,0)</f>
        <v>1417</v>
      </c>
      <c r="G19" s="50">
        <f>ROUND(+G$4/+'Age Factors'!G19,0)</f>
        <v>1427</v>
      </c>
      <c r="H19" s="50">
        <f>ROUND(+H$4/+'Age Factors'!H19,0)</f>
        <v>1780</v>
      </c>
      <c r="I19" s="50">
        <f>ROUND(+I$4/+'Age Factors'!I19,0)</f>
        <v>2160</v>
      </c>
      <c r="J19" s="50">
        <f>ROUND(+J$4/+'Age Factors'!J19,0)</f>
        <v>2742</v>
      </c>
      <c r="K19" s="50">
        <f>ROUND(+K$4/+'Age Factors'!K19,0)</f>
        <v>2960</v>
      </c>
      <c r="L19" s="50">
        <f>ROUND(+L$4/+'Age Factors'!L19,0)</f>
        <v>3754</v>
      </c>
      <c r="M19" s="50">
        <f>ROUND(+M$4/+'Age Factors'!M19,0)</f>
        <v>3973</v>
      </c>
      <c r="N19" s="50">
        <f>ROUND(+N$4/+'Age Factors'!N19,0)</f>
        <v>4774</v>
      </c>
      <c r="O19" s="50">
        <f>ROUND(+O$4/+'Age Factors'!O19,0)</f>
        <v>5826</v>
      </c>
      <c r="P19" s="50">
        <f>ROUND(+P$4/+'Age Factors'!P19,0)</f>
        <v>8458</v>
      </c>
      <c r="Q19" s="50">
        <f>ROUND(+Q$4/+'Age Factors'!Q19,0)</f>
        <v>10188</v>
      </c>
      <c r="R19" s="50">
        <f>ROUND(+R$4/+'Age Factors'!R19,0)</f>
        <v>18553</v>
      </c>
      <c r="S19" s="50">
        <f>ROUND(+S$4/+'Age Factors'!S19,0)</f>
        <v>25595</v>
      </c>
      <c r="T19" s="50">
        <f>ROUND(+T$4/+'Age Factors'!T19,0)</f>
        <v>43073</v>
      </c>
      <c r="U19" s="50">
        <f>ROUND(+U$4/+'Age Factors'!U19,0)</f>
        <v>47195</v>
      </c>
      <c r="V19" s="50">
        <f>ROUND(+V$4/+'Age Factors'!V19,0)</f>
        <v>62493</v>
      </c>
      <c r="W19" s="47"/>
    </row>
    <row r="20" spans="1:23">
      <c r="A20" s="49">
        <v>19</v>
      </c>
      <c r="B20" s="50">
        <f>ROUND(+B$4/+'Age Factors'!B20,0)</f>
        <v>253</v>
      </c>
      <c r="C20" s="50">
        <f>ROUND(+C$4/+'Age Factors'!C20,0)</f>
        <v>867</v>
      </c>
      <c r="D20" s="50">
        <f>ROUND(+D$4/+'Age Factors'!D20,0)</f>
        <v>1043</v>
      </c>
      <c r="E20" s="50">
        <f>ROUND(+E$4/+'Age Factors'!E20,0)</f>
        <v>1121</v>
      </c>
      <c r="F20" s="50">
        <f>ROUND(+F$4/+'Age Factors'!F20,0)</f>
        <v>1398</v>
      </c>
      <c r="G20" s="50">
        <f>ROUND(+G$4/+'Age Factors'!G20,0)</f>
        <v>1408</v>
      </c>
      <c r="H20" s="50">
        <f>ROUND(+H$4/+'Age Factors'!H20,0)</f>
        <v>1756</v>
      </c>
      <c r="I20" s="50">
        <f>ROUND(+I$4/+'Age Factors'!I20,0)</f>
        <v>2127</v>
      </c>
      <c r="J20" s="50">
        <f>ROUND(+J$4/+'Age Factors'!J20,0)</f>
        <v>2694</v>
      </c>
      <c r="K20" s="50">
        <f>ROUND(+K$4/+'Age Factors'!K20,0)</f>
        <v>2906</v>
      </c>
      <c r="L20" s="50">
        <f>ROUND(+L$4/+'Age Factors'!L20,0)</f>
        <v>3678</v>
      </c>
      <c r="M20" s="50">
        <f>ROUND(+M$4/+'Age Factors'!M20,0)</f>
        <v>3890</v>
      </c>
      <c r="N20" s="50">
        <f>ROUND(+N$4/+'Age Factors'!N20,0)</f>
        <v>4677</v>
      </c>
      <c r="O20" s="50">
        <f>ROUND(+O$4/+'Age Factors'!O20,0)</f>
        <v>5712</v>
      </c>
      <c r="P20" s="50">
        <f>ROUND(+P$4/+'Age Factors'!P20,0)</f>
        <v>8302</v>
      </c>
      <c r="Q20" s="50">
        <f>ROUND(+Q$4/+'Age Factors'!Q20,0)</f>
        <v>9999</v>
      </c>
      <c r="R20" s="50">
        <f>ROUND(+R$4/+'Age Factors'!R20,0)</f>
        <v>18209</v>
      </c>
      <c r="S20" s="50">
        <f>ROUND(+S$4/+'Age Factors'!S20,0)</f>
        <v>25121</v>
      </c>
      <c r="T20" s="50">
        <f>ROUND(+T$4/+'Age Factors'!T20,0)</f>
        <v>42275</v>
      </c>
      <c r="U20" s="50">
        <f>ROUND(+U$4/+'Age Factors'!U20,0)</f>
        <v>46321</v>
      </c>
      <c r="V20" s="50">
        <f>ROUND(+V$4/+'Age Factors'!V20,0)</f>
        <v>61335</v>
      </c>
      <c r="W20" s="47"/>
    </row>
    <row r="21" spans="1:23">
      <c r="A21" s="57">
        <v>20</v>
      </c>
      <c r="B21" s="61">
        <f>ROUND(+B$4/+'Age Factors'!B21,0)</f>
        <v>253</v>
      </c>
      <c r="C21" s="61">
        <f>ROUND(+C$4/+'Age Factors'!C21,0)</f>
        <v>859</v>
      </c>
      <c r="D21" s="61">
        <f>ROUND(+D$4/+'Age Factors'!D21,0)</f>
        <v>1033</v>
      </c>
      <c r="E21" s="61">
        <f>ROUND(+E$4/+'Age Factors'!E21,0)</f>
        <v>1111</v>
      </c>
      <c r="F21" s="61">
        <f>ROUND(+F$4/+'Age Factors'!F21,0)</f>
        <v>1385</v>
      </c>
      <c r="G21" s="61">
        <f>ROUND(+G$4/+'Age Factors'!G21,0)</f>
        <v>1395</v>
      </c>
      <c r="H21" s="61">
        <f>ROUND(+H$4/+'Age Factors'!H21,0)</f>
        <v>1739</v>
      </c>
      <c r="I21" s="61">
        <f>ROUND(+I$4/+'Age Factors'!I21,0)</f>
        <v>2103</v>
      </c>
      <c r="J21" s="61">
        <f>ROUND(+J$4/+'Age Factors'!J21,0)</f>
        <v>2658</v>
      </c>
      <c r="K21" s="61">
        <f>ROUND(+K$4/+'Age Factors'!K21,0)</f>
        <v>2865</v>
      </c>
      <c r="L21" s="61">
        <f>ROUND(+L$4/+'Age Factors'!L21,0)</f>
        <v>3617</v>
      </c>
      <c r="M21" s="61">
        <f>ROUND(+M$4/+'Age Factors'!M21,0)</f>
        <v>3824</v>
      </c>
      <c r="N21" s="61">
        <f>ROUND(+N$4/+'Age Factors'!N21,0)</f>
        <v>4597</v>
      </c>
      <c r="O21" s="61">
        <f>ROUND(+O$4/+'Age Factors'!O21,0)</f>
        <v>5615</v>
      </c>
      <c r="P21" s="61">
        <f>ROUND(+P$4/+'Age Factors'!P21,0)</f>
        <v>8161</v>
      </c>
      <c r="Q21" s="61">
        <f>ROUND(+Q$4/+'Age Factors'!Q21,0)</f>
        <v>9829</v>
      </c>
      <c r="R21" s="61">
        <f>ROUND(+R$4/+'Age Factors'!R21,0)</f>
        <v>17900</v>
      </c>
      <c r="S21" s="61">
        <f>ROUND(+S$4/+'Age Factors'!S21,0)</f>
        <v>24695</v>
      </c>
      <c r="T21" s="61">
        <f>ROUND(+T$4/+'Age Factors'!T21,0)</f>
        <v>41558</v>
      </c>
      <c r="U21" s="61">
        <f>ROUND(+U$4/+'Age Factors'!U21,0)</f>
        <v>45535</v>
      </c>
      <c r="V21" s="61">
        <f>ROUND(+V$4/+'Age Factors'!V21,0)</f>
        <v>60295</v>
      </c>
      <c r="W21" s="47"/>
    </row>
    <row r="22" spans="1:23">
      <c r="A22" s="49">
        <v>21</v>
      </c>
      <c r="B22" s="50">
        <f>ROUND(+B$4/+'Age Factors'!B22,0)</f>
        <v>253</v>
      </c>
      <c r="C22" s="50">
        <f>ROUND(+C$4/+'Age Factors'!C22,0)</f>
        <v>855</v>
      </c>
      <c r="D22" s="50">
        <f>ROUND(+D$4/+'Age Factors'!D22,0)</f>
        <v>1028</v>
      </c>
      <c r="E22" s="50">
        <f>ROUND(+E$4/+'Age Factors'!E22,0)</f>
        <v>1105</v>
      </c>
      <c r="F22" s="50">
        <f>ROUND(+F$4/+'Age Factors'!F22,0)</f>
        <v>1378</v>
      </c>
      <c r="G22" s="50">
        <f>ROUND(+G$4/+'Age Factors'!G22,0)</f>
        <v>1388</v>
      </c>
      <c r="H22" s="50">
        <f>ROUND(+H$4/+'Age Factors'!H22,0)</f>
        <v>1729</v>
      </c>
      <c r="I22" s="50">
        <f>ROUND(+I$4/+'Age Factors'!I22,0)</f>
        <v>2089</v>
      </c>
      <c r="J22" s="50">
        <f>ROUND(+J$4/+'Age Factors'!J22,0)</f>
        <v>2636</v>
      </c>
      <c r="K22" s="50">
        <f>ROUND(+K$4/+'Age Factors'!K22,0)</f>
        <v>2840</v>
      </c>
      <c r="L22" s="50">
        <f>ROUND(+L$4/+'Age Factors'!L22,0)</f>
        <v>3582</v>
      </c>
      <c r="M22" s="50">
        <f>ROUND(+M$4/+'Age Factors'!M22,0)</f>
        <v>3785</v>
      </c>
      <c r="N22" s="50">
        <f>ROUND(+N$4/+'Age Factors'!N22,0)</f>
        <v>4546</v>
      </c>
      <c r="O22" s="50">
        <f>ROUND(+O$4/+'Age Factors'!O22,0)</f>
        <v>5547</v>
      </c>
      <c r="P22" s="50">
        <f>ROUND(+P$4/+'Age Factors'!P22,0)</f>
        <v>8046</v>
      </c>
      <c r="Q22" s="50">
        <f>ROUND(+Q$4/+'Age Factors'!Q22,0)</f>
        <v>9691</v>
      </c>
      <c r="R22" s="50">
        <f>ROUND(+R$4/+'Age Factors'!R22,0)</f>
        <v>17649</v>
      </c>
      <c r="S22" s="50">
        <f>ROUND(+S$4/+'Age Factors'!S22,0)</f>
        <v>24348</v>
      </c>
      <c r="T22" s="50">
        <f>ROUND(+T$4/+'Age Factors'!T22,0)</f>
        <v>40974</v>
      </c>
      <c r="U22" s="50">
        <f>ROUND(+U$4/+'Age Factors'!U22,0)</f>
        <v>44896</v>
      </c>
      <c r="V22" s="50">
        <f>ROUND(+V$4/+'Age Factors'!V22,0)</f>
        <v>59449</v>
      </c>
      <c r="W22" s="47"/>
    </row>
    <row r="23" spans="1:23">
      <c r="A23" s="49">
        <v>22</v>
      </c>
      <c r="B23" s="50">
        <f>ROUND(+B$4/+'Age Factors'!B23,0)</f>
        <v>253</v>
      </c>
      <c r="C23" s="50">
        <f>ROUND(+C$4/+'Age Factors'!C23,0)</f>
        <v>853</v>
      </c>
      <c r="D23" s="50">
        <f>ROUND(+D$4/+'Age Factors'!D23,0)</f>
        <v>1026</v>
      </c>
      <c r="E23" s="50">
        <f>ROUND(+E$4/+'Age Factors'!E23,0)</f>
        <v>1103</v>
      </c>
      <c r="F23" s="50">
        <f>ROUND(+F$4/+'Age Factors'!F23,0)</f>
        <v>1375</v>
      </c>
      <c r="G23" s="50">
        <f>ROUND(+G$4/+'Age Factors'!G23,0)</f>
        <v>1385</v>
      </c>
      <c r="H23" s="50">
        <f>ROUND(+H$4/+'Age Factors'!H23,0)</f>
        <v>1726</v>
      </c>
      <c r="I23" s="50">
        <f>ROUND(+I$4/+'Age Factors'!I23,0)</f>
        <v>2084</v>
      </c>
      <c r="J23" s="50">
        <f>ROUND(+J$4/+'Age Factors'!J23,0)</f>
        <v>2629</v>
      </c>
      <c r="K23" s="50">
        <f>ROUND(+K$4/+'Age Factors'!K23,0)</f>
        <v>2832</v>
      </c>
      <c r="L23" s="50">
        <f>ROUND(+L$4/+'Age Factors'!L23,0)</f>
        <v>3570</v>
      </c>
      <c r="M23" s="50">
        <f>ROUND(+M$4/+'Age Factors'!M23,0)</f>
        <v>3772</v>
      </c>
      <c r="N23" s="50">
        <f>ROUND(+N$4/+'Age Factors'!N23,0)</f>
        <v>4522</v>
      </c>
      <c r="O23" s="50">
        <f>ROUND(+O$4/+'Age Factors'!O23,0)</f>
        <v>5506</v>
      </c>
      <c r="P23" s="50">
        <f>ROUND(+P$4/+'Age Factors'!P23,0)</f>
        <v>7954</v>
      </c>
      <c r="Q23" s="50">
        <f>ROUND(+Q$4/+'Age Factors'!Q23,0)</f>
        <v>9581</v>
      </c>
      <c r="R23" s="50">
        <f>ROUND(+R$4/+'Age Factors'!R23,0)</f>
        <v>17447</v>
      </c>
      <c r="S23" s="50">
        <f>ROUND(+S$4/+'Age Factors'!S23,0)</f>
        <v>24070</v>
      </c>
      <c r="T23" s="50">
        <f>ROUND(+T$4/+'Age Factors'!T23,0)</f>
        <v>40506</v>
      </c>
      <c r="U23" s="50">
        <f>ROUND(+U$4/+'Age Factors'!U23,0)</f>
        <v>44383</v>
      </c>
      <c r="V23" s="50">
        <f>ROUND(+V$4/+'Age Factors'!V23,0)</f>
        <v>58770</v>
      </c>
      <c r="W23" s="47"/>
    </row>
    <row r="24" spans="1:23">
      <c r="A24" s="49">
        <v>23</v>
      </c>
      <c r="B24" s="50">
        <f>ROUND(+B$4/+'Age Factors'!B24,0)</f>
        <v>253</v>
      </c>
      <c r="C24" s="50">
        <f>ROUND(+C$4/+'Age Factors'!C24,0)</f>
        <v>853</v>
      </c>
      <c r="D24" s="50">
        <f>ROUND(+D$4/+'Age Factors'!D24,0)</f>
        <v>1026</v>
      </c>
      <c r="E24" s="50">
        <f>ROUND(+E$4/+'Age Factors'!E24,0)</f>
        <v>1103</v>
      </c>
      <c r="F24" s="50">
        <f>ROUND(+F$4/+'Age Factors'!F24,0)</f>
        <v>1375</v>
      </c>
      <c r="G24" s="50">
        <f>ROUND(+G$4/+'Age Factors'!G24,0)</f>
        <v>1385</v>
      </c>
      <c r="H24" s="50">
        <f>ROUND(+H$4/+'Age Factors'!H24,0)</f>
        <v>1726</v>
      </c>
      <c r="I24" s="50">
        <f>ROUND(+I$4/+'Age Factors'!I24,0)</f>
        <v>2084</v>
      </c>
      <c r="J24" s="50">
        <f>ROUND(+J$4/+'Age Factors'!J24,0)</f>
        <v>2629</v>
      </c>
      <c r="K24" s="50">
        <f>ROUND(+K$4/+'Age Factors'!K24,0)</f>
        <v>2832</v>
      </c>
      <c r="L24" s="50">
        <f>ROUND(+L$4/+'Age Factors'!L24,0)</f>
        <v>3570</v>
      </c>
      <c r="M24" s="50">
        <f>ROUND(+M$4/+'Age Factors'!M24,0)</f>
        <v>3772</v>
      </c>
      <c r="N24" s="50">
        <f>ROUND(+N$4/+'Age Factors'!N24,0)</f>
        <v>4512</v>
      </c>
      <c r="O24" s="50">
        <f>ROUND(+O$4/+'Age Factors'!O24,0)</f>
        <v>5481</v>
      </c>
      <c r="P24" s="50">
        <f>ROUND(+P$4/+'Age Factors'!P24,0)</f>
        <v>7884</v>
      </c>
      <c r="Q24" s="50">
        <f>ROUND(+Q$4/+'Age Factors'!Q24,0)</f>
        <v>9496</v>
      </c>
      <c r="R24" s="50">
        <f>ROUND(+R$4/+'Age Factors'!R24,0)</f>
        <v>17294</v>
      </c>
      <c r="S24" s="50">
        <f>ROUND(+S$4/+'Age Factors'!S24,0)</f>
        <v>23858</v>
      </c>
      <c r="T24" s="50">
        <f>ROUND(+T$4/+'Age Factors'!T24,0)</f>
        <v>40150</v>
      </c>
      <c r="U24" s="50">
        <f>ROUND(+U$4/+'Age Factors'!U24,0)</f>
        <v>43993</v>
      </c>
      <c r="V24" s="50">
        <f>ROUND(+V$4/+'Age Factors'!V24,0)</f>
        <v>58252</v>
      </c>
      <c r="W24" s="47"/>
    </row>
    <row r="25" spans="1:23">
      <c r="A25" s="49">
        <v>24</v>
      </c>
      <c r="B25" s="50">
        <f>ROUND(+B$4/+'Age Factors'!B25,0)</f>
        <v>253</v>
      </c>
      <c r="C25" s="50">
        <f>ROUND(+C$4/+'Age Factors'!C25,0)</f>
        <v>853</v>
      </c>
      <c r="D25" s="50">
        <f>ROUND(+D$4/+'Age Factors'!D25,0)</f>
        <v>1026</v>
      </c>
      <c r="E25" s="50">
        <f>ROUND(+E$4/+'Age Factors'!E25,0)</f>
        <v>1103</v>
      </c>
      <c r="F25" s="50">
        <f>ROUND(+F$4/+'Age Factors'!F25,0)</f>
        <v>1375</v>
      </c>
      <c r="G25" s="50">
        <f>ROUND(+G$4/+'Age Factors'!G25,0)</f>
        <v>1385</v>
      </c>
      <c r="H25" s="50">
        <f>ROUND(+H$4/+'Age Factors'!H25,0)</f>
        <v>1726</v>
      </c>
      <c r="I25" s="50">
        <f>ROUND(+I$4/+'Age Factors'!I25,0)</f>
        <v>2084</v>
      </c>
      <c r="J25" s="50">
        <f>ROUND(+J$4/+'Age Factors'!J25,0)</f>
        <v>2629</v>
      </c>
      <c r="K25" s="50">
        <f>ROUND(+K$4/+'Age Factors'!K25,0)</f>
        <v>2832</v>
      </c>
      <c r="L25" s="50">
        <f>ROUND(+L$4/+'Age Factors'!L25,0)</f>
        <v>3570</v>
      </c>
      <c r="M25" s="50">
        <f>ROUND(+M$4/+'Age Factors'!M25,0)</f>
        <v>3772</v>
      </c>
      <c r="N25" s="50">
        <f>ROUND(+N$4/+'Age Factors'!N25,0)</f>
        <v>4505</v>
      </c>
      <c r="O25" s="50">
        <f>ROUND(+O$4/+'Age Factors'!O25,0)</f>
        <v>5464</v>
      </c>
      <c r="P25" s="50">
        <f>ROUND(+P$4/+'Age Factors'!P25,0)</f>
        <v>7835</v>
      </c>
      <c r="Q25" s="50">
        <f>ROUND(+Q$4/+'Age Factors'!Q25,0)</f>
        <v>9437</v>
      </c>
      <c r="R25" s="50">
        <f>ROUND(+R$4/+'Age Factors'!R25,0)</f>
        <v>17186</v>
      </c>
      <c r="S25" s="50">
        <f>ROUND(+S$4/+'Age Factors'!S25,0)</f>
        <v>23710</v>
      </c>
      <c r="T25" s="50">
        <f>ROUND(+T$4/+'Age Factors'!T25,0)</f>
        <v>39899</v>
      </c>
      <c r="U25" s="50">
        <f>ROUND(+U$4/+'Age Factors'!U25,0)</f>
        <v>43719</v>
      </c>
      <c r="V25" s="50">
        <f>ROUND(+V$4/+'Age Factors'!V25,0)</f>
        <v>57889</v>
      </c>
      <c r="W25" s="47"/>
    </row>
    <row r="26" spans="1:23">
      <c r="A26" s="57">
        <v>25</v>
      </c>
      <c r="B26" s="61">
        <f>ROUND(+B$4/+'Age Factors'!B26,0)</f>
        <v>253</v>
      </c>
      <c r="C26" s="61">
        <f>ROUND(+C$4/+'Age Factors'!C26,0)</f>
        <v>853</v>
      </c>
      <c r="D26" s="61">
        <f>ROUND(+D$4/+'Age Factors'!D26,0)</f>
        <v>1026</v>
      </c>
      <c r="E26" s="61">
        <f>ROUND(+E$4/+'Age Factors'!E26,0)</f>
        <v>1103</v>
      </c>
      <c r="F26" s="61">
        <f>ROUND(+F$4/+'Age Factors'!F26,0)</f>
        <v>1375</v>
      </c>
      <c r="G26" s="61">
        <f>ROUND(+G$4/+'Age Factors'!G26,0)</f>
        <v>1385</v>
      </c>
      <c r="H26" s="61">
        <f>ROUND(+H$4/+'Age Factors'!H26,0)</f>
        <v>1726</v>
      </c>
      <c r="I26" s="61">
        <f>ROUND(+I$4/+'Age Factors'!I26,0)</f>
        <v>2084</v>
      </c>
      <c r="J26" s="61">
        <f>ROUND(+J$4/+'Age Factors'!J26,0)</f>
        <v>2629</v>
      </c>
      <c r="K26" s="61">
        <f>ROUND(+K$4/+'Age Factors'!K26,0)</f>
        <v>2832</v>
      </c>
      <c r="L26" s="61">
        <f>ROUND(+L$4/+'Age Factors'!L26,0)</f>
        <v>3570</v>
      </c>
      <c r="M26" s="61">
        <f>ROUND(+M$4/+'Age Factors'!M26,0)</f>
        <v>3772</v>
      </c>
      <c r="N26" s="61">
        <f>ROUND(+N$4/+'Age Factors'!N26,0)</f>
        <v>4501</v>
      </c>
      <c r="O26" s="61">
        <f>ROUND(+O$4/+'Age Factors'!O26,0)</f>
        <v>5453</v>
      </c>
      <c r="P26" s="61">
        <f>ROUND(+P$4/+'Age Factors'!P26,0)</f>
        <v>7805</v>
      </c>
      <c r="Q26" s="61">
        <f>ROUND(+Q$4/+'Age Factors'!Q26,0)</f>
        <v>9401</v>
      </c>
      <c r="R26" s="61">
        <f>ROUND(+R$4/+'Age Factors'!R26,0)</f>
        <v>17121</v>
      </c>
      <c r="S26" s="61">
        <f>ROUND(+S$4/+'Age Factors'!S26,0)</f>
        <v>23619</v>
      </c>
      <c r="T26" s="61">
        <f>ROUND(+T$4/+'Age Factors'!T26,0)</f>
        <v>39748</v>
      </c>
      <c r="U26" s="61">
        <f>ROUND(+U$4/+'Age Factors'!U26,0)</f>
        <v>43552</v>
      </c>
      <c r="V26" s="61">
        <f>ROUND(+V$4/+'Age Factors'!V26,0)</f>
        <v>57669</v>
      </c>
      <c r="W26" s="47"/>
    </row>
    <row r="27" spans="1:23">
      <c r="A27" s="49">
        <v>26</v>
      </c>
      <c r="B27" s="50">
        <f>ROUND(+B$4/+'Age Factors'!B27,0)</f>
        <v>253</v>
      </c>
      <c r="C27" s="50">
        <f>ROUND(+C$4/+'Age Factors'!C27,0)</f>
        <v>853</v>
      </c>
      <c r="D27" s="50">
        <f>ROUND(+D$4/+'Age Factors'!D27,0)</f>
        <v>1026</v>
      </c>
      <c r="E27" s="50">
        <f>ROUND(+E$4/+'Age Factors'!E27,0)</f>
        <v>1103</v>
      </c>
      <c r="F27" s="50">
        <f>ROUND(+F$4/+'Age Factors'!F27,0)</f>
        <v>1375</v>
      </c>
      <c r="G27" s="50">
        <f>ROUND(+G$4/+'Age Factors'!G27,0)</f>
        <v>1385</v>
      </c>
      <c r="H27" s="50">
        <f>ROUND(+H$4/+'Age Factors'!H27,0)</f>
        <v>1726</v>
      </c>
      <c r="I27" s="50">
        <f>ROUND(+I$4/+'Age Factors'!I27,0)</f>
        <v>2084</v>
      </c>
      <c r="J27" s="50">
        <f>ROUND(+J$4/+'Age Factors'!J27,0)</f>
        <v>2629</v>
      </c>
      <c r="K27" s="50">
        <f>ROUND(+K$4/+'Age Factors'!K27,0)</f>
        <v>2832</v>
      </c>
      <c r="L27" s="50">
        <f>ROUND(+L$4/+'Age Factors'!L27,0)</f>
        <v>3570</v>
      </c>
      <c r="M27" s="50">
        <f>ROUND(+M$4/+'Age Factors'!M27,0)</f>
        <v>3772</v>
      </c>
      <c r="N27" s="50">
        <f>ROUND(+N$4/+'Age Factors'!N27,0)</f>
        <v>4500</v>
      </c>
      <c r="O27" s="50">
        <f>ROUND(+O$4/+'Age Factors'!O27,0)</f>
        <v>5450</v>
      </c>
      <c r="P27" s="50">
        <f>ROUND(+P$4/+'Age Factors'!P27,0)</f>
        <v>7796</v>
      </c>
      <c r="Q27" s="50">
        <f>ROUND(+Q$4/+'Age Factors'!Q27,0)</f>
        <v>9390</v>
      </c>
      <c r="R27" s="50">
        <f>ROUND(+R$4/+'Age Factors'!R27,0)</f>
        <v>17100</v>
      </c>
      <c r="S27" s="50">
        <f>ROUND(+S$4/+'Age Factors'!S27,0)</f>
        <v>23591</v>
      </c>
      <c r="T27" s="50">
        <f>ROUND(+T$4/+'Age Factors'!T27,0)</f>
        <v>39700</v>
      </c>
      <c r="U27" s="50">
        <f>ROUND(+U$4/+'Age Factors'!U27,0)</f>
        <v>43500</v>
      </c>
      <c r="V27" s="50">
        <f>ROUND(+V$4/+'Age Factors'!V27,0)</f>
        <v>57600</v>
      </c>
      <c r="W27" s="47"/>
    </row>
    <row r="28" spans="1:23">
      <c r="A28" s="49">
        <v>27</v>
      </c>
      <c r="B28" s="50">
        <f>ROUND(+B$4/+'Age Factors'!B28,0)</f>
        <v>253</v>
      </c>
      <c r="C28" s="50">
        <f>ROUND(+C$4/+'Age Factors'!C28,0)</f>
        <v>853</v>
      </c>
      <c r="D28" s="50">
        <f>ROUND(+D$4/+'Age Factors'!D28,0)</f>
        <v>1026</v>
      </c>
      <c r="E28" s="50">
        <f>ROUND(+E$4/+'Age Factors'!E28,0)</f>
        <v>1104</v>
      </c>
      <c r="F28" s="50">
        <f>ROUND(+F$4/+'Age Factors'!F28,0)</f>
        <v>1376</v>
      </c>
      <c r="G28" s="50">
        <f>ROUND(+G$4/+'Age Factors'!G28,0)</f>
        <v>1386</v>
      </c>
      <c r="H28" s="50">
        <f>ROUND(+H$4/+'Age Factors'!H28,0)</f>
        <v>1728</v>
      </c>
      <c r="I28" s="50">
        <f>ROUND(+I$4/+'Age Factors'!I28,0)</f>
        <v>2086</v>
      </c>
      <c r="J28" s="50">
        <f>ROUND(+J$4/+'Age Factors'!J28,0)</f>
        <v>2631</v>
      </c>
      <c r="K28" s="50">
        <f>ROUND(+K$4/+'Age Factors'!K28,0)</f>
        <v>2833</v>
      </c>
      <c r="L28" s="50">
        <f>ROUND(+L$4/+'Age Factors'!L28,0)</f>
        <v>3570</v>
      </c>
      <c r="M28" s="50">
        <f>ROUND(+M$4/+'Age Factors'!M28,0)</f>
        <v>3772</v>
      </c>
      <c r="N28" s="50">
        <f>ROUND(+N$4/+'Age Factors'!N28,0)</f>
        <v>4500</v>
      </c>
      <c r="O28" s="50">
        <f>ROUND(+O$4/+'Age Factors'!O28,0)</f>
        <v>5450</v>
      </c>
      <c r="P28" s="50">
        <f>ROUND(+P$4/+'Age Factors'!P28,0)</f>
        <v>7796</v>
      </c>
      <c r="Q28" s="50">
        <f>ROUND(+Q$4/+'Age Factors'!Q28,0)</f>
        <v>9390</v>
      </c>
      <c r="R28" s="50">
        <f>ROUND(+R$4/+'Age Factors'!R28,0)</f>
        <v>17100</v>
      </c>
      <c r="S28" s="50">
        <f>ROUND(+S$4/+'Age Factors'!S28,0)</f>
        <v>23591</v>
      </c>
      <c r="T28" s="50">
        <f>ROUND(+T$4/+'Age Factors'!T28,0)</f>
        <v>39700</v>
      </c>
      <c r="U28" s="50">
        <f>ROUND(+U$4/+'Age Factors'!U28,0)</f>
        <v>43500</v>
      </c>
      <c r="V28" s="50">
        <f>ROUND(+V$4/+'Age Factors'!V28,0)</f>
        <v>57600</v>
      </c>
      <c r="W28" s="47"/>
    </row>
    <row r="29" spans="1:23">
      <c r="A29" s="49">
        <v>28</v>
      </c>
      <c r="B29" s="50">
        <f>ROUND(+B$4/+'Age Factors'!B29,0)</f>
        <v>253</v>
      </c>
      <c r="C29" s="50">
        <f>ROUND(+C$4/+'Age Factors'!C29,0)</f>
        <v>853</v>
      </c>
      <c r="D29" s="50">
        <f>ROUND(+D$4/+'Age Factors'!D29,0)</f>
        <v>1027</v>
      </c>
      <c r="E29" s="50">
        <f>ROUND(+E$4/+'Age Factors'!E29,0)</f>
        <v>1104</v>
      </c>
      <c r="F29" s="50">
        <f>ROUND(+F$4/+'Age Factors'!F29,0)</f>
        <v>1377</v>
      </c>
      <c r="G29" s="50">
        <f>ROUND(+G$4/+'Age Factors'!G29,0)</f>
        <v>1387</v>
      </c>
      <c r="H29" s="50">
        <f>ROUND(+H$4/+'Age Factors'!H29,0)</f>
        <v>1730</v>
      </c>
      <c r="I29" s="50">
        <f>ROUND(+I$4/+'Age Factors'!I29,0)</f>
        <v>2088</v>
      </c>
      <c r="J29" s="50">
        <f>ROUND(+J$4/+'Age Factors'!J29,0)</f>
        <v>2632</v>
      </c>
      <c r="K29" s="50">
        <f>ROUND(+K$4/+'Age Factors'!K29,0)</f>
        <v>2835</v>
      </c>
      <c r="L29" s="50">
        <f>ROUND(+L$4/+'Age Factors'!L29,0)</f>
        <v>3571</v>
      </c>
      <c r="M29" s="50">
        <f>ROUND(+M$4/+'Age Factors'!M29,0)</f>
        <v>3773</v>
      </c>
      <c r="N29" s="50">
        <f>ROUND(+N$4/+'Age Factors'!N29,0)</f>
        <v>4501</v>
      </c>
      <c r="O29" s="50">
        <f>ROUND(+O$4/+'Age Factors'!O29,0)</f>
        <v>5453</v>
      </c>
      <c r="P29" s="50">
        <f>ROUND(+P$4/+'Age Factors'!P29,0)</f>
        <v>7802</v>
      </c>
      <c r="Q29" s="50">
        <f>ROUND(+Q$4/+'Age Factors'!Q29,0)</f>
        <v>9398</v>
      </c>
      <c r="R29" s="50">
        <f>ROUND(+R$4/+'Age Factors'!R29,0)</f>
        <v>17114</v>
      </c>
      <c r="S29" s="50">
        <f>ROUND(+S$4/+'Age Factors'!S29,0)</f>
        <v>23610</v>
      </c>
      <c r="T29" s="50">
        <f>ROUND(+T$4/+'Age Factors'!T29,0)</f>
        <v>39732</v>
      </c>
      <c r="U29" s="50">
        <f>ROUND(+U$4/+'Age Factors'!U29,0)</f>
        <v>43535</v>
      </c>
      <c r="V29" s="50">
        <f>ROUND(+V$4/+'Age Factors'!V29,0)</f>
        <v>57646</v>
      </c>
      <c r="W29" s="47"/>
    </row>
    <row r="30" spans="1:23">
      <c r="A30" s="49">
        <v>29</v>
      </c>
      <c r="B30" s="50">
        <f>ROUND(+B$4/+'Age Factors'!B30,0)</f>
        <v>253</v>
      </c>
      <c r="C30" s="50">
        <f>ROUND(+C$4/+'Age Factors'!C30,0)</f>
        <v>853</v>
      </c>
      <c r="D30" s="50">
        <f>ROUND(+D$4/+'Age Factors'!D30,0)</f>
        <v>1027</v>
      </c>
      <c r="E30" s="50">
        <f>ROUND(+E$4/+'Age Factors'!E30,0)</f>
        <v>1105</v>
      </c>
      <c r="F30" s="50">
        <f>ROUND(+F$4/+'Age Factors'!F30,0)</f>
        <v>1379</v>
      </c>
      <c r="G30" s="50">
        <f>ROUND(+G$4/+'Age Factors'!G30,0)</f>
        <v>1389</v>
      </c>
      <c r="H30" s="50">
        <f>ROUND(+H$4/+'Age Factors'!H30,0)</f>
        <v>1733</v>
      </c>
      <c r="I30" s="50">
        <f>ROUND(+I$4/+'Age Factors'!I30,0)</f>
        <v>2091</v>
      </c>
      <c r="J30" s="50">
        <f>ROUND(+J$4/+'Age Factors'!J30,0)</f>
        <v>2635</v>
      </c>
      <c r="K30" s="50">
        <f>ROUND(+K$4/+'Age Factors'!K30,0)</f>
        <v>2838</v>
      </c>
      <c r="L30" s="50">
        <f>ROUND(+L$4/+'Age Factors'!L30,0)</f>
        <v>3574</v>
      </c>
      <c r="M30" s="50">
        <f>ROUND(+M$4/+'Age Factors'!M30,0)</f>
        <v>3775</v>
      </c>
      <c r="N30" s="50">
        <f>ROUND(+N$4/+'Age Factors'!N30,0)</f>
        <v>4505</v>
      </c>
      <c r="O30" s="50">
        <f>ROUND(+O$4/+'Age Factors'!O30,0)</f>
        <v>5457</v>
      </c>
      <c r="P30" s="50">
        <f>ROUND(+P$4/+'Age Factors'!P30,0)</f>
        <v>7809</v>
      </c>
      <c r="Q30" s="50">
        <f>ROUND(+Q$4/+'Age Factors'!Q30,0)</f>
        <v>9406</v>
      </c>
      <c r="R30" s="50">
        <f>ROUND(+R$4/+'Age Factors'!R30,0)</f>
        <v>17129</v>
      </c>
      <c r="S30" s="50">
        <f>ROUND(+S$4/+'Age Factors'!S30,0)</f>
        <v>23631</v>
      </c>
      <c r="T30" s="50">
        <f>ROUND(+T$4/+'Age Factors'!T30,0)</f>
        <v>39768</v>
      </c>
      <c r="U30" s="50">
        <f>ROUND(+U$4/+'Age Factors'!U30,0)</f>
        <v>43574</v>
      </c>
      <c r="V30" s="50">
        <f>ROUND(+V$4/+'Age Factors'!V30,0)</f>
        <v>57698</v>
      </c>
      <c r="W30" s="47"/>
    </row>
    <row r="31" spans="1:23">
      <c r="A31" s="57">
        <v>30</v>
      </c>
      <c r="B31" s="61">
        <f>ROUND(+B$4/+'Age Factors'!B31,0)</f>
        <v>253</v>
      </c>
      <c r="C31" s="61">
        <f>ROUND(+C$4/+'Age Factors'!C31,0)</f>
        <v>853</v>
      </c>
      <c r="D31" s="61">
        <f>ROUND(+D$4/+'Age Factors'!D31,0)</f>
        <v>1028</v>
      </c>
      <c r="E31" s="61">
        <f>ROUND(+E$4/+'Age Factors'!E31,0)</f>
        <v>1105</v>
      </c>
      <c r="F31" s="61">
        <f>ROUND(+F$4/+'Age Factors'!F31,0)</f>
        <v>1380</v>
      </c>
      <c r="G31" s="61">
        <f>ROUND(+G$4/+'Age Factors'!G31,0)</f>
        <v>1391</v>
      </c>
      <c r="H31" s="61">
        <f>ROUND(+H$4/+'Age Factors'!H31,0)</f>
        <v>1736</v>
      </c>
      <c r="I31" s="61">
        <f>ROUND(+I$4/+'Age Factors'!I31,0)</f>
        <v>2094</v>
      </c>
      <c r="J31" s="61">
        <f>ROUND(+J$4/+'Age Factors'!J31,0)</f>
        <v>2639</v>
      </c>
      <c r="K31" s="61">
        <f>ROUND(+K$4/+'Age Factors'!K31,0)</f>
        <v>2842</v>
      </c>
      <c r="L31" s="61">
        <f>ROUND(+L$4/+'Age Factors'!L31,0)</f>
        <v>3579</v>
      </c>
      <c r="M31" s="61">
        <f>ROUND(+M$4/+'Age Factors'!M31,0)</f>
        <v>3780</v>
      </c>
      <c r="N31" s="61">
        <f>ROUND(+N$4/+'Age Factors'!N31,0)</f>
        <v>4510</v>
      </c>
      <c r="O31" s="61">
        <f>ROUND(+O$4/+'Age Factors'!O31,0)</f>
        <v>5464</v>
      </c>
      <c r="P31" s="61">
        <f>ROUND(+P$4/+'Age Factors'!P31,0)</f>
        <v>7819</v>
      </c>
      <c r="Q31" s="61">
        <f>ROUND(+Q$4/+'Age Factors'!Q31,0)</f>
        <v>9418</v>
      </c>
      <c r="R31" s="61">
        <f>ROUND(+R$4/+'Age Factors'!R31,0)</f>
        <v>17151</v>
      </c>
      <c r="S31" s="61">
        <f>ROUND(+S$4/+'Age Factors'!S31,0)</f>
        <v>23662</v>
      </c>
      <c r="T31" s="61">
        <f>ROUND(+T$4/+'Age Factors'!T31,0)</f>
        <v>39819</v>
      </c>
      <c r="U31" s="61">
        <f>ROUND(+U$4/+'Age Factors'!U31,0)</f>
        <v>43631</v>
      </c>
      <c r="V31" s="61">
        <f>ROUND(+V$4/+'Age Factors'!V31,0)</f>
        <v>57773</v>
      </c>
      <c r="W31" s="47"/>
    </row>
    <row r="32" spans="1:23">
      <c r="A32" s="49">
        <v>31</v>
      </c>
      <c r="B32" s="50">
        <f>ROUND(+B$4/+'Age Factors'!B32,0)</f>
        <v>253</v>
      </c>
      <c r="C32" s="50">
        <f>ROUND(+C$4/+'Age Factors'!C32,0)</f>
        <v>853</v>
      </c>
      <c r="D32" s="50">
        <f>ROUND(+D$4/+'Age Factors'!D32,0)</f>
        <v>1028</v>
      </c>
      <c r="E32" s="50">
        <f>ROUND(+E$4/+'Age Factors'!E32,0)</f>
        <v>1106</v>
      </c>
      <c r="F32" s="50">
        <f>ROUND(+F$4/+'Age Factors'!F32,0)</f>
        <v>1382</v>
      </c>
      <c r="G32" s="50">
        <f>ROUND(+G$4/+'Age Factors'!G32,0)</f>
        <v>1393</v>
      </c>
      <c r="H32" s="50">
        <f>ROUND(+H$4/+'Age Factors'!H32,0)</f>
        <v>1740</v>
      </c>
      <c r="I32" s="50">
        <f>ROUND(+I$4/+'Age Factors'!I32,0)</f>
        <v>2098</v>
      </c>
      <c r="J32" s="50">
        <f>ROUND(+J$4/+'Age Factors'!J32,0)</f>
        <v>2644</v>
      </c>
      <c r="K32" s="50">
        <f>ROUND(+K$4/+'Age Factors'!K32,0)</f>
        <v>2847</v>
      </c>
      <c r="L32" s="50">
        <f>ROUND(+L$4/+'Age Factors'!L32,0)</f>
        <v>3585</v>
      </c>
      <c r="M32" s="50">
        <f>ROUND(+M$4/+'Age Factors'!M32,0)</f>
        <v>3786</v>
      </c>
      <c r="N32" s="50">
        <f>ROUND(+N$4/+'Age Factors'!N32,0)</f>
        <v>4518</v>
      </c>
      <c r="O32" s="50">
        <f>ROUND(+O$4/+'Age Factors'!O32,0)</f>
        <v>5474</v>
      </c>
      <c r="P32" s="50">
        <f>ROUND(+P$4/+'Age Factors'!P32,0)</f>
        <v>7833</v>
      </c>
      <c r="Q32" s="50">
        <f>ROUND(+Q$4/+'Age Factors'!Q32,0)</f>
        <v>9434</v>
      </c>
      <c r="R32" s="50">
        <f>ROUND(+R$4/+'Age Factors'!R32,0)</f>
        <v>17181</v>
      </c>
      <c r="S32" s="50">
        <f>ROUND(+S$4/+'Age Factors'!S32,0)</f>
        <v>23702</v>
      </c>
      <c r="T32" s="50">
        <f>ROUND(+T$4/+'Age Factors'!T32,0)</f>
        <v>39887</v>
      </c>
      <c r="U32" s="50">
        <f>ROUND(+U$4/+'Age Factors'!U32,0)</f>
        <v>43705</v>
      </c>
      <c r="V32" s="50">
        <f>ROUND(+V$4/+'Age Factors'!V32,0)</f>
        <v>57872</v>
      </c>
      <c r="W32" s="47"/>
    </row>
    <row r="33" spans="1:23">
      <c r="A33" s="49">
        <v>32</v>
      </c>
      <c r="B33" s="50">
        <f>ROUND(+B$4/+'Age Factors'!B33,0)</f>
        <v>253</v>
      </c>
      <c r="C33" s="50">
        <f>ROUND(+C$4/+'Age Factors'!C33,0)</f>
        <v>854</v>
      </c>
      <c r="D33" s="50">
        <f>ROUND(+D$4/+'Age Factors'!D33,0)</f>
        <v>1030</v>
      </c>
      <c r="E33" s="50">
        <f>ROUND(+E$4/+'Age Factors'!E33,0)</f>
        <v>1108</v>
      </c>
      <c r="F33" s="50">
        <f>ROUND(+F$4/+'Age Factors'!F33,0)</f>
        <v>1385</v>
      </c>
      <c r="G33" s="50">
        <f>ROUND(+G$4/+'Age Factors'!G33,0)</f>
        <v>1395</v>
      </c>
      <c r="H33" s="50">
        <f>ROUND(+H$4/+'Age Factors'!H33,0)</f>
        <v>1744</v>
      </c>
      <c r="I33" s="50">
        <f>ROUND(+I$4/+'Age Factors'!I33,0)</f>
        <v>2103</v>
      </c>
      <c r="J33" s="50">
        <f>ROUND(+J$4/+'Age Factors'!J33,0)</f>
        <v>2650</v>
      </c>
      <c r="K33" s="50">
        <f>ROUND(+K$4/+'Age Factors'!K33,0)</f>
        <v>2853</v>
      </c>
      <c r="L33" s="50">
        <f>ROUND(+L$4/+'Age Factors'!L33,0)</f>
        <v>3592</v>
      </c>
      <c r="M33" s="50">
        <f>ROUND(+M$4/+'Age Factors'!M33,0)</f>
        <v>3794</v>
      </c>
      <c r="N33" s="50">
        <f>ROUND(+N$4/+'Age Factors'!N33,0)</f>
        <v>4528</v>
      </c>
      <c r="O33" s="50">
        <f>ROUND(+O$4/+'Age Factors'!O33,0)</f>
        <v>5485</v>
      </c>
      <c r="P33" s="50">
        <f>ROUND(+P$4/+'Age Factors'!P33,0)</f>
        <v>7849</v>
      </c>
      <c r="Q33" s="50">
        <f>ROUND(+Q$4/+'Age Factors'!Q33,0)</f>
        <v>9454</v>
      </c>
      <c r="R33" s="50">
        <f>ROUND(+R$4/+'Age Factors'!R33,0)</f>
        <v>17217</v>
      </c>
      <c r="S33" s="50">
        <f>ROUND(+S$4/+'Age Factors'!S33,0)</f>
        <v>23753</v>
      </c>
      <c r="T33" s="50">
        <f>ROUND(+T$4/+'Age Factors'!T33,0)</f>
        <v>39972</v>
      </c>
      <c r="U33" s="50">
        <f>ROUND(+U$4/+'Age Factors'!U33,0)</f>
        <v>43798</v>
      </c>
      <c r="V33" s="50">
        <f>ROUND(+V$4/+'Age Factors'!V33,0)</f>
        <v>57994</v>
      </c>
      <c r="W33" s="47"/>
    </row>
    <row r="34" spans="1:23">
      <c r="A34" s="49">
        <v>33</v>
      </c>
      <c r="B34" s="50">
        <f>ROUND(+B$4/+'Age Factors'!B34,0)</f>
        <v>253</v>
      </c>
      <c r="C34" s="50">
        <f>ROUND(+C$4/+'Age Factors'!C34,0)</f>
        <v>856</v>
      </c>
      <c r="D34" s="50">
        <f>ROUND(+D$4/+'Age Factors'!D34,0)</f>
        <v>1032</v>
      </c>
      <c r="E34" s="50">
        <f>ROUND(+E$4/+'Age Factors'!E34,0)</f>
        <v>1111</v>
      </c>
      <c r="F34" s="50">
        <f>ROUND(+F$4/+'Age Factors'!F34,0)</f>
        <v>1389</v>
      </c>
      <c r="G34" s="50">
        <f>ROUND(+G$4/+'Age Factors'!G34,0)</f>
        <v>1399</v>
      </c>
      <c r="H34" s="50">
        <f>ROUND(+H$4/+'Age Factors'!H34,0)</f>
        <v>1749</v>
      </c>
      <c r="I34" s="50">
        <f>ROUND(+I$4/+'Age Factors'!I34,0)</f>
        <v>2109</v>
      </c>
      <c r="J34" s="50">
        <f>ROUND(+J$4/+'Age Factors'!J34,0)</f>
        <v>2657</v>
      </c>
      <c r="K34" s="50">
        <f>ROUND(+K$4/+'Age Factors'!K34,0)</f>
        <v>2861</v>
      </c>
      <c r="L34" s="50">
        <f>ROUND(+L$4/+'Age Factors'!L34,0)</f>
        <v>3602</v>
      </c>
      <c r="M34" s="50">
        <f>ROUND(+M$4/+'Age Factors'!M34,0)</f>
        <v>3804</v>
      </c>
      <c r="N34" s="50">
        <f>ROUND(+N$4/+'Age Factors'!N34,0)</f>
        <v>4539</v>
      </c>
      <c r="O34" s="50">
        <f>ROUND(+O$4/+'Age Factors'!O34,0)</f>
        <v>5499</v>
      </c>
      <c r="P34" s="50">
        <f>ROUND(+P$4/+'Age Factors'!P34,0)</f>
        <v>7869</v>
      </c>
      <c r="Q34" s="50">
        <f>ROUND(+Q$4/+'Age Factors'!Q34,0)</f>
        <v>9478</v>
      </c>
      <c r="R34" s="50">
        <f>ROUND(+R$4/+'Age Factors'!R34,0)</f>
        <v>17261</v>
      </c>
      <c r="S34" s="50">
        <f>ROUND(+S$4/+'Age Factors'!S34,0)</f>
        <v>23812</v>
      </c>
      <c r="T34" s="50">
        <f>ROUND(+T$4/+'Age Factors'!T34,0)</f>
        <v>40073</v>
      </c>
      <c r="U34" s="50">
        <f>ROUND(+U$4/+'Age Factors'!U34,0)</f>
        <v>43908</v>
      </c>
      <c r="V34" s="50">
        <f>ROUND(+V$4/+'Age Factors'!V34,0)</f>
        <v>58141</v>
      </c>
      <c r="W34" s="47"/>
    </row>
    <row r="35" spans="1:23">
      <c r="A35" s="49">
        <v>34</v>
      </c>
      <c r="B35" s="50">
        <f>ROUND(+B$4/+'Age Factors'!B35,0)</f>
        <v>253</v>
      </c>
      <c r="C35" s="50">
        <f>ROUND(+C$4/+'Age Factors'!C35,0)</f>
        <v>858</v>
      </c>
      <c r="D35" s="50">
        <f>ROUND(+D$4/+'Age Factors'!D35,0)</f>
        <v>1035</v>
      </c>
      <c r="E35" s="50">
        <f>ROUND(+E$4/+'Age Factors'!E35,0)</f>
        <v>1114</v>
      </c>
      <c r="F35" s="50">
        <f>ROUND(+F$4/+'Age Factors'!F35,0)</f>
        <v>1393</v>
      </c>
      <c r="G35" s="50">
        <f>ROUND(+G$4/+'Age Factors'!G35,0)</f>
        <v>1403</v>
      </c>
      <c r="H35" s="50">
        <f>ROUND(+H$4/+'Age Factors'!H35,0)</f>
        <v>1754</v>
      </c>
      <c r="I35" s="50">
        <f>ROUND(+I$4/+'Age Factors'!I35,0)</f>
        <v>2116</v>
      </c>
      <c r="J35" s="50">
        <f>ROUND(+J$4/+'Age Factors'!J35,0)</f>
        <v>2665</v>
      </c>
      <c r="K35" s="50">
        <f>ROUND(+K$4/+'Age Factors'!K35,0)</f>
        <v>2870</v>
      </c>
      <c r="L35" s="50">
        <f>ROUND(+L$4/+'Age Factors'!L35,0)</f>
        <v>3613</v>
      </c>
      <c r="M35" s="50">
        <f>ROUND(+M$4/+'Age Factors'!M35,0)</f>
        <v>3816</v>
      </c>
      <c r="N35" s="50">
        <f>ROUND(+N$4/+'Age Factors'!N35,0)</f>
        <v>4553</v>
      </c>
      <c r="O35" s="50">
        <f>ROUND(+O$4/+'Age Factors'!O35,0)</f>
        <v>5516</v>
      </c>
      <c r="P35" s="50">
        <f>ROUND(+P$4/+'Age Factors'!P35,0)</f>
        <v>7891</v>
      </c>
      <c r="Q35" s="50">
        <f>ROUND(+Q$4/+'Age Factors'!Q35,0)</f>
        <v>9505</v>
      </c>
      <c r="R35" s="50">
        <f>ROUND(+R$4/+'Age Factors'!R35,0)</f>
        <v>17309</v>
      </c>
      <c r="S35" s="50">
        <f>ROUND(+S$4/+'Age Factors'!S35,0)</f>
        <v>23880</v>
      </c>
      <c r="T35" s="50">
        <f>ROUND(+T$4/+'Age Factors'!T35,0)</f>
        <v>40186</v>
      </c>
      <c r="U35" s="50">
        <f>ROUND(+U$4/+'Age Factors'!U35,0)</f>
        <v>44033</v>
      </c>
      <c r="V35" s="50">
        <f>ROUND(+V$4/+'Age Factors'!V35,0)</f>
        <v>58305</v>
      </c>
      <c r="W35" s="47"/>
    </row>
    <row r="36" spans="1:23">
      <c r="A36" s="57">
        <v>35</v>
      </c>
      <c r="B36" s="61">
        <f>ROUND(+B$4/+'Age Factors'!B36,0)</f>
        <v>255</v>
      </c>
      <c r="C36" s="61">
        <f>ROUND(+C$4/+'Age Factors'!C36,0)</f>
        <v>861</v>
      </c>
      <c r="D36" s="61">
        <f>ROUND(+D$4/+'Age Factors'!D36,0)</f>
        <v>1038</v>
      </c>
      <c r="E36" s="61">
        <f>ROUND(+E$4/+'Age Factors'!E36,0)</f>
        <v>1117</v>
      </c>
      <c r="F36" s="61">
        <f>ROUND(+F$4/+'Age Factors'!F36,0)</f>
        <v>1397</v>
      </c>
      <c r="G36" s="61">
        <f>ROUND(+G$4/+'Age Factors'!G36,0)</f>
        <v>1408</v>
      </c>
      <c r="H36" s="61">
        <f>ROUND(+H$4/+'Age Factors'!H36,0)</f>
        <v>1760</v>
      </c>
      <c r="I36" s="61">
        <f>ROUND(+I$4/+'Age Factors'!I36,0)</f>
        <v>2123</v>
      </c>
      <c r="J36" s="61">
        <f>ROUND(+J$4/+'Age Factors'!J36,0)</f>
        <v>2675</v>
      </c>
      <c r="K36" s="61">
        <f>ROUND(+K$4/+'Age Factors'!K36,0)</f>
        <v>2880</v>
      </c>
      <c r="L36" s="61">
        <f>ROUND(+L$4/+'Age Factors'!L36,0)</f>
        <v>3626</v>
      </c>
      <c r="M36" s="61">
        <f>ROUND(+M$4/+'Age Factors'!M36,0)</f>
        <v>3830</v>
      </c>
      <c r="N36" s="61">
        <f>ROUND(+N$4/+'Age Factors'!N36,0)</f>
        <v>4569</v>
      </c>
      <c r="O36" s="61">
        <f>ROUND(+O$4/+'Age Factors'!O36,0)</f>
        <v>5535</v>
      </c>
      <c r="P36" s="61">
        <f>ROUND(+P$4/+'Age Factors'!P36,0)</f>
        <v>7918</v>
      </c>
      <c r="Q36" s="61">
        <f>ROUND(+Q$4/+'Age Factors'!Q36,0)</f>
        <v>9537</v>
      </c>
      <c r="R36" s="61">
        <f>ROUND(+R$4/+'Age Factors'!R36,0)</f>
        <v>17367</v>
      </c>
      <c r="S36" s="61">
        <f>ROUND(+S$4/+'Age Factors'!S36,0)</f>
        <v>23960</v>
      </c>
      <c r="T36" s="61">
        <f>ROUND(+T$4/+'Age Factors'!T36,0)</f>
        <v>40321</v>
      </c>
      <c r="U36" s="61">
        <f>ROUND(+U$4/+'Age Factors'!U36,0)</f>
        <v>44180</v>
      </c>
      <c r="V36" s="61">
        <f>ROUND(+V$4/+'Age Factors'!V36,0)</f>
        <v>58501</v>
      </c>
      <c r="W36" s="47"/>
    </row>
    <row r="37" spans="1:23">
      <c r="A37" s="49">
        <v>36</v>
      </c>
      <c r="B37" s="50">
        <f>ROUND(+B$4/+'Age Factors'!B37,0)</f>
        <v>255</v>
      </c>
      <c r="C37" s="50">
        <f>ROUND(+C$4/+'Age Factors'!C37,0)</f>
        <v>864</v>
      </c>
      <c r="D37" s="50">
        <f>ROUND(+D$4/+'Age Factors'!D37,0)</f>
        <v>1042</v>
      </c>
      <c r="E37" s="50">
        <f>ROUND(+E$4/+'Age Factors'!E37,0)</f>
        <v>1122</v>
      </c>
      <c r="F37" s="50">
        <f>ROUND(+F$4/+'Age Factors'!F37,0)</f>
        <v>1403</v>
      </c>
      <c r="G37" s="50">
        <f>ROUND(+G$4/+'Age Factors'!G37,0)</f>
        <v>1413</v>
      </c>
      <c r="H37" s="50">
        <f>ROUND(+H$4/+'Age Factors'!H37,0)</f>
        <v>1767</v>
      </c>
      <c r="I37" s="50">
        <f>ROUND(+I$4/+'Age Factors'!I37,0)</f>
        <v>2131</v>
      </c>
      <c r="J37" s="50">
        <f>ROUND(+J$4/+'Age Factors'!J37,0)</f>
        <v>2685</v>
      </c>
      <c r="K37" s="50">
        <f>ROUND(+K$4/+'Age Factors'!K37,0)</f>
        <v>2891</v>
      </c>
      <c r="L37" s="50">
        <f>ROUND(+L$4/+'Age Factors'!L37,0)</f>
        <v>3641</v>
      </c>
      <c r="M37" s="50">
        <f>ROUND(+M$4/+'Age Factors'!M37,0)</f>
        <v>3845</v>
      </c>
      <c r="N37" s="50">
        <f>ROUND(+N$4/+'Age Factors'!N37,0)</f>
        <v>4588</v>
      </c>
      <c r="O37" s="50">
        <f>ROUND(+O$4/+'Age Factors'!O37,0)</f>
        <v>5556</v>
      </c>
      <c r="P37" s="50">
        <f>ROUND(+P$4/+'Age Factors'!P37,0)</f>
        <v>7947</v>
      </c>
      <c r="Q37" s="50">
        <f>ROUND(+Q$4/+'Age Factors'!Q37,0)</f>
        <v>9572</v>
      </c>
      <c r="R37" s="50">
        <f>ROUND(+R$4/+'Age Factors'!R37,0)</f>
        <v>17431</v>
      </c>
      <c r="S37" s="50">
        <f>ROUND(+S$4/+'Age Factors'!S37,0)</f>
        <v>24048</v>
      </c>
      <c r="T37" s="50">
        <f>ROUND(+T$4/+'Age Factors'!T37,0)</f>
        <v>40469</v>
      </c>
      <c r="U37" s="50">
        <f>ROUND(+U$4/+'Age Factors'!U37,0)</f>
        <v>44343</v>
      </c>
      <c r="V37" s="50">
        <f>ROUND(+V$4/+'Age Factors'!V37,0)</f>
        <v>58716</v>
      </c>
      <c r="W37" s="47"/>
    </row>
    <row r="38" spans="1:23">
      <c r="A38" s="49">
        <v>37</v>
      </c>
      <c r="B38" s="50">
        <f>ROUND(+B$4/+'Age Factors'!B38,0)</f>
        <v>256</v>
      </c>
      <c r="C38" s="50">
        <f>ROUND(+C$4/+'Age Factors'!C38,0)</f>
        <v>869</v>
      </c>
      <c r="D38" s="50">
        <f>ROUND(+D$4/+'Age Factors'!D38,0)</f>
        <v>1047</v>
      </c>
      <c r="E38" s="50">
        <f>ROUND(+E$4/+'Age Factors'!E38,0)</f>
        <v>1127</v>
      </c>
      <c r="F38" s="50">
        <f>ROUND(+F$4/+'Age Factors'!F38,0)</f>
        <v>1409</v>
      </c>
      <c r="G38" s="50">
        <f>ROUND(+G$4/+'Age Factors'!G38,0)</f>
        <v>1419</v>
      </c>
      <c r="H38" s="50">
        <f>ROUND(+H$4/+'Age Factors'!H38,0)</f>
        <v>1774</v>
      </c>
      <c r="I38" s="50">
        <f>ROUND(+I$4/+'Age Factors'!I38,0)</f>
        <v>2140</v>
      </c>
      <c r="J38" s="50">
        <f>ROUND(+J$4/+'Age Factors'!J38,0)</f>
        <v>2697</v>
      </c>
      <c r="K38" s="50">
        <f>ROUND(+K$4/+'Age Factors'!K38,0)</f>
        <v>2904</v>
      </c>
      <c r="L38" s="50">
        <f>ROUND(+L$4/+'Age Factors'!L38,0)</f>
        <v>3657</v>
      </c>
      <c r="M38" s="50">
        <f>ROUND(+M$4/+'Age Factors'!M38,0)</f>
        <v>3863</v>
      </c>
      <c r="N38" s="50">
        <f>ROUND(+N$4/+'Age Factors'!N38,0)</f>
        <v>4608</v>
      </c>
      <c r="O38" s="50">
        <f>ROUND(+O$4/+'Age Factors'!O38,0)</f>
        <v>5579</v>
      </c>
      <c r="P38" s="50">
        <f>ROUND(+P$4/+'Age Factors'!P38,0)</f>
        <v>7979</v>
      </c>
      <c r="Q38" s="50">
        <f>ROUND(+Q$4/+'Age Factors'!Q38,0)</f>
        <v>9610</v>
      </c>
      <c r="R38" s="50">
        <f>ROUND(+R$4/+'Age Factors'!R38,0)</f>
        <v>17501</v>
      </c>
      <c r="S38" s="50">
        <f>ROUND(+S$4/+'Age Factors'!S38,0)</f>
        <v>24144</v>
      </c>
      <c r="T38" s="50">
        <f>ROUND(+T$4/+'Age Factors'!T38,0)</f>
        <v>40630</v>
      </c>
      <c r="U38" s="50">
        <f>ROUND(+U$4/+'Age Factors'!U38,0)</f>
        <v>44519</v>
      </c>
      <c r="V38" s="50">
        <f>ROUND(+V$4/+'Age Factors'!V38,0)</f>
        <v>58950</v>
      </c>
      <c r="W38" s="47"/>
    </row>
    <row r="39" spans="1:23">
      <c r="A39" s="49">
        <v>38</v>
      </c>
      <c r="B39" s="50">
        <f>ROUND(+B$4/+'Age Factors'!B39,0)</f>
        <v>257</v>
      </c>
      <c r="C39" s="50">
        <f>ROUND(+C$4/+'Age Factors'!C39,0)</f>
        <v>874</v>
      </c>
      <c r="D39" s="50">
        <f>ROUND(+D$4/+'Age Factors'!D39,0)</f>
        <v>1053</v>
      </c>
      <c r="E39" s="50">
        <f>ROUND(+E$4/+'Age Factors'!E39,0)</f>
        <v>1133</v>
      </c>
      <c r="F39" s="50">
        <f>ROUND(+F$4/+'Age Factors'!F39,0)</f>
        <v>1416</v>
      </c>
      <c r="G39" s="50">
        <f>ROUND(+G$4/+'Age Factors'!G39,0)</f>
        <v>1426</v>
      </c>
      <c r="H39" s="50">
        <f>ROUND(+H$4/+'Age Factors'!H39,0)</f>
        <v>1782</v>
      </c>
      <c r="I39" s="50">
        <f>ROUND(+I$4/+'Age Factors'!I39,0)</f>
        <v>2150</v>
      </c>
      <c r="J39" s="50">
        <f>ROUND(+J$4/+'Age Factors'!J39,0)</f>
        <v>2710</v>
      </c>
      <c r="K39" s="50">
        <f>ROUND(+K$4/+'Age Factors'!K39,0)</f>
        <v>2918</v>
      </c>
      <c r="L39" s="50">
        <f>ROUND(+L$4/+'Age Factors'!L39,0)</f>
        <v>3676</v>
      </c>
      <c r="M39" s="50">
        <f>ROUND(+M$4/+'Age Factors'!M39,0)</f>
        <v>3883</v>
      </c>
      <c r="N39" s="50">
        <f>ROUND(+N$4/+'Age Factors'!N39,0)</f>
        <v>4631</v>
      </c>
      <c r="O39" s="50">
        <f>ROUND(+O$4/+'Age Factors'!O39,0)</f>
        <v>5606</v>
      </c>
      <c r="P39" s="50">
        <f>ROUND(+P$4/+'Age Factors'!P39,0)</f>
        <v>8015</v>
      </c>
      <c r="Q39" s="50">
        <f>ROUND(+Q$4/+'Age Factors'!Q39,0)</f>
        <v>9654</v>
      </c>
      <c r="R39" s="50">
        <f>ROUND(+R$4/+'Age Factors'!R39,0)</f>
        <v>17580</v>
      </c>
      <c r="S39" s="50">
        <f>ROUND(+S$4/+'Age Factors'!S39,0)</f>
        <v>24253</v>
      </c>
      <c r="T39" s="50">
        <f>ROUND(+T$4/+'Age Factors'!T39,0)</f>
        <v>40814</v>
      </c>
      <c r="U39" s="50">
        <f>ROUND(+U$4/+'Age Factors'!U39,0)</f>
        <v>44721</v>
      </c>
      <c r="V39" s="50">
        <f>ROUND(+V$4/+'Age Factors'!V39,0)</f>
        <v>59217</v>
      </c>
      <c r="W39" s="47"/>
    </row>
    <row r="40" spans="1:23">
      <c r="A40" s="49">
        <v>39</v>
      </c>
      <c r="B40" s="50">
        <f>ROUND(+B$4/+'Age Factors'!B40,0)</f>
        <v>258</v>
      </c>
      <c r="C40" s="50">
        <f>ROUND(+C$4/+'Age Factors'!C40,0)</f>
        <v>879</v>
      </c>
      <c r="D40" s="50">
        <f>ROUND(+D$4/+'Age Factors'!D40,0)</f>
        <v>1059</v>
      </c>
      <c r="E40" s="50">
        <f>ROUND(+E$4/+'Age Factors'!E40,0)</f>
        <v>1140</v>
      </c>
      <c r="F40" s="50">
        <f>ROUND(+F$4/+'Age Factors'!F40,0)</f>
        <v>1423</v>
      </c>
      <c r="G40" s="50">
        <f>ROUND(+G$4/+'Age Factors'!G40,0)</f>
        <v>1434</v>
      </c>
      <c r="H40" s="50">
        <f>ROUND(+H$4/+'Age Factors'!H40,0)</f>
        <v>1790</v>
      </c>
      <c r="I40" s="50">
        <f>ROUND(+I$4/+'Age Factors'!I40,0)</f>
        <v>2161</v>
      </c>
      <c r="J40" s="50">
        <f>ROUND(+J$4/+'Age Factors'!J40,0)</f>
        <v>2724</v>
      </c>
      <c r="K40" s="50">
        <f>ROUND(+K$4/+'Age Factors'!K40,0)</f>
        <v>2934</v>
      </c>
      <c r="L40" s="50">
        <f>ROUND(+L$4/+'Age Factors'!L40,0)</f>
        <v>3696</v>
      </c>
      <c r="M40" s="50">
        <f>ROUND(+M$4/+'Age Factors'!M40,0)</f>
        <v>3905</v>
      </c>
      <c r="N40" s="50">
        <f>ROUND(+N$4/+'Age Factors'!N40,0)</f>
        <v>4656</v>
      </c>
      <c r="O40" s="50">
        <f>ROUND(+O$4/+'Age Factors'!O40,0)</f>
        <v>5636</v>
      </c>
      <c r="P40" s="50">
        <f>ROUND(+P$4/+'Age Factors'!P40,0)</f>
        <v>8055</v>
      </c>
      <c r="Q40" s="50">
        <f>ROUND(+Q$4/+'Age Factors'!Q40,0)</f>
        <v>9701</v>
      </c>
      <c r="R40" s="50">
        <f>ROUND(+R$4/+'Age Factors'!R40,0)</f>
        <v>17667</v>
      </c>
      <c r="S40" s="50">
        <f>ROUND(+S$4/+'Age Factors'!S40,0)</f>
        <v>24373</v>
      </c>
      <c r="T40" s="50">
        <f>ROUND(+T$4/+'Age Factors'!T40,0)</f>
        <v>41017</v>
      </c>
      <c r="U40" s="50">
        <f>ROUND(+U$4/+'Age Factors'!U40,0)</f>
        <v>44943</v>
      </c>
      <c r="V40" s="50">
        <f>ROUND(+V$4/+'Age Factors'!V40,0)</f>
        <v>59510</v>
      </c>
      <c r="W40" s="47"/>
    </row>
    <row r="41" spans="1:23">
      <c r="A41" s="57">
        <v>40</v>
      </c>
      <c r="B41" s="61">
        <f>ROUND(+B$4/+'Age Factors'!B41,0)</f>
        <v>260</v>
      </c>
      <c r="C41" s="61">
        <f>ROUND(+C$4/+'Age Factors'!C41,0)</f>
        <v>886</v>
      </c>
      <c r="D41" s="61">
        <f>ROUND(+D$4/+'Age Factors'!D41,0)</f>
        <v>1067</v>
      </c>
      <c r="E41" s="61">
        <f>ROUND(+E$4/+'Age Factors'!E41,0)</f>
        <v>1147</v>
      </c>
      <c r="F41" s="61">
        <f>ROUND(+F$4/+'Age Factors'!F41,0)</f>
        <v>1432</v>
      </c>
      <c r="G41" s="61">
        <f>ROUND(+G$4/+'Age Factors'!G41,0)</f>
        <v>1442</v>
      </c>
      <c r="H41" s="61">
        <f>ROUND(+H$4/+'Age Factors'!H41,0)</f>
        <v>1800</v>
      </c>
      <c r="I41" s="61">
        <f>ROUND(+I$4/+'Age Factors'!I41,0)</f>
        <v>2172</v>
      </c>
      <c r="J41" s="61">
        <f>ROUND(+J$4/+'Age Factors'!J41,0)</f>
        <v>2740</v>
      </c>
      <c r="K41" s="61">
        <f>ROUND(+K$4/+'Age Factors'!K41,0)</f>
        <v>2951</v>
      </c>
      <c r="L41" s="61">
        <f>ROUND(+L$4/+'Age Factors'!L41,0)</f>
        <v>3719</v>
      </c>
      <c r="M41" s="61">
        <f>ROUND(+M$4/+'Age Factors'!M41,0)</f>
        <v>3929</v>
      </c>
      <c r="N41" s="61">
        <f>ROUND(+N$4/+'Age Factors'!N41,0)</f>
        <v>4684</v>
      </c>
      <c r="O41" s="61">
        <f>ROUND(+O$4/+'Age Factors'!O41,0)</f>
        <v>5668</v>
      </c>
      <c r="P41" s="61">
        <f>ROUND(+P$4/+'Age Factors'!P41,0)</f>
        <v>8097</v>
      </c>
      <c r="Q41" s="61">
        <f>ROUND(+Q$4/+'Age Factors'!Q41,0)</f>
        <v>9753</v>
      </c>
      <c r="R41" s="61">
        <f>ROUND(+R$4/+'Age Factors'!R41,0)</f>
        <v>17761</v>
      </c>
      <c r="S41" s="61">
        <f>ROUND(+S$4/+'Age Factors'!S41,0)</f>
        <v>24502</v>
      </c>
      <c r="T41" s="61">
        <f>ROUND(+T$4/+'Age Factors'!T41,0)</f>
        <v>41234</v>
      </c>
      <c r="U41" s="61">
        <f>ROUND(+U$4/+'Age Factors'!U41,0)</f>
        <v>45181</v>
      </c>
      <c r="V41" s="61">
        <f>ROUND(+V$4/+'Age Factors'!V41,0)</f>
        <v>59826</v>
      </c>
      <c r="W41" s="47"/>
    </row>
    <row r="42" spans="1:23">
      <c r="A42" s="49">
        <v>41</v>
      </c>
      <c r="B42" s="50">
        <f>ROUND(+B$4/+'Age Factors'!B42,0)</f>
        <v>261</v>
      </c>
      <c r="C42" s="50">
        <f>ROUND(+C$4/+'Age Factors'!C42,0)</f>
        <v>893</v>
      </c>
      <c r="D42" s="50">
        <f>ROUND(+D$4/+'Age Factors'!D42,0)</f>
        <v>1074</v>
      </c>
      <c r="E42" s="50">
        <f>ROUND(+E$4/+'Age Factors'!E42,0)</f>
        <v>1155</v>
      </c>
      <c r="F42" s="50">
        <f>ROUND(+F$4/+'Age Factors'!F42,0)</f>
        <v>1441</v>
      </c>
      <c r="G42" s="50">
        <f>ROUND(+G$4/+'Age Factors'!G42,0)</f>
        <v>1451</v>
      </c>
      <c r="H42" s="50">
        <f>ROUND(+H$4/+'Age Factors'!H42,0)</f>
        <v>1810</v>
      </c>
      <c r="I42" s="50">
        <f>ROUND(+I$4/+'Age Factors'!I42,0)</f>
        <v>2185</v>
      </c>
      <c r="J42" s="50">
        <f>ROUND(+J$4/+'Age Factors'!J42,0)</f>
        <v>2757</v>
      </c>
      <c r="K42" s="50">
        <f>ROUND(+K$4/+'Age Factors'!K42,0)</f>
        <v>2969</v>
      </c>
      <c r="L42" s="50">
        <f>ROUND(+L$4/+'Age Factors'!L42,0)</f>
        <v>3743</v>
      </c>
      <c r="M42" s="50">
        <f>ROUND(+M$4/+'Age Factors'!M42,0)</f>
        <v>3955</v>
      </c>
      <c r="N42" s="50">
        <f>ROUND(+N$4/+'Age Factors'!N42,0)</f>
        <v>4714</v>
      </c>
      <c r="O42" s="50">
        <f>ROUND(+O$4/+'Age Factors'!O42,0)</f>
        <v>5704</v>
      </c>
      <c r="P42" s="50">
        <f>ROUND(+P$4/+'Age Factors'!P42,0)</f>
        <v>8144</v>
      </c>
      <c r="Q42" s="50">
        <f>ROUND(+Q$4/+'Age Factors'!Q42,0)</f>
        <v>9809</v>
      </c>
      <c r="R42" s="50">
        <f>ROUND(+R$4/+'Age Factors'!R42,0)</f>
        <v>17863</v>
      </c>
      <c r="S42" s="50">
        <f>ROUND(+S$4/+'Age Factors'!S42,0)</f>
        <v>24643</v>
      </c>
      <c r="T42" s="50">
        <f>ROUND(+T$4/+'Age Factors'!T42,0)</f>
        <v>41471</v>
      </c>
      <c r="U42" s="50">
        <f>ROUND(+U$4/+'Age Factors'!U42,0)</f>
        <v>45440</v>
      </c>
      <c r="V42" s="50">
        <f>ROUND(+V$4/+'Age Factors'!V42,0)</f>
        <v>60169</v>
      </c>
      <c r="W42" s="47"/>
    </row>
    <row r="43" spans="1:23">
      <c r="A43" s="49">
        <v>42</v>
      </c>
      <c r="B43" s="50">
        <f>ROUND(+B$4/+'Age Factors'!B43,0)</f>
        <v>263</v>
      </c>
      <c r="C43" s="50">
        <f>ROUND(+C$4/+'Age Factors'!C43,0)</f>
        <v>901</v>
      </c>
      <c r="D43" s="50">
        <f>ROUND(+D$4/+'Age Factors'!D43,0)</f>
        <v>1083</v>
      </c>
      <c r="E43" s="50">
        <f>ROUND(+E$4/+'Age Factors'!E43,0)</f>
        <v>1164</v>
      </c>
      <c r="F43" s="50">
        <f>ROUND(+F$4/+'Age Factors'!F43,0)</f>
        <v>1451</v>
      </c>
      <c r="G43" s="50">
        <f>ROUND(+G$4/+'Age Factors'!G43,0)</f>
        <v>1461</v>
      </c>
      <c r="H43" s="50">
        <f>ROUND(+H$4/+'Age Factors'!H43,0)</f>
        <v>1820</v>
      </c>
      <c r="I43" s="50">
        <f>ROUND(+I$4/+'Age Factors'!I43,0)</f>
        <v>2199</v>
      </c>
      <c r="J43" s="50">
        <f>ROUND(+J$4/+'Age Factors'!J43,0)</f>
        <v>2775</v>
      </c>
      <c r="K43" s="50">
        <f>ROUND(+K$4/+'Age Factors'!K43,0)</f>
        <v>2990</v>
      </c>
      <c r="L43" s="50">
        <f>ROUND(+L$4/+'Age Factors'!L43,0)</f>
        <v>3770</v>
      </c>
      <c r="M43" s="50">
        <f>ROUND(+M$4/+'Age Factors'!M43,0)</f>
        <v>3984</v>
      </c>
      <c r="N43" s="50">
        <f>ROUND(+N$4/+'Age Factors'!N43,0)</f>
        <v>4747</v>
      </c>
      <c r="O43" s="50">
        <f>ROUND(+O$4/+'Age Factors'!O43,0)</f>
        <v>5742</v>
      </c>
      <c r="P43" s="50">
        <f>ROUND(+P$4/+'Age Factors'!P43,0)</f>
        <v>8194</v>
      </c>
      <c r="Q43" s="50">
        <f>ROUND(+Q$4/+'Age Factors'!Q43,0)</f>
        <v>9870</v>
      </c>
      <c r="R43" s="50">
        <f>ROUND(+R$4/+'Age Factors'!R43,0)</f>
        <v>17974</v>
      </c>
      <c r="S43" s="50">
        <f>ROUND(+S$4/+'Age Factors'!S43,0)</f>
        <v>24796</v>
      </c>
      <c r="T43" s="50">
        <f>ROUND(+T$4/+'Age Factors'!T43,0)</f>
        <v>41728</v>
      </c>
      <c r="U43" s="50">
        <f>ROUND(+U$4/+'Age Factors'!U43,0)</f>
        <v>45722</v>
      </c>
      <c r="V43" s="50">
        <f>ROUND(+V$4/+'Age Factors'!V43,0)</f>
        <v>60542</v>
      </c>
      <c r="W43" s="47"/>
    </row>
    <row r="44" spans="1:23">
      <c r="A44" s="49">
        <v>43</v>
      </c>
      <c r="B44" s="50">
        <f>ROUND(+B$4/+'Age Factors'!B44,0)</f>
        <v>264</v>
      </c>
      <c r="C44" s="50">
        <f>ROUND(+C$4/+'Age Factors'!C44,0)</f>
        <v>910</v>
      </c>
      <c r="D44" s="50">
        <f>ROUND(+D$4/+'Age Factors'!D44,0)</f>
        <v>1093</v>
      </c>
      <c r="E44" s="50">
        <f>ROUND(+E$4/+'Age Factors'!E44,0)</f>
        <v>1175</v>
      </c>
      <c r="F44" s="50">
        <f>ROUND(+F$4/+'Age Factors'!F44,0)</f>
        <v>1462</v>
      </c>
      <c r="G44" s="50">
        <f>ROUND(+G$4/+'Age Factors'!G44,0)</f>
        <v>1472</v>
      </c>
      <c r="H44" s="50">
        <f>ROUND(+H$4/+'Age Factors'!H44,0)</f>
        <v>1832</v>
      </c>
      <c r="I44" s="50">
        <f>ROUND(+I$4/+'Age Factors'!I44,0)</f>
        <v>2213</v>
      </c>
      <c r="J44" s="50">
        <f>ROUND(+J$4/+'Age Factors'!J44,0)</f>
        <v>2795</v>
      </c>
      <c r="K44" s="50">
        <f>ROUND(+K$4/+'Age Factors'!K44,0)</f>
        <v>3011</v>
      </c>
      <c r="L44" s="50">
        <f>ROUND(+L$4/+'Age Factors'!L44,0)</f>
        <v>3799</v>
      </c>
      <c r="M44" s="50">
        <f>ROUND(+M$4/+'Age Factors'!M44,0)</f>
        <v>4015</v>
      </c>
      <c r="N44" s="50">
        <f>ROUND(+N$4/+'Age Factors'!N44,0)</f>
        <v>4783</v>
      </c>
      <c r="O44" s="50">
        <f>ROUND(+O$4/+'Age Factors'!O44,0)</f>
        <v>5783</v>
      </c>
      <c r="P44" s="50">
        <f>ROUND(+P$4/+'Age Factors'!P44,0)</f>
        <v>8248</v>
      </c>
      <c r="Q44" s="50">
        <f>ROUND(+Q$4/+'Age Factors'!Q44,0)</f>
        <v>9934</v>
      </c>
      <c r="R44" s="50">
        <f>ROUND(+R$4/+'Age Factors'!R44,0)</f>
        <v>18091</v>
      </c>
      <c r="S44" s="50">
        <f>ROUND(+S$4/+'Age Factors'!S44,0)</f>
        <v>24959</v>
      </c>
      <c r="T44" s="50">
        <f>ROUND(+T$4/+'Age Factors'!T44,0)</f>
        <v>42002</v>
      </c>
      <c r="U44" s="50">
        <f>ROUND(+U$4/+'Age Factors'!U44,0)</f>
        <v>46022</v>
      </c>
      <c r="V44" s="50">
        <f>ROUND(+V$4/+'Age Factors'!V44,0)</f>
        <v>60939</v>
      </c>
      <c r="W44" s="47"/>
    </row>
    <row r="45" spans="1:23">
      <c r="A45" s="49">
        <v>44</v>
      </c>
      <c r="B45" s="50">
        <f>ROUND(+B$4/+'Age Factors'!B45,0)</f>
        <v>266</v>
      </c>
      <c r="C45" s="50">
        <f>ROUND(+C$4/+'Age Factors'!C45,0)</f>
        <v>919</v>
      </c>
      <c r="D45" s="50">
        <f>ROUND(+D$4/+'Age Factors'!D45,0)</f>
        <v>1103</v>
      </c>
      <c r="E45" s="50">
        <f>ROUND(+E$4/+'Age Factors'!E45,0)</f>
        <v>1185</v>
      </c>
      <c r="F45" s="50">
        <f>ROUND(+F$4/+'Age Factors'!F45,0)</f>
        <v>1473</v>
      </c>
      <c r="G45" s="50">
        <f>ROUND(+G$4/+'Age Factors'!G45,0)</f>
        <v>1484</v>
      </c>
      <c r="H45" s="50">
        <f>ROUND(+H$4/+'Age Factors'!H45,0)</f>
        <v>1844</v>
      </c>
      <c r="I45" s="50">
        <f>ROUND(+I$4/+'Age Factors'!I45,0)</f>
        <v>2229</v>
      </c>
      <c r="J45" s="50">
        <f>ROUND(+J$4/+'Age Factors'!J45,0)</f>
        <v>2816</v>
      </c>
      <c r="K45" s="50">
        <f>ROUND(+K$4/+'Age Factors'!K45,0)</f>
        <v>3034</v>
      </c>
      <c r="L45" s="50">
        <f>ROUND(+L$4/+'Age Factors'!L45,0)</f>
        <v>3830</v>
      </c>
      <c r="M45" s="50">
        <f>ROUND(+M$4/+'Age Factors'!M45,0)</f>
        <v>4049</v>
      </c>
      <c r="N45" s="50">
        <f>ROUND(+N$4/+'Age Factors'!N45,0)</f>
        <v>4821</v>
      </c>
      <c r="O45" s="50">
        <f>ROUND(+O$4/+'Age Factors'!O45,0)</f>
        <v>5828</v>
      </c>
      <c r="P45" s="50">
        <f>ROUND(+P$4/+'Age Factors'!P45,0)</f>
        <v>8306</v>
      </c>
      <c r="Q45" s="50">
        <f>ROUND(+Q$4/+'Age Factors'!Q45,0)</f>
        <v>10004</v>
      </c>
      <c r="R45" s="50">
        <f>ROUND(+R$4/+'Age Factors'!R45,0)</f>
        <v>18219</v>
      </c>
      <c r="S45" s="50">
        <f>ROUND(+S$4/+'Age Factors'!S45,0)</f>
        <v>25134</v>
      </c>
      <c r="T45" s="50">
        <f>ROUND(+T$4/+'Age Factors'!T45,0)</f>
        <v>42297</v>
      </c>
      <c r="U45" s="50">
        <f>ROUND(+U$4/+'Age Factors'!U45,0)</f>
        <v>46346</v>
      </c>
      <c r="V45" s="50">
        <f>ROUND(+V$4/+'Age Factors'!V45,0)</f>
        <v>61368</v>
      </c>
      <c r="W45" s="47"/>
    </row>
    <row r="46" spans="1:23">
      <c r="A46" s="57">
        <v>45</v>
      </c>
      <c r="B46" s="61">
        <f>ROUND(+B$4/+'Age Factors'!B46,0)</f>
        <v>268</v>
      </c>
      <c r="C46" s="61">
        <f>ROUND(+C$4/+'Age Factors'!C46,0)</f>
        <v>929</v>
      </c>
      <c r="D46" s="61">
        <f>ROUND(+D$4/+'Age Factors'!D46,0)</f>
        <v>1114</v>
      </c>
      <c r="E46" s="61">
        <f>ROUND(+E$4/+'Age Factors'!E46,0)</f>
        <v>1196</v>
      </c>
      <c r="F46" s="61">
        <f>ROUND(+F$4/+'Age Factors'!F46,0)</f>
        <v>1485</v>
      </c>
      <c r="G46" s="61">
        <f>ROUND(+G$4/+'Age Factors'!G46,0)</f>
        <v>1496</v>
      </c>
      <c r="H46" s="61">
        <f>ROUND(+H$4/+'Age Factors'!H46,0)</f>
        <v>1857</v>
      </c>
      <c r="I46" s="61">
        <f>ROUND(+I$4/+'Age Factors'!I46,0)</f>
        <v>2246</v>
      </c>
      <c r="J46" s="61">
        <f>ROUND(+J$4/+'Age Factors'!J46,0)</f>
        <v>2839</v>
      </c>
      <c r="K46" s="61">
        <f>ROUND(+K$4/+'Age Factors'!K46,0)</f>
        <v>3060</v>
      </c>
      <c r="L46" s="61">
        <f>ROUND(+L$4/+'Age Factors'!L46,0)</f>
        <v>3864</v>
      </c>
      <c r="M46" s="61">
        <f>ROUND(+M$4/+'Age Factors'!M46,0)</f>
        <v>4085</v>
      </c>
      <c r="N46" s="61">
        <f>ROUND(+N$4/+'Age Factors'!N46,0)</f>
        <v>4863</v>
      </c>
      <c r="O46" s="61">
        <f>ROUND(+O$4/+'Age Factors'!O46,0)</f>
        <v>5876</v>
      </c>
      <c r="P46" s="61">
        <f>ROUND(+P$4/+'Age Factors'!P46,0)</f>
        <v>8369</v>
      </c>
      <c r="Q46" s="61">
        <f>ROUND(+Q$4/+'Age Factors'!Q46,0)</f>
        <v>10081</v>
      </c>
      <c r="R46" s="61">
        <f>ROUND(+R$4/+'Age Factors'!R46,0)</f>
        <v>18357</v>
      </c>
      <c r="S46" s="61">
        <f>ROUND(+S$4/+'Age Factors'!S46,0)</f>
        <v>25326</v>
      </c>
      <c r="T46" s="61">
        <f>ROUND(+T$4/+'Age Factors'!T46,0)</f>
        <v>42619</v>
      </c>
      <c r="U46" s="61">
        <f>ROUND(+U$4/+'Age Factors'!U46,0)</f>
        <v>46699</v>
      </c>
      <c r="V46" s="61">
        <f>ROUND(+V$4/+'Age Factors'!V46,0)</f>
        <v>61836</v>
      </c>
      <c r="W46" s="47"/>
    </row>
    <row r="47" spans="1:23">
      <c r="A47" s="49">
        <v>46</v>
      </c>
      <c r="B47" s="50">
        <f>ROUND(+B$4/+'Age Factors'!B47,0)</f>
        <v>271</v>
      </c>
      <c r="C47" s="50">
        <f>ROUND(+C$4/+'Age Factors'!C47,0)</f>
        <v>939</v>
      </c>
      <c r="D47" s="50">
        <f>ROUND(+D$4/+'Age Factors'!D47,0)</f>
        <v>1125</v>
      </c>
      <c r="E47" s="50">
        <f>ROUND(+E$4/+'Age Factors'!E47,0)</f>
        <v>1208</v>
      </c>
      <c r="F47" s="50">
        <f>ROUND(+F$4/+'Age Factors'!F47,0)</f>
        <v>1498</v>
      </c>
      <c r="G47" s="50">
        <f>ROUND(+G$4/+'Age Factors'!G47,0)</f>
        <v>1509</v>
      </c>
      <c r="H47" s="50">
        <f>ROUND(+H$4/+'Age Factors'!H47,0)</f>
        <v>1871</v>
      </c>
      <c r="I47" s="50">
        <f>ROUND(+I$4/+'Age Factors'!I47,0)</f>
        <v>2264</v>
      </c>
      <c r="J47" s="50">
        <f>ROUND(+J$4/+'Age Factors'!J47,0)</f>
        <v>2863</v>
      </c>
      <c r="K47" s="50">
        <f>ROUND(+K$4/+'Age Factors'!K47,0)</f>
        <v>3087</v>
      </c>
      <c r="L47" s="50">
        <f>ROUND(+L$4/+'Age Factors'!L47,0)</f>
        <v>3900</v>
      </c>
      <c r="M47" s="50">
        <f>ROUND(+M$4/+'Age Factors'!M47,0)</f>
        <v>4124</v>
      </c>
      <c r="N47" s="50">
        <f>ROUND(+N$4/+'Age Factors'!N47,0)</f>
        <v>4907</v>
      </c>
      <c r="O47" s="50">
        <f>ROUND(+O$4/+'Age Factors'!O47,0)</f>
        <v>5927</v>
      </c>
      <c r="P47" s="50">
        <f>ROUND(+P$4/+'Age Factors'!P47,0)</f>
        <v>8436</v>
      </c>
      <c r="Q47" s="50">
        <f>ROUND(+Q$4/+'Age Factors'!Q47,0)</f>
        <v>10161</v>
      </c>
      <c r="R47" s="50">
        <f>ROUND(+R$4/+'Age Factors'!R47,0)</f>
        <v>18504</v>
      </c>
      <c r="S47" s="50">
        <f>ROUND(+S$4/+'Age Factors'!S47,0)</f>
        <v>25529</v>
      </c>
      <c r="T47" s="50">
        <f>ROUND(+T$4/+'Age Factors'!T47,0)</f>
        <v>42961</v>
      </c>
      <c r="U47" s="50">
        <f>ROUND(+U$4/+'Age Factors'!U47,0)</f>
        <v>47073</v>
      </c>
      <c r="V47" s="50">
        <f>ROUND(+V$4/+'Age Factors'!V47,0)</f>
        <v>62331</v>
      </c>
      <c r="W47" s="47"/>
    </row>
    <row r="48" spans="1:23">
      <c r="A48" s="49">
        <v>47</v>
      </c>
      <c r="B48" s="50">
        <f>ROUND(+B$4/+'Age Factors'!B48,0)</f>
        <v>273</v>
      </c>
      <c r="C48" s="50">
        <f>ROUND(+C$4/+'Age Factors'!C48,0)</f>
        <v>949</v>
      </c>
      <c r="D48" s="50">
        <f>ROUND(+D$4/+'Age Factors'!D48,0)</f>
        <v>1136</v>
      </c>
      <c r="E48" s="50">
        <f>ROUND(+E$4/+'Age Factors'!E48,0)</f>
        <v>1219</v>
      </c>
      <c r="F48" s="50">
        <f>ROUND(+F$4/+'Age Factors'!F48,0)</f>
        <v>1511</v>
      </c>
      <c r="G48" s="50">
        <f>ROUND(+G$4/+'Age Factors'!G48,0)</f>
        <v>1522</v>
      </c>
      <c r="H48" s="50">
        <f>ROUND(+H$4/+'Age Factors'!H48,0)</f>
        <v>1886</v>
      </c>
      <c r="I48" s="50">
        <f>ROUND(+I$4/+'Age Factors'!I48,0)</f>
        <v>2283</v>
      </c>
      <c r="J48" s="50">
        <f>ROUND(+J$4/+'Age Factors'!J48,0)</f>
        <v>2889</v>
      </c>
      <c r="K48" s="50">
        <f>ROUND(+K$4/+'Age Factors'!K48,0)</f>
        <v>3115</v>
      </c>
      <c r="L48" s="50">
        <f>ROUND(+L$4/+'Age Factors'!L48,0)</f>
        <v>3940</v>
      </c>
      <c r="M48" s="50">
        <f>ROUND(+M$4/+'Age Factors'!M48,0)</f>
        <v>4166</v>
      </c>
      <c r="N48" s="50">
        <f>ROUND(+N$4/+'Age Factors'!N48,0)</f>
        <v>4955</v>
      </c>
      <c r="O48" s="50">
        <f>ROUND(+O$4/+'Age Factors'!O48,0)</f>
        <v>5982</v>
      </c>
      <c r="P48" s="50">
        <f>ROUND(+P$4/+'Age Factors'!P48,0)</f>
        <v>8507</v>
      </c>
      <c r="Q48" s="50">
        <f>ROUND(+Q$4/+'Age Factors'!Q48,0)</f>
        <v>10247</v>
      </c>
      <c r="R48" s="50">
        <f>ROUND(+R$4/+'Age Factors'!R48,0)</f>
        <v>18660</v>
      </c>
      <c r="S48" s="50">
        <f>ROUND(+S$4/+'Age Factors'!S48,0)</f>
        <v>25743</v>
      </c>
      <c r="T48" s="50">
        <f>ROUND(+T$4/+'Age Factors'!T48,0)</f>
        <v>43322</v>
      </c>
      <c r="U48" s="50">
        <f>ROUND(+U$4/+'Age Factors'!U48,0)</f>
        <v>47468</v>
      </c>
      <c r="V48" s="50">
        <f>ROUND(+V$4/+'Age Factors'!V48,0)</f>
        <v>62855</v>
      </c>
      <c r="W48" s="47"/>
    </row>
    <row r="49" spans="1:23">
      <c r="A49" s="49">
        <v>48</v>
      </c>
      <c r="B49" s="50">
        <f>ROUND(+B$4/+'Age Factors'!B49,0)</f>
        <v>276</v>
      </c>
      <c r="C49" s="50">
        <f>ROUND(+C$4/+'Age Factors'!C49,0)</f>
        <v>960</v>
      </c>
      <c r="D49" s="50">
        <f>ROUND(+D$4/+'Age Factors'!D49,0)</f>
        <v>1148</v>
      </c>
      <c r="E49" s="50">
        <f>ROUND(+E$4/+'Age Factors'!E49,0)</f>
        <v>1231</v>
      </c>
      <c r="F49" s="50">
        <f>ROUND(+F$4/+'Age Factors'!F49,0)</f>
        <v>1525</v>
      </c>
      <c r="G49" s="50">
        <f>ROUND(+G$4/+'Age Factors'!G49,0)</f>
        <v>1536</v>
      </c>
      <c r="H49" s="50">
        <f>ROUND(+H$4/+'Age Factors'!H49,0)</f>
        <v>1901</v>
      </c>
      <c r="I49" s="50">
        <f>ROUND(+I$4/+'Age Factors'!I49,0)</f>
        <v>2303</v>
      </c>
      <c r="J49" s="50">
        <f>ROUND(+J$4/+'Age Factors'!J49,0)</f>
        <v>2917</v>
      </c>
      <c r="K49" s="50">
        <f>ROUND(+K$4/+'Age Factors'!K49,0)</f>
        <v>3146</v>
      </c>
      <c r="L49" s="50">
        <f>ROUND(+L$4/+'Age Factors'!L49,0)</f>
        <v>3981</v>
      </c>
      <c r="M49" s="50">
        <f>ROUND(+M$4/+'Age Factors'!M49,0)</f>
        <v>4211</v>
      </c>
      <c r="N49" s="50">
        <f>ROUND(+N$4/+'Age Factors'!N49,0)</f>
        <v>5007</v>
      </c>
      <c r="O49" s="50">
        <f>ROUND(+O$4/+'Age Factors'!O49,0)</f>
        <v>6041</v>
      </c>
      <c r="P49" s="50">
        <f>ROUND(+P$4/+'Age Factors'!P49,0)</f>
        <v>8584</v>
      </c>
      <c r="Q49" s="50">
        <f>ROUND(+Q$4/+'Age Factors'!Q49,0)</f>
        <v>10339</v>
      </c>
      <c r="R49" s="50">
        <f>ROUND(+R$4/+'Age Factors'!R49,0)</f>
        <v>18828</v>
      </c>
      <c r="S49" s="50">
        <f>ROUND(+S$4/+'Age Factors'!S49,0)</f>
        <v>25976</v>
      </c>
      <c r="T49" s="50">
        <f>ROUND(+T$4/+'Age Factors'!T49,0)</f>
        <v>43713</v>
      </c>
      <c r="U49" s="50">
        <f>ROUND(+U$4/+'Age Factors'!U49,0)</f>
        <v>47897</v>
      </c>
      <c r="V49" s="50">
        <f>ROUND(+V$4/+'Age Factors'!V49,0)</f>
        <v>63422</v>
      </c>
      <c r="W49" s="47"/>
    </row>
    <row r="50" spans="1:23">
      <c r="A50" s="49">
        <v>49</v>
      </c>
      <c r="B50" s="50">
        <f>ROUND(+B$4/+'Age Factors'!B50,0)</f>
        <v>279</v>
      </c>
      <c r="C50" s="50">
        <f>ROUND(+C$4/+'Age Factors'!C50,0)</f>
        <v>970</v>
      </c>
      <c r="D50" s="50">
        <f>ROUND(+D$4/+'Age Factors'!D50,0)</f>
        <v>1160</v>
      </c>
      <c r="E50" s="50">
        <f>ROUND(+E$4/+'Age Factors'!E50,0)</f>
        <v>1244</v>
      </c>
      <c r="F50" s="50">
        <f>ROUND(+F$4/+'Age Factors'!F50,0)</f>
        <v>1539</v>
      </c>
      <c r="G50" s="50">
        <f>ROUND(+G$4/+'Age Factors'!G50,0)</f>
        <v>1550</v>
      </c>
      <c r="H50" s="50">
        <f>ROUND(+H$4/+'Age Factors'!H50,0)</f>
        <v>1918</v>
      </c>
      <c r="I50" s="50">
        <f>ROUND(+I$4/+'Age Factors'!I50,0)</f>
        <v>2325</v>
      </c>
      <c r="J50" s="50">
        <f>ROUND(+J$4/+'Age Factors'!J50,0)</f>
        <v>2947</v>
      </c>
      <c r="K50" s="50">
        <f>ROUND(+K$4/+'Age Factors'!K50,0)</f>
        <v>3179</v>
      </c>
      <c r="L50" s="50">
        <f>ROUND(+L$4/+'Age Factors'!L50,0)</f>
        <v>4027</v>
      </c>
      <c r="M50" s="50">
        <f>ROUND(+M$4/+'Age Factors'!M50,0)</f>
        <v>4259</v>
      </c>
      <c r="N50" s="50">
        <f>ROUND(+N$4/+'Age Factors'!N50,0)</f>
        <v>5061</v>
      </c>
      <c r="O50" s="50">
        <f>ROUND(+O$4/+'Age Factors'!O50,0)</f>
        <v>6104</v>
      </c>
      <c r="P50" s="50">
        <f>ROUND(+P$4/+'Age Factors'!P50,0)</f>
        <v>8665</v>
      </c>
      <c r="Q50" s="50">
        <f>ROUND(+Q$4/+'Age Factors'!Q50,0)</f>
        <v>10437</v>
      </c>
      <c r="R50" s="50">
        <f>ROUND(+R$4/+'Age Factors'!R50,0)</f>
        <v>19006</v>
      </c>
      <c r="S50" s="50">
        <f>ROUND(+S$4/+'Age Factors'!S50,0)</f>
        <v>26221</v>
      </c>
      <c r="T50" s="50">
        <f>ROUND(+T$4/+'Age Factors'!T50,0)</f>
        <v>44126</v>
      </c>
      <c r="U50" s="50">
        <f>ROUND(+U$4/+'Age Factors'!U50,0)</f>
        <v>48349</v>
      </c>
      <c r="V50" s="50">
        <f>ROUND(+V$4/+'Age Factors'!V50,0)</f>
        <v>64021</v>
      </c>
      <c r="W50" s="47"/>
    </row>
    <row r="51" spans="1:23">
      <c r="A51" s="57">
        <v>50</v>
      </c>
      <c r="B51" s="61">
        <f>ROUND(+B$4/+'Age Factors'!B51,0)</f>
        <v>282</v>
      </c>
      <c r="C51" s="61">
        <f>ROUND(+C$4/+'Age Factors'!C51,0)</f>
        <v>981</v>
      </c>
      <c r="D51" s="61">
        <f>ROUND(+D$4/+'Age Factors'!D51,0)</f>
        <v>1172</v>
      </c>
      <c r="E51" s="61">
        <f>ROUND(+E$4/+'Age Factors'!E51,0)</f>
        <v>1257</v>
      </c>
      <c r="F51" s="61">
        <f>ROUND(+F$4/+'Age Factors'!F51,0)</f>
        <v>1554</v>
      </c>
      <c r="G51" s="61">
        <f>ROUND(+G$4/+'Age Factors'!G51,0)</f>
        <v>1565</v>
      </c>
      <c r="H51" s="61">
        <f>ROUND(+H$4/+'Age Factors'!H51,0)</f>
        <v>1935</v>
      </c>
      <c r="I51" s="61">
        <f>ROUND(+I$4/+'Age Factors'!I51,0)</f>
        <v>2347</v>
      </c>
      <c r="J51" s="61">
        <f>ROUND(+J$4/+'Age Factors'!J51,0)</f>
        <v>2978</v>
      </c>
      <c r="K51" s="61">
        <f>ROUND(+K$4/+'Age Factors'!K51,0)</f>
        <v>3213</v>
      </c>
      <c r="L51" s="61">
        <f>ROUND(+L$4/+'Age Factors'!L51,0)</f>
        <v>4073</v>
      </c>
      <c r="M51" s="61">
        <f>ROUND(+M$4/+'Age Factors'!M51,0)</f>
        <v>4309</v>
      </c>
      <c r="N51" s="61">
        <f>ROUND(+N$4/+'Age Factors'!N51,0)</f>
        <v>5119</v>
      </c>
      <c r="O51" s="61">
        <f>ROUND(+O$4/+'Age Factors'!O51,0)</f>
        <v>6171</v>
      </c>
      <c r="P51" s="61">
        <f>ROUND(+P$4/+'Age Factors'!P51,0)</f>
        <v>8752</v>
      </c>
      <c r="Q51" s="61">
        <f>ROUND(+Q$4/+'Age Factors'!Q51,0)</f>
        <v>10541</v>
      </c>
      <c r="R51" s="61">
        <f>ROUND(+R$4/+'Age Factors'!R51,0)</f>
        <v>19196</v>
      </c>
      <c r="S51" s="61">
        <f>ROUND(+S$4/+'Age Factors'!S51,0)</f>
        <v>26483</v>
      </c>
      <c r="T51" s="61">
        <f>ROUND(+T$4/+'Age Factors'!T51,0)</f>
        <v>44567</v>
      </c>
      <c r="U51" s="61">
        <f>ROUND(+U$4/+'Age Factors'!U51,0)</f>
        <v>48833</v>
      </c>
      <c r="V51" s="61">
        <f>ROUND(+V$4/+'Age Factors'!V51,0)</f>
        <v>64661</v>
      </c>
      <c r="W51" s="47"/>
    </row>
    <row r="52" spans="1:23">
      <c r="A52" s="49">
        <v>51</v>
      </c>
      <c r="B52" s="50">
        <f>ROUND(+B$4/+'Age Factors'!B52,0)</f>
        <v>285</v>
      </c>
      <c r="C52" s="50">
        <f>ROUND(+C$4/+'Age Factors'!C52,0)</f>
        <v>992</v>
      </c>
      <c r="D52" s="50">
        <f>ROUND(+D$4/+'Age Factors'!D52,0)</f>
        <v>1185</v>
      </c>
      <c r="E52" s="50">
        <f>ROUND(+E$4/+'Age Factors'!E52,0)</f>
        <v>1270</v>
      </c>
      <c r="F52" s="50">
        <f>ROUND(+F$4/+'Age Factors'!F52,0)</f>
        <v>1570</v>
      </c>
      <c r="G52" s="50">
        <f>ROUND(+G$4/+'Age Factors'!G52,0)</f>
        <v>1581</v>
      </c>
      <c r="H52" s="50">
        <f>ROUND(+H$4/+'Age Factors'!H52,0)</f>
        <v>1954</v>
      </c>
      <c r="I52" s="50">
        <f>ROUND(+I$4/+'Age Factors'!I52,0)</f>
        <v>2371</v>
      </c>
      <c r="J52" s="50">
        <f>ROUND(+J$4/+'Age Factors'!J52,0)</f>
        <v>3010</v>
      </c>
      <c r="K52" s="50">
        <f>ROUND(+K$4/+'Age Factors'!K52,0)</f>
        <v>3249</v>
      </c>
      <c r="L52" s="50">
        <f>ROUND(+L$4/+'Age Factors'!L52,0)</f>
        <v>4121</v>
      </c>
      <c r="M52" s="50">
        <f>ROUND(+M$4/+'Age Factors'!M52,0)</f>
        <v>4361</v>
      </c>
      <c r="N52" s="50">
        <f>ROUND(+N$4/+'Age Factors'!N52,0)</f>
        <v>5178</v>
      </c>
      <c r="O52" s="50">
        <f>ROUND(+O$4/+'Age Factors'!O52,0)</f>
        <v>6241</v>
      </c>
      <c r="P52" s="50">
        <f>ROUND(+P$4/+'Age Factors'!P52,0)</f>
        <v>8844</v>
      </c>
      <c r="Q52" s="50">
        <f>ROUND(+Q$4/+'Age Factors'!Q52,0)</f>
        <v>10652</v>
      </c>
      <c r="R52" s="50">
        <f>ROUND(+R$4/+'Age Factors'!R52,0)</f>
        <v>19399</v>
      </c>
      <c r="S52" s="50">
        <f>ROUND(+S$4/+'Age Factors'!S52,0)</f>
        <v>26762</v>
      </c>
      <c r="T52" s="50">
        <f>ROUND(+T$4/+'Age Factors'!T52,0)</f>
        <v>45037</v>
      </c>
      <c r="U52" s="50">
        <f>ROUND(+U$4/+'Age Factors'!U52,0)</f>
        <v>49348</v>
      </c>
      <c r="V52" s="50">
        <f>ROUND(+V$4/+'Age Factors'!V52,0)</f>
        <v>65343</v>
      </c>
      <c r="W52" s="47"/>
    </row>
    <row r="53" spans="1:23">
      <c r="A53" s="49">
        <v>52</v>
      </c>
      <c r="B53" s="50">
        <f>ROUND(+B$4/+'Age Factors'!B53,0)</f>
        <v>288</v>
      </c>
      <c r="C53" s="50">
        <f>ROUND(+C$4/+'Age Factors'!C53,0)</f>
        <v>1004</v>
      </c>
      <c r="D53" s="50">
        <f>ROUND(+D$4/+'Age Factors'!D53,0)</f>
        <v>1198</v>
      </c>
      <c r="E53" s="50">
        <f>ROUND(+E$4/+'Age Factors'!E53,0)</f>
        <v>1284</v>
      </c>
      <c r="F53" s="50">
        <f>ROUND(+F$4/+'Age Factors'!F53,0)</f>
        <v>1587</v>
      </c>
      <c r="G53" s="50">
        <f>ROUND(+G$4/+'Age Factors'!G53,0)</f>
        <v>1598</v>
      </c>
      <c r="H53" s="50">
        <f>ROUND(+H$4/+'Age Factors'!H53,0)</f>
        <v>1974</v>
      </c>
      <c r="I53" s="50">
        <f>ROUND(+I$4/+'Age Factors'!I53,0)</f>
        <v>2397</v>
      </c>
      <c r="J53" s="50">
        <f>ROUND(+J$4/+'Age Factors'!J53,0)</f>
        <v>3044</v>
      </c>
      <c r="K53" s="50">
        <f>ROUND(+K$4/+'Age Factors'!K53,0)</f>
        <v>3286</v>
      </c>
      <c r="L53" s="50">
        <f>ROUND(+L$4/+'Age Factors'!L53,0)</f>
        <v>4171</v>
      </c>
      <c r="M53" s="50">
        <f>ROUND(+M$4/+'Age Factors'!M53,0)</f>
        <v>4414</v>
      </c>
      <c r="N53" s="50">
        <f>ROUND(+N$4/+'Age Factors'!N53,0)</f>
        <v>5240</v>
      </c>
      <c r="O53" s="50">
        <f>ROUND(+O$4/+'Age Factors'!O53,0)</f>
        <v>6313</v>
      </c>
      <c r="P53" s="50">
        <f>ROUND(+P$4/+'Age Factors'!P53,0)</f>
        <v>8942</v>
      </c>
      <c r="Q53" s="50">
        <f>ROUND(+Q$4/+'Age Factors'!Q53,0)</f>
        <v>10771</v>
      </c>
      <c r="R53" s="50">
        <f>ROUND(+R$4/+'Age Factors'!R53,0)</f>
        <v>19615</v>
      </c>
      <c r="S53" s="50">
        <f>ROUND(+S$4/+'Age Factors'!S53,0)</f>
        <v>27060</v>
      </c>
      <c r="T53" s="50">
        <f>ROUND(+T$4/+'Age Factors'!T53,0)</f>
        <v>45538</v>
      </c>
      <c r="U53" s="50">
        <f>ROUND(+U$4/+'Age Factors'!U53,0)</f>
        <v>49897</v>
      </c>
      <c r="V53" s="50">
        <f>ROUND(+V$4/+'Age Factors'!V53,0)</f>
        <v>66070</v>
      </c>
      <c r="W53" s="47"/>
    </row>
    <row r="54" spans="1:23">
      <c r="A54" s="49">
        <v>53</v>
      </c>
      <c r="B54" s="50">
        <f>ROUND(+B$4/+'Age Factors'!B54,0)</f>
        <v>291</v>
      </c>
      <c r="C54" s="50">
        <f>ROUND(+C$4/+'Age Factors'!C54,0)</f>
        <v>1015</v>
      </c>
      <c r="D54" s="50">
        <f>ROUND(+D$4/+'Age Factors'!D54,0)</f>
        <v>1211</v>
      </c>
      <c r="E54" s="50">
        <f>ROUND(+E$4/+'Age Factors'!E54,0)</f>
        <v>1298</v>
      </c>
      <c r="F54" s="50">
        <f>ROUND(+F$4/+'Age Factors'!F54,0)</f>
        <v>1604</v>
      </c>
      <c r="G54" s="50">
        <f>ROUND(+G$4/+'Age Factors'!G54,0)</f>
        <v>1615</v>
      </c>
      <c r="H54" s="50">
        <f>ROUND(+H$4/+'Age Factors'!H54,0)</f>
        <v>1994</v>
      </c>
      <c r="I54" s="50">
        <f>ROUND(+I$4/+'Age Factors'!I54,0)</f>
        <v>2423</v>
      </c>
      <c r="J54" s="50">
        <f>ROUND(+J$4/+'Age Factors'!J54,0)</f>
        <v>3079</v>
      </c>
      <c r="K54" s="50">
        <f>ROUND(+K$4/+'Age Factors'!K54,0)</f>
        <v>3324</v>
      </c>
      <c r="L54" s="50">
        <f>ROUND(+L$4/+'Age Factors'!L54,0)</f>
        <v>4221</v>
      </c>
      <c r="M54" s="50">
        <f>ROUND(+M$4/+'Age Factors'!M54,0)</f>
        <v>4468</v>
      </c>
      <c r="N54" s="50">
        <f>ROUND(+N$4/+'Age Factors'!N54,0)</f>
        <v>5303</v>
      </c>
      <c r="O54" s="50">
        <f>ROUND(+O$4/+'Age Factors'!O54,0)</f>
        <v>6388</v>
      </c>
      <c r="P54" s="50">
        <f>ROUND(+P$4/+'Age Factors'!P54,0)</f>
        <v>9047</v>
      </c>
      <c r="Q54" s="50">
        <f>ROUND(+Q$4/+'Age Factors'!Q54,0)</f>
        <v>10897</v>
      </c>
      <c r="R54" s="50">
        <f>ROUND(+R$4/+'Age Factors'!R54,0)</f>
        <v>19844</v>
      </c>
      <c r="S54" s="50">
        <f>ROUND(+S$4/+'Age Factors'!S54,0)</f>
        <v>27377</v>
      </c>
      <c r="T54" s="50">
        <f>ROUND(+T$4/+'Age Factors'!T54,0)</f>
        <v>46072</v>
      </c>
      <c r="U54" s="50">
        <f>ROUND(+U$4/+'Age Factors'!U54,0)</f>
        <v>50482</v>
      </c>
      <c r="V54" s="50">
        <f>ROUND(+V$4/+'Age Factors'!V54,0)</f>
        <v>66845</v>
      </c>
      <c r="W54" s="47"/>
    </row>
    <row r="55" spans="1:23">
      <c r="A55" s="49">
        <v>54</v>
      </c>
      <c r="B55" s="50">
        <f>ROUND(+B$4/+'Age Factors'!B55,0)</f>
        <v>294</v>
      </c>
      <c r="C55" s="50">
        <f>ROUND(+C$4/+'Age Factors'!C55,0)</f>
        <v>1027</v>
      </c>
      <c r="D55" s="50">
        <f>ROUND(+D$4/+'Age Factors'!D55,0)</f>
        <v>1225</v>
      </c>
      <c r="E55" s="50">
        <f>ROUND(+E$4/+'Age Factors'!E55,0)</f>
        <v>1313</v>
      </c>
      <c r="F55" s="50">
        <f>ROUND(+F$4/+'Age Factors'!F55,0)</f>
        <v>1622</v>
      </c>
      <c r="G55" s="50">
        <f>ROUND(+G$4/+'Age Factors'!G55,0)</f>
        <v>1633</v>
      </c>
      <c r="H55" s="50">
        <f>ROUND(+H$4/+'Age Factors'!H55,0)</f>
        <v>2017</v>
      </c>
      <c r="I55" s="50">
        <f>ROUND(+I$4/+'Age Factors'!I55,0)</f>
        <v>2450</v>
      </c>
      <c r="J55" s="50">
        <f>ROUND(+J$4/+'Age Factors'!J55,0)</f>
        <v>3115</v>
      </c>
      <c r="K55" s="50">
        <f>ROUND(+K$4/+'Age Factors'!K55,0)</f>
        <v>3364</v>
      </c>
      <c r="L55" s="50">
        <f>ROUND(+L$4/+'Age Factors'!L55,0)</f>
        <v>4273</v>
      </c>
      <c r="M55" s="50">
        <f>ROUND(+M$4/+'Age Factors'!M55,0)</f>
        <v>4523</v>
      </c>
      <c r="N55" s="50">
        <f>ROUND(+N$4/+'Age Factors'!N55,0)</f>
        <v>5369</v>
      </c>
      <c r="O55" s="50">
        <f>ROUND(+O$4/+'Age Factors'!O55,0)</f>
        <v>6467</v>
      </c>
      <c r="P55" s="50">
        <f>ROUND(+P$4/+'Age Factors'!P55,0)</f>
        <v>9158</v>
      </c>
      <c r="Q55" s="50">
        <f>ROUND(+Q$4/+'Age Factors'!Q55,0)</f>
        <v>11030</v>
      </c>
      <c r="R55" s="50">
        <f>ROUND(+R$4/+'Age Factors'!R55,0)</f>
        <v>20087</v>
      </c>
      <c r="S55" s="50">
        <f>ROUND(+S$4/+'Age Factors'!S55,0)</f>
        <v>27712</v>
      </c>
      <c r="T55" s="50">
        <f>ROUND(+T$4/+'Age Factors'!T55,0)</f>
        <v>46635</v>
      </c>
      <c r="U55" s="50">
        <f>ROUND(+U$4/+'Age Factors'!U55,0)</f>
        <v>51098</v>
      </c>
      <c r="V55" s="50">
        <f>ROUND(+V$4/+'Age Factors'!V55,0)</f>
        <v>67661</v>
      </c>
      <c r="W55" s="47"/>
    </row>
    <row r="56" spans="1:23">
      <c r="A56" s="57">
        <v>55</v>
      </c>
      <c r="B56" s="61">
        <f>ROUND(+B$4/+'Age Factors'!B56,0)</f>
        <v>298</v>
      </c>
      <c r="C56" s="61">
        <f>ROUND(+C$4/+'Age Factors'!C56,0)</f>
        <v>1039</v>
      </c>
      <c r="D56" s="61">
        <f>ROUND(+D$4/+'Age Factors'!D56,0)</f>
        <v>1240</v>
      </c>
      <c r="E56" s="61">
        <f>ROUND(+E$4/+'Age Factors'!E56,0)</f>
        <v>1329</v>
      </c>
      <c r="F56" s="61">
        <f>ROUND(+F$4/+'Age Factors'!F56,0)</f>
        <v>1641</v>
      </c>
      <c r="G56" s="61">
        <f>ROUND(+G$4/+'Age Factors'!G56,0)</f>
        <v>1652</v>
      </c>
      <c r="H56" s="61">
        <f>ROUND(+H$4/+'Age Factors'!H56,0)</f>
        <v>2040</v>
      </c>
      <c r="I56" s="61">
        <f>ROUND(+I$4/+'Age Factors'!I56,0)</f>
        <v>2479</v>
      </c>
      <c r="J56" s="61">
        <f>ROUND(+J$4/+'Age Factors'!J56,0)</f>
        <v>3153</v>
      </c>
      <c r="K56" s="61">
        <f>ROUND(+K$4/+'Age Factors'!K56,0)</f>
        <v>3405</v>
      </c>
      <c r="L56" s="61">
        <f>ROUND(+L$4/+'Age Factors'!L56,0)</f>
        <v>4327</v>
      </c>
      <c r="M56" s="61">
        <f>ROUND(+M$4/+'Age Factors'!M56,0)</f>
        <v>4580</v>
      </c>
      <c r="N56" s="61">
        <f>ROUND(+N$4/+'Age Factors'!N56,0)</f>
        <v>5437</v>
      </c>
      <c r="O56" s="61">
        <f>ROUND(+O$4/+'Age Factors'!O56,0)</f>
        <v>6550</v>
      </c>
      <c r="P56" s="61">
        <f>ROUND(+P$4/+'Age Factors'!P56,0)</f>
        <v>9275</v>
      </c>
      <c r="Q56" s="61">
        <f>ROUND(+Q$4/+'Age Factors'!Q56,0)</f>
        <v>11172</v>
      </c>
      <c r="R56" s="61">
        <f>ROUND(+R$4/+'Age Factors'!R56,0)</f>
        <v>20345</v>
      </c>
      <c r="S56" s="61">
        <f>ROUND(+S$4/+'Age Factors'!S56,0)</f>
        <v>28068</v>
      </c>
      <c r="T56" s="61">
        <f>ROUND(+T$4/+'Age Factors'!T56,0)</f>
        <v>47234</v>
      </c>
      <c r="U56" s="61">
        <f>ROUND(+U$4/+'Age Factors'!U56,0)</f>
        <v>51755</v>
      </c>
      <c r="V56" s="61">
        <f>ROUND(+V$4/+'Age Factors'!V56,0)</f>
        <v>68531</v>
      </c>
      <c r="W56" s="47"/>
    </row>
    <row r="57" spans="1:23">
      <c r="A57" s="49">
        <v>56</v>
      </c>
      <c r="B57" s="50">
        <f>ROUND(+B$4/+'Age Factors'!B57,0)</f>
        <v>301</v>
      </c>
      <c r="C57" s="50">
        <f>ROUND(+C$4/+'Age Factors'!C57,0)</f>
        <v>1052</v>
      </c>
      <c r="D57" s="50">
        <f>ROUND(+D$4/+'Age Factors'!D57,0)</f>
        <v>1255</v>
      </c>
      <c r="E57" s="50">
        <f>ROUND(+E$4/+'Age Factors'!E57,0)</f>
        <v>1345</v>
      </c>
      <c r="F57" s="50">
        <f>ROUND(+F$4/+'Age Factors'!F57,0)</f>
        <v>1660</v>
      </c>
      <c r="G57" s="50">
        <f>ROUND(+G$4/+'Age Factors'!G57,0)</f>
        <v>1672</v>
      </c>
      <c r="H57" s="50">
        <f>ROUND(+H$4/+'Age Factors'!H57,0)</f>
        <v>2064</v>
      </c>
      <c r="I57" s="50">
        <f>ROUND(+I$4/+'Age Factors'!I57,0)</f>
        <v>2509</v>
      </c>
      <c r="J57" s="50">
        <f>ROUND(+J$4/+'Age Factors'!J57,0)</f>
        <v>3192</v>
      </c>
      <c r="K57" s="50">
        <f>ROUND(+K$4/+'Age Factors'!K57,0)</f>
        <v>3447</v>
      </c>
      <c r="L57" s="50">
        <f>ROUND(+L$4/+'Age Factors'!L57,0)</f>
        <v>4381</v>
      </c>
      <c r="M57" s="50">
        <f>ROUND(+M$4/+'Age Factors'!M57,0)</f>
        <v>4638</v>
      </c>
      <c r="N57" s="50">
        <f>ROUND(+N$4/+'Age Factors'!N57,0)</f>
        <v>5507</v>
      </c>
      <c r="O57" s="50">
        <f>ROUND(+O$4/+'Age Factors'!O57,0)</f>
        <v>6634</v>
      </c>
      <c r="P57" s="50">
        <f>ROUND(+P$4/+'Age Factors'!P57,0)</f>
        <v>9398</v>
      </c>
      <c r="Q57" s="50">
        <f>ROUND(+Q$4/+'Age Factors'!Q57,0)</f>
        <v>11320</v>
      </c>
      <c r="R57" s="50">
        <f>ROUND(+R$4/+'Age Factors'!R57,0)</f>
        <v>20615</v>
      </c>
      <c r="S57" s="50">
        <f>ROUND(+S$4/+'Age Factors'!S57,0)</f>
        <v>28440</v>
      </c>
      <c r="T57" s="50">
        <f>ROUND(+T$4/+'Age Factors'!T57,0)</f>
        <v>47860</v>
      </c>
      <c r="U57" s="50">
        <f>ROUND(+U$4/+'Age Factors'!U57,0)</f>
        <v>52441</v>
      </c>
      <c r="V57" s="50">
        <f>ROUND(+V$4/+'Age Factors'!V57,0)</f>
        <v>69439</v>
      </c>
      <c r="W57" s="47"/>
    </row>
    <row r="58" spans="1:23">
      <c r="A58" s="49">
        <v>57</v>
      </c>
      <c r="B58" s="50">
        <f>ROUND(+B$4/+'Age Factors'!B58,0)</f>
        <v>305</v>
      </c>
      <c r="C58" s="50">
        <f>ROUND(+C$4/+'Age Factors'!C58,0)</f>
        <v>1064</v>
      </c>
      <c r="D58" s="50">
        <f>ROUND(+D$4/+'Age Factors'!D58,0)</f>
        <v>1270</v>
      </c>
      <c r="E58" s="50">
        <f>ROUND(+E$4/+'Age Factors'!E58,0)</f>
        <v>1361</v>
      </c>
      <c r="F58" s="50">
        <f>ROUND(+F$4/+'Age Factors'!F58,0)</f>
        <v>1681</v>
      </c>
      <c r="G58" s="50">
        <f>ROUND(+G$4/+'Age Factors'!G58,0)</f>
        <v>1693</v>
      </c>
      <c r="H58" s="50">
        <f>ROUND(+H$4/+'Age Factors'!H58,0)</f>
        <v>2090</v>
      </c>
      <c r="I58" s="50">
        <f>ROUND(+I$4/+'Age Factors'!I58,0)</f>
        <v>2541</v>
      </c>
      <c r="J58" s="50">
        <f>ROUND(+J$4/+'Age Factors'!J58,0)</f>
        <v>3233</v>
      </c>
      <c r="K58" s="50">
        <f>ROUND(+K$4/+'Age Factors'!K58,0)</f>
        <v>3492</v>
      </c>
      <c r="L58" s="50">
        <f>ROUND(+L$4/+'Age Factors'!L58,0)</f>
        <v>4438</v>
      </c>
      <c r="M58" s="50">
        <f>ROUND(+M$4/+'Age Factors'!M58,0)</f>
        <v>4699</v>
      </c>
      <c r="N58" s="50">
        <f>ROUND(+N$4/+'Age Factors'!N58,0)</f>
        <v>5579</v>
      </c>
      <c r="O58" s="50">
        <f>ROUND(+O$4/+'Age Factors'!O58,0)</f>
        <v>6722</v>
      </c>
      <c r="P58" s="50">
        <f>ROUND(+P$4/+'Age Factors'!P58,0)</f>
        <v>9525</v>
      </c>
      <c r="Q58" s="50">
        <f>ROUND(+Q$4/+'Age Factors'!Q58,0)</f>
        <v>11472</v>
      </c>
      <c r="R58" s="50">
        <f>ROUND(+R$4/+'Age Factors'!R58,0)</f>
        <v>20892</v>
      </c>
      <c r="S58" s="50">
        <f>ROUND(+S$4/+'Age Factors'!S58,0)</f>
        <v>28822</v>
      </c>
      <c r="T58" s="50">
        <f>ROUND(+T$4/+'Age Factors'!T58,0)</f>
        <v>48503</v>
      </c>
      <c r="U58" s="50">
        <f>ROUND(+U$4/+'Age Factors'!U58,0)</f>
        <v>53146</v>
      </c>
      <c r="V58" s="50">
        <f>ROUND(+V$4/+'Age Factors'!V58,0)</f>
        <v>70373</v>
      </c>
      <c r="W58" s="47"/>
    </row>
    <row r="59" spans="1:23">
      <c r="A59" s="49">
        <v>58</v>
      </c>
      <c r="B59" s="50">
        <f>ROUND(+B$4/+'Age Factors'!B59,0)</f>
        <v>308</v>
      </c>
      <c r="C59" s="50">
        <f>ROUND(+C$4/+'Age Factors'!C59,0)</f>
        <v>1077</v>
      </c>
      <c r="D59" s="50">
        <f>ROUND(+D$4/+'Age Factors'!D59,0)</f>
        <v>1286</v>
      </c>
      <c r="E59" s="50">
        <f>ROUND(+E$4/+'Age Factors'!E59,0)</f>
        <v>1378</v>
      </c>
      <c r="F59" s="50">
        <f>ROUND(+F$4/+'Age Factors'!F59,0)</f>
        <v>1703</v>
      </c>
      <c r="G59" s="50">
        <f>ROUND(+G$4/+'Age Factors'!G59,0)</f>
        <v>1715</v>
      </c>
      <c r="H59" s="50">
        <f>ROUND(+H$4/+'Age Factors'!H59,0)</f>
        <v>2117</v>
      </c>
      <c r="I59" s="50">
        <f>ROUND(+I$4/+'Age Factors'!I59,0)</f>
        <v>2574</v>
      </c>
      <c r="J59" s="50">
        <f>ROUND(+J$4/+'Age Factors'!J59,0)</f>
        <v>3274</v>
      </c>
      <c r="K59" s="50">
        <f>ROUND(+K$4/+'Age Factors'!K59,0)</f>
        <v>3537</v>
      </c>
      <c r="L59" s="50">
        <f>ROUND(+L$4/+'Age Factors'!L59,0)</f>
        <v>4496</v>
      </c>
      <c r="M59" s="50">
        <f>ROUND(+M$4/+'Age Factors'!M59,0)</f>
        <v>4760</v>
      </c>
      <c r="N59" s="50">
        <f>ROUND(+N$4/+'Age Factors'!N59,0)</f>
        <v>5652</v>
      </c>
      <c r="O59" s="50">
        <f>ROUND(+O$4/+'Age Factors'!O59,0)</f>
        <v>6812</v>
      </c>
      <c r="P59" s="50">
        <f>ROUND(+P$4/+'Age Factors'!P59,0)</f>
        <v>9654</v>
      </c>
      <c r="Q59" s="50">
        <f>ROUND(+Q$4/+'Age Factors'!Q59,0)</f>
        <v>11628</v>
      </c>
      <c r="R59" s="50">
        <f>ROUND(+R$4/+'Age Factors'!R59,0)</f>
        <v>21176</v>
      </c>
      <c r="S59" s="50">
        <f>ROUND(+S$4/+'Age Factors'!S59,0)</f>
        <v>29215</v>
      </c>
      <c r="T59" s="50">
        <f>ROUND(+T$4/+'Age Factors'!T59,0)</f>
        <v>49164</v>
      </c>
      <c r="U59" s="50">
        <f>ROUND(+U$4/+'Age Factors'!U59,0)</f>
        <v>53870</v>
      </c>
      <c r="V59" s="50">
        <f>ROUND(+V$4/+'Age Factors'!V59,0)</f>
        <v>71331</v>
      </c>
      <c r="W59" s="47"/>
    </row>
    <row r="60" spans="1:23">
      <c r="A60" s="49">
        <v>59</v>
      </c>
      <c r="B60" s="50">
        <f>ROUND(+B$4/+'Age Factors'!B60,0)</f>
        <v>312</v>
      </c>
      <c r="C60" s="50">
        <f>ROUND(+C$4/+'Age Factors'!C60,0)</f>
        <v>1091</v>
      </c>
      <c r="D60" s="50">
        <f>ROUND(+D$4/+'Age Factors'!D60,0)</f>
        <v>1302</v>
      </c>
      <c r="E60" s="50">
        <f>ROUND(+E$4/+'Age Factors'!E60,0)</f>
        <v>1396</v>
      </c>
      <c r="F60" s="50">
        <f>ROUND(+F$4/+'Age Factors'!F60,0)</f>
        <v>1724</v>
      </c>
      <c r="G60" s="50">
        <f>ROUND(+G$4/+'Age Factors'!G60,0)</f>
        <v>1736</v>
      </c>
      <c r="H60" s="50">
        <f>ROUND(+H$4/+'Age Factors'!H60,0)</f>
        <v>2145</v>
      </c>
      <c r="I60" s="50">
        <f>ROUND(+I$4/+'Age Factors'!I60,0)</f>
        <v>2608</v>
      </c>
      <c r="J60" s="50">
        <f>ROUND(+J$4/+'Age Factors'!J60,0)</f>
        <v>3318</v>
      </c>
      <c r="K60" s="50">
        <f>ROUND(+K$4/+'Age Factors'!K60,0)</f>
        <v>3583</v>
      </c>
      <c r="L60" s="50">
        <f>ROUND(+L$4/+'Age Factors'!L60,0)</f>
        <v>4555</v>
      </c>
      <c r="M60" s="50">
        <f>ROUND(+M$4/+'Age Factors'!M60,0)</f>
        <v>4823</v>
      </c>
      <c r="N60" s="50">
        <f>ROUND(+N$4/+'Age Factors'!N60,0)</f>
        <v>5728</v>
      </c>
      <c r="O60" s="50">
        <f>ROUND(+O$4/+'Age Factors'!O60,0)</f>
        <v>6904</v>
      </c>
      <c r="P60" s="50">
        <f>ROUND(+P$4/+'Age Factors'!P60,0)</f>
        <v>9788</v>
      </c>
      <c r="Q60" s="50">
        <f>ROUND(+Q$4/+'Age Factors'!Q60,0)</f>
        <v>11789</v>
      </c>
      <c r="R60" s="50">
        <f>ROUND(+R$4/+'Age Factors'!R60,0)</f>
        <v>21469</v>
      </c>
      <c r="S60" s="50">
        <f>ROUND(+S$4/+'Age Factors'!S60,0)</f>
        <v>29618</v>
      </c>
      <c r="T60" s="50">
        <f>ROUND(+T$4/+'Age Factors'!T60,0)</f>
        <v>49843</v>
      </c>
      <c r="U60" s="50">
        <f>ROUND(+U$4/+'Age Factors'!U60,0)</f>
        <v>54614</v>
      </c>
      <c r="V60" s="50">
        <f>ROUND(+V$4/+'Age Factors'!V60,0)</f>
        <v>72316</v>
      </c>
      <c r="W60" s="47"/>
    </row>
    <row r="61" spans="1:23">
      <c r="A61" s="57">
        <v>60</v>
      </c>
      <c r="B61" s="61">
        <f>ROUND(+B$4/+'Age Factors'!B61,0)</f>
        <v>316</v>
      </c>
      <c r="C61" s="61">
        <f>ROUND(+C$4/+'Age Factors'!C61,0)</f>
        <v>1104</v>
      </c>
      <c r="D61" s="61">
        <f>ROUND(+D$4/+'Age Factors'!D61,0)</f>
        <v>1319</v>
      </c>
      <c r="E61" s="61">
        <f>ROUND(+E$4/+'Age Factors'!E61,0)</f>
        <v>1414</v>
      </c>
      <c r="F61" s="61">
        <f>ROUND(+F$4/+'Age Factors'!F61,0)</f>
        <v>1747</v>
      </c>
      <c r="G61" s="61">
        <f>ROUND(+G$4/+'Age Factors'!G61,0)</f>
        <v>1759</v>
      </c>
      <c r="H61" s="61">
        <f>ROUND(+H$4/+'Age Factors'!H61,0)</f>
        <v>2173</v>
      </c>
      <c r="I61" s="61">
        <f>ROUND(+I$4/+'Age Factors'!I61,0)</f>
        <v>2642</v>
      </c>
      <c r="J61" s="61">
        <f>ROUND(+J$4/+'Age Factors'!J61,0)</f>
        <v>3362</v>
      </c>
      <c r="K61" s="61">
        <f>ROUND(+K$4/+'Age Factors'!K61,0)</f>
        <v>3631</v>
      </c>
      <c r="L61" s="61">
        <f>ROUND(+L$4/+'Age Factors'!L61,0)</f>
        <v>4616</v>
      </c>
      <c r="M61" s="61">
        <f>ROUND(+M$4/+'Age Factors'!M61,0)</f>
        <v>4887</v>
      </c>
      <c r="N61" s="61">
        <f>ROUND(+N$4/+'Age Factors'!N61,0)</f>
        <v>5805</v>
      </c>
      <c r="O61" s="61">
        <f>ROUND(+O$4/+'Age Factors'!O61,0)</f>
        <v>6998</v>
      </c>
      <c r="P61" s="61">
        <f>ROUND(+P$4/+'Age Factors'!P61,0)</f>
        <v>9925</v>
      </c>
      <c r="Q61" s="61">
        <f>ROUND(+Q$4/+'Age Factors'!Q61,0)</f>
        <v>11954</v>
      </c>
      <c r="R61" s="61">
        <f>ROUND(+R$4/+'Age Factors'!R61,0)</f>
        <v>21770</v>
      </c>
      <c r="S61" s="61">
        <f>ROUND(+S$4/+'Age Factors'!S61,0)</f>
        <v>30033</v>
      </c>
      <c r="T61" s="61">
        <f>ROUND(+T$4/+'Age Factors'!T61,0)</f>
        <v>50541</v>
      </c>
      <c r="U61" s="61">
        <f>ROUND(+U$4/+'Age Factors'!U61,0)</f>
        <v>55379</v>
      </c>
      <c r="V61" s="61">
        <f>ROUND(+V$4/+'Age Factors'!V61,0)</f>
        <v>73329</v>
      </c>
      <c r="W61" s="47"/>
    </row>
    <row r="62" spans="1:23">
      <c r="A62" s="49">
        <v>61</v>
      </c>
      <c r="B62" s="50">
        <f>ROUND(+B$4/+'Age Factors'!B62,0)</f>
        <v>320</v>
      </c>
      <c r="C62" s="50">
        <f>ROUND(+C$4/+'Age Factors'!C62,0)</f>
        <v>1119</v>
      </c>
      <c r="D62" s="50">
        <f>ROUND(+D$4/+'Age Factors'!D62,0)</f>
        <v>1336</v>
      </c>
      <c r="E62" s="50">
        <f>ROUND(+E$4/+'Age Factors'!E62,0)</f>
        <v>1432</v>
      </c>
      <c r="F62" s="50">
        <f>ROUND(+F$4/+'Age Factors'!F62,0)</f>
        <v>1770</v>
      </c>
      <c r="G62" s="50">
        <f>ROUND(+G$4/+'Age Factors'!G62,0)</f>
        <v>1782</v>
      </c>
      <c r="H62" s="50">
        <f>ROUND(+H$4/+'Age Factors'!H62,0)</f>
        <v>2202</v>
      </c>
      <c r="I62" s="50">
        <f>ROUND(+I$4/+'Age Factors'!I62,0)</f>
        <v>2678</v>
      </c>
      <c r="J62" s="50">
        <f>ROUND(+J$4/+'Age Factors'!J62,0)</f>
        <v>3407</v>
      </c>
      <c r="K62" s="50">
        <f>ROUND(+K$4/+'Age Factors'!K62,0)</f>
        <v>3680</v>
      </c>
      <c r="L62" s="50">
        <f>ROUND(+L$4/+'Age Factors'!L62,0)</f>
        <v>4679</v>
      </c>
      <c r="M62" s="50">
        <f>ROUND(+M$4/+'Age Factors'!M62,0)</f>
        <v>4954</v>
      </c>
      <c r="N62" s="50">
        <f>ROUND(+N$4/+'Age Factors'!N62,0)</f>
        <v>5885</v>
      </c>
      <c r="O62" s="50">
        <f>ROUND(+O$4/+'Age Factors'!O62,0)</f>
        <v>7095</v>
      </c>
      <c r="P62" s="50">
        <f>ROUND(+P$4/+'Age Factors'!P62,0)</f>
        <v>10066</v>
      </c>
      <c r="Q62" s="50">
        <f>ROUND(+Q$4/+'Age Factors'!Q62,0)</f>
        <v>12124</v>
      </c>
      <c r="R62" s="50">
        <f>ROUND(+R$4/+'Age Factors'!R62,0)</f>
        <v>22079</v>
      </c>
      <c r="S62" s="50">
        <f>ROUND(+S$4/+'Age Factors'!S62,0)</f>
        <v>30460</v>
      </c>
      <c r="T62" s="50">
        <f>ROUND(+T$4/+'Age Factors'!T62,0)</f>
        <v>51259</v>
      </c>
      <c r="U62" s="50">
        <f>ROUND(+U$4/+'Age Factors'!U62,0)</f>
        <v>56165</v>
      </c>
      <c r="V62" s="50">
        <f>ROUND(+V$4/+'Age Factors'!V62,0)</f>
        <v>74371</v>
      </c>
      <c r="W62" s="47"/>
    </row>
    <row r="63" spans="1:23">
      <c r="A63" s="49">
        <v>62</v>
      </c>
      <c r="B63" s="50">
        <f>ROUND(+B$4/+'Age Factors'!B63,0)</f>
        <v>324</v>
      </c>
      <c r="C63" s="50">
        <f>ROUND(+C$4/+'Age Factors'!C63,0)</f>
        <v>1133</v>
      </c>
      <c r="D63" s="50">
        <f>ROUND(+D$4/+'Age Factors'!D63,0)</f>
        <v>1353</v>
      </c>
      <c r="E63" s="50">
        <f>ROUND(+E$4/+'Age Factors'!E63,0)</f>
        <v>1451</v>
      </c>
      <c r="F63" s="50">
        <f>ROUND(+F$4/+'Age Factors'!F63,0)</f>
        <v>1793</v>
      </c>
      <c r="G63" s="50">
        <f>ROUND(+G$4/+'Age Factors'!G63,0)</f>
        <v>1806</v>
      </c>
      <c r="H63" s="50">
        <f>ROUND(+H$4/+'Age Factors'!H63,0)</f>
        <v>2232</v>
      </c>
      <c r="I63" s="50">
        <f>ROUND(+I$4/+'Age Factors'!I63,0)</f>
        <v>2714</v>
      </c>
      <c r="J63" s="50">
        <f>ROUND(+J$4/+'Age Factors'!J63,0)</f>
        <v>3454</v>
      </c>
      <c r="K63" s="50">
        <f>ROUND(+K$4/+'Age Factors'!K63,0)</f>
        <v>3731</v>
      </c>
      <c r="L63" s="50">
        <f>ROUND(+L$4/+'Age Factors'!L63,0)</f>
        <v>4743</v>
      </c>
      <c r="M63" s="50">
        <f>ROUND(+M$4/+'Age Factors'!M63,0)</f>
        <v>5022</v>
      </c>
      <c r="N63" s="50">
        <f>ROUND(+N$4/+'Age Factors'!N63,0)</f>
        <v>5967</v>
      </c>
      <c r="O63" s="50">
        <f>ROUND(+O$4/+'Age Factors'!O63,0)</f>
        <v>7196</v>
      </c>
      <c r="P63" s="50">
        <f>ROUND(+P$4/+'Age Factors'!P63,0)</f>
        <v>10211</v>
      </c>
      <c r="Q63" s="50">
        <f>ROUND(+Q$4/+'Age Factors'!Q63,0)</f>
        <v>12299</v>
      </c>
      <c r="R63" s="50">
        <f>ROUND(+R$4/+'Age Factors'!R63,0)</f>
        <v>22397</v>
      </c>
      <c r="S63" s="50">
        <f>ROUND(+S$4/+'Age Factors'!S63,0)</f>
        <v>30898</v>
      </c>
      <c r="T63" s="50">
        <f>ROUND(+T$4/+'Age Factors'!T63,0)</f>
        <v>51997</v>
      </c>
      <c r="U63" s="50">
        <f>ROUND(+U$4/+'Age Factors'!U63,0)</f>
        <v>56974</v>
      </c>
      <c r="V63" s="50">
        <f>ROUND(+V$4/+'Age Factors'!V63,0)</f>
        <v>75442</v>
      </c>
      <c r="W63" s="47"/>
    </row>
    <row r="64" spans="1:23">
      <c r="A64" s="49">
        <v>63</v>
      </c>
      <c r="B64" s="50">
        <f>ROUND(+B$4/+'Age Factors'!B64,0)</f>
        <v>328</v>
      </c>
      <c r="C64" s="50">
        <f>ROUND(+C$4/+'Age Factors'!C64,0)</f>
        <v>1148</v>
      </c>
      <c r="D64" s="50">
        <f>ROUND(+D$4/+'Age Factors'!D64,0)</f>
        <v>1371</v>
      </c>
      <c r="E64" s="50">
        <f>ROUND(+E$4/+'Age Factors'!E64,0)</f>
        <v>1470</v>
      </c>
      <c r="F64" s="50">
        <f>ROUND(+F$4/+'Age Factors'!F64,0)</f>
        <v>1818</v>
      </c>
      <c r="G64" s="50">
        <f>ROUND(+G$4/+'Age Factors'!G64,0)</f>
        <v>1831</v>
      </c>
      <c r="H64" s="50">
        <f>ROUND(+H$4/+'Age Factors'!H64,0)</f>
        <v>2263</v>
      </c>
      <c r="I64" s="50">
        <f>ROUND(+I$4/+'Age Factors'!I64,0)</f>
        <v>2752</v>
      </c>
      <c r="J64" s="50">
        <f>ROUND(+J$4/+'Age Factors'!J64,0)</f>
        <v>3502</v>
      </c>
      <c r="K64" s="50">
        <f>ROUND(+K$4/+'Age Factors'!K64,0)</f>
        <v>3783</v>
      </c>
      <c r="L64" s="50">
        <f>ROUND(+L$4/+'Age Factors'!L64,0)</f>
        <v>4809</v>
      </c>
      <c r="M64" s="50">
        <f>ROUND(+M$4/+'Age Factors'!M64,0)</f>
        <v>5092</v>
      </c>
      <c r="N64" s="50">
        <f>ROUND(+N$4/+'Age Factors'!N64,0)</f>
        <v>6052</v>
      </c>
      <c r="O64" s="50">
        <f>ROUND(+O$4/+'Age Factors'!O64,0)</f>
        <v>7299</v>
      </c>
      <c r="P64" s="50">
        <f>ROUND(+P$4/+'Age Factors'!P64,0)</f>
        <v>10360</v>
      </c>
      <c r="Q64" s="50">
        <f>ROUND(+Q$4/+'Age Factors'!Q64,0)</f>
        <v>12478</v>
      </c>
      <c r="R64" s="50">
        <f>ROUND(+R$4/+'Age Factors'!R64,0)</f>
        <v>22724</v>
      </c>
      <c r="S64" s="50">
        <f>ROUND(+S$4/+'Age Factors'!S64,0)</f>
        <v>31350</v>
      </c>
      <c r="T64" s="50">
        <f>ROUND(+T$4/+'Age Factors'!T64,0)</f>
        <v>52757</v>
      </c>
      <c r="U64" s="50">
        <f>ROUND(+U$4/+'Age Factors'!U64,0)</f>
        <v>57807</v>
      </c>
      <c r="V64" s="50">
        <f>ROUND(+V$4/+'Age Factors'!V64,0)</f>
        <v>76545</v>
      </c>
      <c r="W64" s="47"/>
    </row>
    <row r="65" spans="1:23">
      <c r="A65" s="49">
        <v>64</v>
      </c>
      <c r="B65" s="50">
        <f>ROUND(+B$4/+'Age Factors'!B65,0)</f>
        <v>332</v>
      </c>
      <c r="C65" s="50">
        <f>ROUND(+C$4/+'Age Factors'!C65,0)</f>
        <v>1163</v>
      </c>
      <c r="D65" s="50">
        <f>ROUND(+D$4/+'Age Factors'!D65,0)</f>
        <v>1389</v>
      </c>
      <c r="E65" s="50">
        <f>ROUND(+E$4/+'Age Factors'!E65,0)</f>
        <v>1490</v>
      </c>
      <c r="F65" s="50">
        <f>ROUND(+F$4/+'Age Factors'!F65,0)</f>
        <v>1843</v>
      </c>
      <c r="G65" s="50">
        <f>ROUND(+G$4/+'Age Factors'!G65,0)</f>
        <v>1856</v>
      </c>
      <c r="H65" s="50">
        <f>ROUND(+H$4/+'Age Factors'!H65,0)</f>
        <v>2295</v>
      </c>
      <c r="I65" s="50">
        <f>ROUND(+I$4/+'Age Factors'!I65,0)</f>
        <v>2790</v>
      </c>
      <c r="J65" s="50">
        <f>ROUND(+J$4/+'Age Factors'!J65,0)</f>
        <v>3551</v>
      </c>
      <c r="K65" s="50">
        <f>ROUND(+K$4/+'Age Factors'!K65,0)</f>
        <v>3836</v>
      </c>
      <c r="L65" s="50">
        <f>ROUND(+L$4/+'Age Factors'!L65,0)</f>
        <v>4877</v>
      </c>
      <c r="M65" s="50">
        <f>ROUND(+M$4/+'Age Factors'!M65,0)</f>
        <v>5164</v>
      </c>
      <c r="N65" s="50">
        <f>ROUND(+N$4/+'Age Factors'!N65,0)</f>
        <v>6138</v>
      </c>
      <c r="O65" s="50">
        <f>ROUND(+O$4/+'Age Factors'!O65,0)</f>
        <v>7405</v>
      </c>
      <c r="P65" s="50">
        <f>ROUND(+P$4/+'Age Factors'!P65,0)</f>
        <v>10514</v>
      </c>
      <c r="Q65" s="50">
        <f>ROUND(+Q$4/+'Age Factors'!Q65,0)</f>
        <v>12664</v>
      </c>
      <c r="R65" s="50">
        <f>ROUND(+R$4/+'Age Factors'!R65,0)</f>
        <v>23061</v>
      </c>
      <c r="S65" s="50">
        <f>ROUND(+S$4/+'Age Factors'!S65,0)</f>
        <v>31815</v>
      </c>
      <c r="T65" s="50">
        <f>ROUND(+T$4/+'Age Factors'!T65,0)</f>
        <v>53540</v>
      </c>
      <c r="U65" s="50">
        <f>ROUND(+U$4/+'Age Factors'!U65,0)</f>
        <v>58665</v>
      </c>
      <c r="V65" s="50">
        <f>ROUND(+V$4/+'Age Factors'!V65,0)</f>
        <v>77680</v>
      </c>
      <c r="W65" s="47"/>
    </row>
    <row r="66" spans="1:23">
      <c r="A66" s="57">
        <v>65</v>
      </c>
      <c r="B66" s="61">
        <f>ROUND(+B$4/+'Age Factors'!B66,0)</f>
        <v>336</v>
      </c>
      <c r="C66" s="61">
        <f>ROUND(+C$4/+'Age Factors'!C66,0)</f>
        <v>1179</v>
      </c>
      <c r="D66" s="61">
        <f>ROUND(+D$4/+'Age Factors'!D66,0)</f>
        <v>1408</v>
      </c>
      <c r="E66" s="61">
        <f>ROUND(+E$4/+'Age Factors'!E66,0)</f>
        <v>1510</v>
      </c>
      <c r="F66" s="61">
        <f>ROUND(+F$4/+'Age Factors'!F66,0)</f>
        <v>1868</v>
      </c>
      <c r="G66" s="61">
        <f>ROUND(+G$4/+'Age Factors'!G66,0)</f>
        <v>1882</v>
      </c>
      <c r="H66" s="61">
        <f>ROUND(+H$4/+'Age Factors'!H66,0)</f>
        <v>2327</v>
      </c>
      <c r="I66" s="61">
        <f>ROUND(+I$4/+'Age Factors'!I66,0)</f>
        <v>2830</v>
      </c>
      <c r="J66" s="61">
        <f>ROUND(+J$4/+'Age Factors'!J66,0)</f>
        <v>3602</v>
      </c>
      <c r="K66" s="61">
        <f>ROUND(+K$4/+'Age Factors'!K66,0)</f>
        <v>3891</v>
      </c>
      <c r="L66" s="61">
        <f>ROUND(+L$4/+'Age Factors'!L66,0)</f>
        <v>4947</v>
      </c>
      <c r="M66" s="61">
        <f>ROUND(+M$4/+'Age Factors'!M66,0)</f>
        <v>5239</v>
      </c>
      <c r="N66" s="61">
        <f>ROUND(+N$4/+'Age Factors'!N66,0)</f>
        <v>6228</v>
      </c>
      <c r="O66" s="61">
        <f>ROUND(+O$4/+'Age Factors'!O66,0)</f>
        <v>7514</v>
      </c>
      <c r="P66" s="61">
        <f>ROUND(+P$4/+'Age Factors'!P66,0)</f>
        <v>10672</v>
      </c>
      <c r="Q66" s="61">
        <f>ROUND(+Q$4/+'Age Factors'!Q66,0)</f>
        <v>12854</v>
      </c>
      <c r="R66" s="61">
        <f>ROUND(+R$4/+'Age Factors'!R66,0)</f>
        <v>23409</v>
      </c>
      <c r="S66" s="61">
        <f>ROUND(+S$4/+'Age Factors'!S66,0)</f>
        <v>32294</v>
      </c>
      <c r="T66" s="61">
        <f>ROUND(+T$4/+'Age Factors'!T66,0)</f>
        <v>54346</v>
      </c>
      <c r="U66" s="61">
        <f>ROUND(+U$4/+'Age Factors'!U66,0)</f>
        <v>59548</v>
      </c>
      <c r="V66" s="61">
        <f>ROUND(+V$4/+'Age Factors'!V66,0)</f>
        <v>78850</v>
      </c>
      <c r="W66" s="47"/>
    </row>
    <row r="67" spans="1:23">
      <c r="A67" s="49">
        <v>66</v>
      </c>
      <c r="B67" s="50">
        <f>ROUND(+B$4/+'Age Factors'!B67,0)</f>
        <v>340</v>
      </c>
      <c r="C67" s="50">
        <f>ROUND(+C$4/+'Age Factors'!C67,0)</f>
        <v>1195</v>
      </c>
      <c r="D67" s="50">
        <f>ROUND(+D$4/+'Age Factors'!D67,0)</f>
        <v>1428</v>
      </c>
      <c r="E67" s="50">
        <f>ROUND(+E$4/+'Age Factors'!E67,0)</f>
        <v>1531</v>
      </c>
      <c r="F67" s="50">
        <f>ROUND(+F$4/+'Age Factors'!F67,0)</f>
        <v>1895</v>
      </c>
      <c r="G67" s="50">
        <f>ROUND(+G$4/+'Age Factors'!G67,0)</f>
        <v>1908</v>
      </c>
      <c r="H67" s="50">
        <f>ROUND(+H$4/+'Age Factors'!H67,0)</f>
        <v>2361</v>
      </c>
      <c r="I67" s="50">
        <f>ROUND(+I$4/+'Age Factors'!I67,0)</f>
        <v>2871</v>
      </c>
      <c r="J67" s="50">
        <f>ROUND(+J$4/+'Age Factors'!J67,0)</f>
        <v>3654</v>
      </c>
      <c r="K67" s="50">
        <f>ROUND(+K$4/+'Age Factors'!K67,0)</f>
        <v>3947</v>
      </c>
      <c r="L67" s="50">
        <f>ROUND(+L$4/+'Age Factors'!L67,0)</f>
        <v>5020</v>
      </c>
      <c r="M67" s="50">
        <f>ROUND(+M$4/+'Age Factors'!M67,0)</f>
        <v>5315</v>
      </c>
      <c r="N67" s="50">
        <f>ROUND(+N$4/+'Age Factors'!N67,0)</f>
        <v>6319</v>
      </c>
      <c r="O67" s="50">
        <f>ROUND(+O$4/+'Age Factors'!O67,0)</f>
        <v>7626</v>
      </c>
      <c r="P67" s="50">
        <f>ROUND(+P$4/+'Age Factors'!P67,0)</f>
        <v>10835</v>
      </c>
      <c r="Q67" s="50">
        <f>ROUND(+Q$4/+'Age Factors'!Q67,0)</f>
        <v>13051</v>
      </c>
      <c r="R67" s="50">
        <f>ROUND(+R$4/+'Age Factors'!R67,0)</f>
        <v>23767</v>
      </c>
      <c r="S67" s="50">
        <f>ROUND(+S$4/+'Age Factors'!S67,0)</f>
        <v>32788</v>
      </c>
      <c r="T67" s="50">
        <f>ROUND(+T$4/+'Age Factors'!T67,0)</f>
        <v>55177</v>
      </c>
      <c r="U67" s="50">
        <f>ROUND(+U$4/+'Age Factors'!U67,0)</f>
        <v>60459</v>
      </c>
      <c r="V67" s="50">
        <f>ROUND(+V$4/+'Age Factors'!V67,0)</f>
        <v>80056</v>
      </c>
      <c r="W67" s="47"/>
    </row>
    <row r="68" spans="1:23">
      <c r="A68" s="49">
        <v>67</v>
      </c>
      <c r="B68" s="50">
        <f>ROUND(+B$4/+'Age Factors'!B68,0)</f>
        <v>345</v>
      </c>
      <c r="C68" s="50">
        <f>ROUND(+C$4/+'Age Factors'!C68,0)</f>
        <v>1211</v>
      </c>
      <c r="D68" s="50">
        <f>ROUND(+D$4/+'Age Factors'!D68,0)</f>
        <v>1448</v>
      </c>
      <c r="E68" s="50">
        <f>ROUND(+E$4/+'Age Factors'!E68,0)</f>
        <v>1553</v>
      </c>
      <c r="F68" s="50">
        <f>ROUND(+F$4/+'Age Factors'!F68,0)</f>
        <v>1922</v>
      </c>
      <c r="G68" s="50">
        <f>ROUND(+G$4/+'Age Factors'!G68,0)</f>
        <v>1935</v>
      </c>
      <c r="H68" s="50">
        <f>ROUND(+H$4/+'Age Factors'!H68,0)</f>
        <v>2395</v>
      </c>
      <c r="I68" s="50">
        <f>ROUND(+I$4/+'Age Factors'!I68,0)</f>
        <v>2913</v>
      </c>
      <c r="J68" s="50">
        <f>ROUND(+J$4/+'Age Factors'!J68,0)</f>
        <v>3708</v>
      </c>
      <c r="K68" s="50">
        <f>ROUND(+K$4/+'Age Factors'!K68,0)</f>
        <v>4005</v>
      </c>
      <c r="L68" s="50">
        <f>ROUND(+L$4/+'Age Factors'!L68,0)</f>
        <v>5094</v>
      </c>
      <c r="M68" s="50">
        <f>ROUND(+M$4/+'Age Factors'!M68,0)</f>
        <v>5394</v>
      </c>
      <c r="N68" s="50">
        <f>ROUND(+N$4/+'Age Factors'!N68,0)</f>
        <v>6414</v>
      </c>
      <c r="O68" s="50">
        <f>ROUND(+O$4/+'Age Factors'!O68,0)</f>
        <v>7741</v>
      </c>
      <c r="P68" s="50">
        <f>ROUND(+P$4/+'Age Factors'!P68,0)</f>
        <v>11004</v>
      </c>
      <c r="Q68" s="50">
        <f>ROUND(+Q$4/+'Age Factors'!Q68,0)</f>
        <v>13253</v>
      </c>
      <c r="R68" s="50">
        <f>ROUND(+R$4/+'Age Factors'!R68,0)</f>
        <v>24135</v>
      </c>
      <c r="S68" s="50">
        <f>ROUND(+S$4/+'Age Factors'!S68,0)</f>
        <v>33297</v>
      </c>
      <c r="T68" s="50">
        <f>ROUND(+T$4/+'Age Factors'!T68,0)</f>
        <v>56034</v>
      </c>
      <c r="U68" s="50">
        <f>ROUND(+U$4/+'Age Factors'!U68,0)</f>
        <v>61397</v>
      </c>
      <c r="V68" s="50">
        <f>ROUND(+V$4/+'Age Factors'!V68,0)</f>
        <v>81299</v>
      </c>
      <c r="W68" s="47"/>
    </row>
    <row r="69" spans="1:23">
      <c r="A69" s="49">
        <v>68</v>
      </c>
      <c r="B69" s="50">
        <f>ROUND(+B$4/+'Age Factors'!B69,0)</f>
        <v>350</v>
      </c>
      <c r="C69" s="50">
        <f>ROUND(+C$4/+'Age Factors'!C69,0)</f>
        <v>1228</v>
      </c>
      <c r="D69" s="50">
        <f>ROUND(+D$4/+'Age Factors'!D69,0)</f>
        <v>1468</v>
      </c>
      <c r="E69" s="50">
        <f>ROUND(+E$4/+'Age Factors'!E69,0)</f>
        <v>1575</v>
      </c>
      <c r="F69" s="50">
        <f>ROUND(+F$4/+'Age Factors'!F69,0)</f>
        <v>1950</v>
      </c>
      <c r="G69" s="50">
        <f>ROUND(+G$4/+'Age Factors'!G69,0)</f>
        <v>1964</v>
      </c>
      <c r="H69" s="50">
        <f>ROUND(+H$4/+'Age Factors'!H69,0)</f>
        <v>2430</v>
      </c>
      <c r="I69" s="50">
        <f>ROUND(+I$4/+'Age Factors'!I69,0)</f>
        <v>2956</v>
      </c>
      <c r="J69" s="50">
        <f>ROUND(+J$4/+'Age Factors'!J69,0)</f>
        <v>3763</v>
      </c>
      <c r="K69" s="50">
        <f>ROUND(+K$4/+'Age Factors'!K69,0)</f>
        <v>4065</v>
      </c>
      <c r="L69" s="50">
        <f>ROUND(+L$4/+'Age Factors'!L69,0)</f>
        <v>5170</v>
      </c>
      <c r="M69" s="50">
        <f>ROUND(+M$4/+'Age Factors'!M69,0)</f>
        <v>5475</v>
      </c>
      <c r="N69" s="50">
        <f>ROUND(+N$4/+'Age Factors'!N69,0)</f>
        <v>6511</v>
      </c>
      <c r="O69" s="50">
        <f>ROUND(+O$4/+'Age Factors'!O69,0)</f>
        <v>7861</v>
      </c>
      <c r="P69" s="50">
        <f>ROUND(+P$4/+'Age Factors'!P69,0)</f>
        <v>11177</v>
      </c>
      <c r="Q69" s="50">
        <f>ROUND(+Q$4/+'Age Factors'!Q69,0)</f>
        <v>13462</v>
      </c>
      <c r="R69" s="50">
        <f>ROUND(+R$4/+'Age Factors'!R69,0)</f>
        <v>24516</v>
      </c>
      <c r="S69" s="50">
        <f>ROUND(+S$4/+'Age Factors'!S69,0)</f>
        <v>33822</v>
      </c>
      <c r="T69" s="50">
        <f>ROUND(+T$4/+'Age Factors'!T69,0)</f>
        <v>56918</v>
      </c>
      <c r="U69" s="50">
        <f>ROUND(+U$4/+'Age Factors'!U69,0)</f>
        <v>62366</v>
      </c>
      <c r="V69" s="50">
        <f>ROUND(+V$4/+'Age Factors'!V69,0)</f>
        <v>82581</v>
      </c>
      <c r="W69" s="47"/>
    </row>
    <row r="70" spans="1:23">
      <c r="A70" s="49">
        <v>69</v>
      </c>
      <c r="B70" s="50">
        <f>ROUND(+B$4/+'Age Factors'!B70,0)</f>
        <v>354</v>
      </c>
      <c r="C70" s="50">
        <f>ROUND(+C$4/+'Age Factors'!C70,0)</f>
        <v>1245</v>
      </c>
      <c r="D70" s="50">
        <f>ROUND(+D$4/+'Age Factors'!D70,0)</f>
        <v>1490</v>
      </c>
      <c r="E70" s="50">
        <f>ROUND(+E$4/+'Age Factors'!E70,0)</f>
        <v>1598</v>
      </c>
      <c r="F70" s="50">
        <f>ROUND(+F$4/+'Age Factors'!F70,0)</f>
        <v>1979</v>
      </c>
      <c r="G70" s="50">
        <f>ROUND(+G$4/+'Age Factors'!G70,0)</f>
        <v>1993</v>
      </c>
      <c r="H70" s="50">
        <f>ROUND(+H$4/+'Age Factors'!H70,0)</f>
        <v>2467</v>
      </c>
      <c r="I70" s="50">
        <f>ROUND(+I$4/+'Age Factors'!I70,0)</f>
        <v>3001</v>
      </c>
      <c r="J70" s="50">
        <f>ROUND(+J$4/+'Age Factors'!J70,0)</f>
        <v>3820</v>
      </c>
      <c r="K70" s="50">
        <f>ROUND(+K$4/+'Age Factors'!K70,0)</f>
        <v>4126</v>
      </c>
      <c r="L70" s="50">
        <f>ROUND(+L$4/+'Age Factors'!L70,0)</f>
        <v>5249</v>
      </c>
      <c r="M70" s="50">
        <f>ROUND(+M$4/+'Age Factors'!M70,0)</f>
        <v>5559</v>
      </c>
      <c r="N70" s="50">
        <f>ROUND(+N$4/+'Age Factors'!N70,0)</f>
        <v>6613</v>
      </c>
      <c r="O70" s="50">
        <f>ROUND(+O$4/+'Age Factors'!O70,0)</f>
        <v>7984</v>
      </c>
      <c r="P70" s="50">
        <f>ROUND(+P$4/+'Age Factors'!P70,0)</f>
        <v>11356</v>
      </c>
      <c r="Q70" s="50">
        <f>ROUND(+Q$4/+'Age Factors'!Q70,0)</f>
        <v>13678</v>
      </c>
      <c r="R70" s="50">
        <f>ROUND(+R$4/+'Age Factors'!R70,0)</f>
        <v>24909</v>
      </c>
      <c r="S70" s="50">
        <f>ROUND(+S$4/+'Age Factors'!S70,0)</f>
        <v>34364</v>
      </c>
      <c r="T70" s="50">
        <f>ROUND(+T$4/+'Age Factors'!T70,0)</f>
        <v>57830</v>
      </c>
      <c r="U70" s="50">
        <f>ROUND(+U$4/+'Age Factors'!U70,0)</f>
        <v>63365</v>
      </c>
      <c r="V70" s="50">
        <f>ROUND(+V$4/+'Age Factors'!V70,0)</f>
        <v>83904</v>
      </c>
      <c r="W70" s="47"/>
    </row>
    <row r="71" spans="1:23">
      <c r="A71" s="57">
        <v>70</v>
      </c>
      <c r="B71" s="61">
        <f>ROUND(+B$4/+'Age Factors'!B71,0)</f>
        <v>359</v>
      </c>
      <c r="C71" s="61">
        <f>ROUND(+C$4/+'Age Factors'!C71,0)</f>
        <v>1263</v>
      </c>
      <c r="D71" s="61">
        <f>ROUND(+D$4/+'Age Factors'!D71,0)</f>
        <v>1511</v>
      </c>
      <c r="E71" s="61">
        <f>ROUND(+E$4/+'Age Factors'!E71,0)</f>
        <v>1621</v>
      </c>
      <c r="F71" s="61">
        <f>ROUND(+F$4/+'Age Factors'!F71,0)</f>
        <v>2008</v>
      </c>
      <c r="G71" s="61">
        <f>ROUND(+G$4/+'Age Factors'!G71,0)</f>
        <v>2022</v>
      </c>
      <c r="H71" s="61">
        <f>ROUND(+H$4/+'Age Factors'!H71,0)</f>
        <v>2504</v>
      </c>
      <c r="I71" s="61">
        <f>ROUND(+I$4/+'Age Factors'!I71,0)</f>
        <v>3046</v>
      </c>
      <c r="J71" s="61">
        <f>ROUND(+J$4/+'Age Factors'!J71,0)</f>
        <v>3879</v>
      </c>
      <c r="K71" s="61">
        <f>ROUND(+K$4/+'Age Factors'!K71,0)</f>
        <v>4190</v>
      </c>
      <c r="L71" s="61">
        <f>ROUND(+L$4/+'Age Factors'!L71,0)</f>
        <v>5330</v>
      </c>
      <c r="M71" s="61">
        <f>ROUND(+M$4/+'Age Factors'!M71,0)</f>
        <v>5644</v>
      </c>
      <c r="N71" s="61">
        <f>ROUND(+N$4/+'Age Factors'!N71,0)</f>
        <v>6715</v>
      </c>
      <c r="O71" s="61">
        <f>ROUND(+O$4/+'Age Factors'!O71,0)</f>
        <v>8110</v>
      </c>
      <c r="P71" s="61">
        <f>ROUND(+P$4/+'Age Factors'!P71,0)</f>
        <v>11541</v>
      </c>
      <c r="Q71" s="61">
        <f>ROUND(+Q$4/+'Age Factors'!Q71,0)</f>
        <v>13901</v>
      </c>
      <c r="R71" s="61">
        <f>ROUND(+R$4/+'Age Factors'!R71,0)</f>
        <v>25315</v>
      </c>
      <c r="S71" s="61">
        <f>ROUND(+S$4/+'Age Factors'!S71,0)</f>
        <v>34924</v>
      </c>
      <c r="T71" s="61">
        <f>ROUND(+T$4/+'Age Factors'!T71,0)</f>
        <v>58771</v>
      </c>
      <c r="U71" s="61">
        <f>ROUND(+U$4/+'Age Factors'!U71,0)</f>
        <v>64397</v>
      </c>
      <c r="V71" s="61">
        <f>ROUND(+V$4/+'Age Factors'!V71,0)</f>
        <v>85270</v>
      </c>
      <c r="W71" s="47"/>
    </row>
    <row r="72" spans="1:23">
      <c r="A72" s="49">
        <v>71</v>
      </c>
      <c r="B72" s="50">
        <f>ROUND(+B$4/+'Age Factors'!B72,0)</f>
        <v>364</v>
      </c>
      <c r="C72" s="50">
        <f>ROUND(+C$4/+'Age Factors'!C72,0)</f>
        <v>1282</v>
      </c>
      <c r="D72" s="50">
        <f>ROUND(+D$4/+'Age Factors'!D72,0)</f>
        <v>1534</v>
      </c>
      <c r="E72" s="50">
        <f>ROUND(+E$4/+'Age Factors'!E72,0)</f>
        <v>1646</v>
      </c>
      <c r="F72" s="50">
        <f>ROUND(+F$4/+'Age Factors'!F72,0)</f>
        <v>2039</v>
      </c>
      <c r="G72" s="50">
        <f>ROUND(+G$4/+'Age Factors'!G72,0)</f>
        <v>2053</v>
      </c>
      <c r="H72" s="50">
        <f>ROUND(+H$4/+'Age Factors'!H72,0)</f>
        <v>2543</v>
      </c>
      <c r="I72" s="50">
        <f>ROUND(+I$4/+'Age Factors'!I72,0)</f>
        <v>3094</v>
      </c>
      <c r="J72" s="50">
        <f>ROUND(+J$4/+'Age Factors'!J72,0)</f>
        <v>3939</v>
      </c>
      <c r="K72" s="50">
        <f>ROUND(+K$4/+'Age Factors'!K72,0)</f>
        <v>4256</v>
      </c>
      <c r="L72" s="50">
        <f>ROUND(+L$4/+'Age Factors'!L72,0)</f>
        <v>5414</v>
      </c>
      <c r="M72" s="50">
        <f>ROUND(+M$4/+'Age Factors'!M72,0)</f>
        <v>5733</v>
      </c>
      <c r="N72" s="50">
        <f>ROUND(+N$4/+'Age Factors'!N72,0)</f>
        <v>6823</v>
      </c>
      <c r="O72" s="50">
        <f>ROUND(+O$4/+'Age Factors'!O72,0)</f>
        <v>8241</v>
      </c>
      <c r="P72" s="50">
        <f>ROUND(+P$4/+'Age Factors'!P72,0)</f>
        <v>11732</v>
      </c>
      <c r="Q72" s="50">
        <f>ROUND(+Q$4/+'Age Factors'!Q72,0)</f>
        <v>14131</v>
      </c>
      <c r="R72" s="50">
        <f>ROUND(+R$4/+'Age Factors'!R72,0)</f>
        <v>25734</v>
      </c>
      <c r="S72" s="50">
        <f>ROUND(+S$4/+'Age Factors'!S72,0)</f>
        <v>35502</v>
      </c>
      <c r="T72" s="50">
        <f>ROUND(+T$4/+'Age Factors'!T72,0)</f>
        <v>59744</v>
      </c>
      <c r="U72" s="50">
        <f>ROUND(+U$4/+'Age Factors'!U72,0)</f>
        <v>65463</v>
      </c>
      <c r="V72" s="50">
        <f>ROUND(+V$4/+'Age Factors'!V72,0)</f>
        <v>86682</v>
      </c>
      <c r="W72" s="47"/>
    </row>
    <row r="73" spans="1:23">
      <c r="A73" s="49">
        <v>72</v>
      </c>
      <c r="B73" s="50">
        <f>ROUND(+B$4/+'Age Factors'!B73,0)</f>
        <v>369</v>
      </c>
      <c r="C73" s="50">
        <f>ROUND(+C$4/+'Age Factors'!C73,0)</f>
        <v>1301</v>
      </c>
      <c r="D73" s="50">
        <f>ROUND(+D$4/+'Age Factors'!D73,0)</f>
        <v>1557</v>
      </c>
      <c r="E73" s="50">
        <f>ROUND(+E$4/+'Age Factors'!E73,0)</f>
        <v>1670</v>
      </c>
      <c r="F73" s="50">
        <f>ROUND(+F$4/+'Age Factors'!F73,0)</f>
        <v>2070</v>
      </c>
      <c r="G73" s="50">
        <f>ROUND(+G$4/+'Age Factors'!G73,0)</f>
        <v>2085</v>
      </c>
      <c r="H73" s="50">
        <f>ROUND(+H$4/+'Age Factors'!H73,0)</f>
        <v>2583</v>
      </c>
      <c r="I73" s="50">
        <f>ROUND(+I$4/+'Age Factors'!I73,0)</f>
        <v>3142</v>
      </c>
      <c r="J73" s="50">
        <f>ROUND(+J$4/+'Age Factors'!J73,0)</f>
        <v>4002</v>
      </c>
      <c r="K73" s="50">
        <f>ROUND(+K$4/+'Age Factors'!K73,0)</f>
        <v>4323</v>
      </c>
      <c r="L73" s="50">
        <f>ROUND(+L$4/+'Age Factors'!L73,0)</f>
        <v>5500</v>
      </c>
      <c r="M73" s="50">
        <f>ROUND(+M$4/+'Age Factors'!M73,0)</f>
        <v>5825</v>
      </c>
      <c r="N73" s="50">
        <f>ROUND(+N$4/+'Age Factors'!N73,0)</f>
        <v>6934</v>
      </c>
      <c r="O73" s="50">
        <f>ROUND(+O$4/+'Age Factors'!O73,0)</f>
        <v>8377</v>
      </c>
      <c r="P73" s="50">
        <f>ROUND(+P$4/+'Age Factors'!P73,0)</f>
        <v>11930</v>
      </c>
      <c r="Q73" s="50">
        <f>ROUND(+Q$4/+'Age Factors'!Q73,0)</f>
        <v>14369</v>
      </c>
      <c r="R73" s="50">
        <f>ROUND(+R$4/+'Age Factors'!R73,0)</f>
        <v>26167</v>
      </c>
      <c r="S73" s="50">
        <f>ROUND(+S$4/+'Age Factors'!S73,0)</f>
        <v>36099</v>
      </c>
      <c r="T73" s="50">
        <f>ROUND(+T$4/+'Age Factors'!T73,0)</f>
        <v>60750</v>
      </c>
      <c r="U73" s="50">
        <f>ROUND(+U$4/+'Age Factors'!U73,0)</f>
        <v>66565</v>
      </c>
      <c r="V73" s="50">
        <f>ROUND(+V$4/+'Age Factors'!V73,0)</f>
        <v>88141</v>
      </c>
      <c r="W73" s="47"/>
    </row>
    <row r="74" spans="1:23">
      <c r="A74" s="49">
        <v>73</v>
      </c>
      <c r="B74" s="50">
        <f>ROUND(+B$4/+'Age Factors'!B74,0)</f>
        <v>375</v>
      </c>
      <c r="C74" s="50">
        <f>ROUND(+C$4/+'Age Factors'!C74,0)</f>
        <v>1320</v>
      </c>
      <c r="D74" s="50">
        <f>ROUND(+D$4/+'Age Factors'!D74,0)</f>
        <v>1580</v>
      </c>
      <c r="E74" s="50">
        <f>ROUND(+E$4/+'Age Factors'!E74,0)</f>
        <v>1696</v>
      </c>
      <c r="F74" s="50">
        <f>ROUND(+F$4/+'Age Factors'!F74,0)</f>
        <v>2102</v>
      </c>
      <c r="G74" s="50">
        <f>ROUND(+G$4/+'Age Factors'!G74,0)</f>
        <v>2117</v>
      </c>
      <c r="H74" s="50">
        <f>ROUND(+H$4/+'Age Factors'!H74,0)</f>
        <v>2624</v>
      </c>
      <c r="I74" s="50">
        <f>ROUND(+I$4/+'Age Factors'!I74,0)</f>
        <v>3193</v>
      </c>
      <c r="J74" s="50">
        <f>ROUND(+J$4/+'Age Factors'!J74,0)</f>
        <v>4066</v>
      </c>
      <c r="K74" s="50">
        <f>ROUND(+K$4/+'Age Factors'!K74,0)</f>
        <v>4393</v>
      </c>
      <c r="L74" s="50">
        <f>ROUND(+L$4/+'Age Factors'!L74,0)</f>
        <v>5589</v>
      </c>
      <c r="M74" s="50">
        <f>ROUND(+M$4/+'Age Factors'!M74,0)</f>
        <v>5920</v>
      </c>
      <c r="N74" s="50">
        <f>ROUND(+N$4/+'Age Factors'!N74,0)</f>
        <v>7048</v>
      </c>
      <c r="O74" s="50">
        <f>ROUND(+O$4/+'Age Factors'!O74,0)</f>
        <v>8517</v>
      </c>
      <c r="P74" s="50">
        <f>ROUND(+P$4/+'Age Factors'!P74,0)</f>
        <v>12134</v>
      </c>
      <c r="Q74" s="50">
        <f>ROUND(+Q$4/+'Age Factors'!Q74,0)</f>
        <v>14615</v>
      </c>
      <c r="R74" s="50">
        <f>ROUND(+R$4/+'Age Factors'!R74,0)</f>
        <v>26615</v>
      </c>
      <c r="S74" s="50">
        <f>ROUND(+S$4/+'Age Factors'!S74,0)</f>
        <v>36718</v>
      </c>
      <c r="T74" s="50">
        <f>ROUND(+T$4/+'Age Factors'!T74,0)</f>
        <v>61790</v>
      </c>
      <c r="U74" s="50">
        <f>ROUND(+U$4/+'Age Factors'!U74,0)</f>
        <v>67704</v>
      </c>
      <c r="V74" s="50">
        <f>ROUND(+V$4/+'Age Factors'!V74,0)</f>
        <v>89650</v>
      </c>
      <c r="W74" s="47"/>
    </row>
    <row r="75" spans="1:23">
      <c r="A75" s="49">
        <v>74</v>
      </c>
      <c r="B75" s="50">
        <f>ROUND(+B$4/+'Age Factors'!B75,0)</f>
        <v>380</v>
      </c>
      <c r="C75" s="50">
        <f>ROUND(+C$4/+'Age Factors'!C75,0)</f>
        <v>1340</v>
      </c>
      <c r="D75" s="50">
        <f>ROUND(+D$4/+'Age Factors'!D75,0)</f>
        <v>1605</v>
      </c>
      <c r="E75" s="50">
        <f>ROUND(+E$4/+'Age Factors'!E75,0)</f>
        <v>1723</v>
      </c>
      <c r="F75" s="50">
        <f>ROUND(+F$4/+'Age Factors'!F75,0)</f>
        <v>2136</v>
      </c>
      <c r="G75" s="50">
        <f>ROUND(+G$4/+'Age Factors'!G75,0)</f>
        <v>2151</v>
      </c>
      <c r="H75" s="50">
        <f>ROUND(+H$4/+'Age Factors'!H75,0)</f>
        <v>2667</v>
      </c>
      <c r="I75" s="50">
        <f>ROUND(+I$4/+'Age Factors'!I75,0)</f>
        <v>3245</v>
      </c>
      <c r="J75" s="50">
        <f>ROUND(+J$4/+'Age Factors'!J75,0)</f>
        <v>4132</v>
      </c>
      <c r="K75" s="50">
        <f>ROUND(+K$4/+'Age Factors'!K75,0)</f>
        <v>4465</v>
      </c>
      <c r="L75" s="50">
        <f>ROUND(+L$4/+'Age Factors'!L75,0)</f>
        <v>5681</v>
      </c>
      <c r="M75" s="50">
        <f>ROUND(+M$4/+'Age Factors'!M75,0)</f>
        <v>6017</v>
      </c>
      <c r="N75" s="50">
        <f>ROUND(+N$4/+'Age Factors'!N75,0)</f>
        <v>7166</v>
      </c>
      <c r="O75" s="50">
        <f>ROUND(+O$4/+'Age Factors'!O75,0)</f>
        <v>8662</v>
      </c>
      <c r="P75" s="50">
        <f>ROUND(+P$4/+'Age Factors'!P75,0)</f>
        <v>12345</v>
      </c>
      <c r="Q75" s="50">
        <f>ROUND(+Q$4/+'Age Factors'!Q75,0)</f>
        <v>14869</v>
      </c>
      <c r="R75" s="50">
        <f>ROUND(+R$4/+'Age Factors'!R75,0)</f>
        <v>27078</v>
      </c>
      <c r="S75" s="50">
        <f>ROUND(+S$4/+'Age Factors'!S75,0)</f>
        <v>37357</v>
      </c>
      <c r="T75" s="50">
        <f>ROUND(+T$4/+'Age Factors'!T75,0)</f>
        <v>62866</v>
      </c>
      <c r="U75" s="50">
        <f>ROUND(+U$4/+'Age Factors'!U75,0)</f>
        <v>68884</v>
      </c>
      <c r="V75" s="50">
        <f>ROUND(+V$4/+'Age Factors'!V75,0)</f>
        <v>91211</v>
      </c>
      <c r="W75" s="47"/>
    </row>
    <row r="76" spans="1:23">
      <c r="A76" s="57">
        <v>75</v>
      </c>
      <c r="B76" s="61">
        <f>ROUND(+B$4/+'Age Factors'!B76,0)</f>
        <v>386</v>
      </c>
      <c r="C76" s="61">
        <f>ROUND(+C$4/+'Age Factors'!C76,0)</f>
        <v>1361</v>
      </c>
      <c r="D76" s="61">
        <f>ROUND(+D$4/+'Age Factors'!D76,0)</f>
        <v>1630</v>
      </c>
      <c r="E76" s="61">
        <f>ROUND(+E$4/+'Age Factors'!E76,0)</f>
        <v>1750</v>
      </c>
      <c r="F76" s="61">
        <f>ROUND(+F$4/+'Age Factors'!F76,0)</f>
        <v>2170</v>
      </c>
      <c r="G76" s="61">
        <f>ROUND(+G$4/+'Age Factors'!G76,0)</f>
        <v>2186</v>
      </c>
      <c r="H76" s="61">
        <f>ROUND(+H$4/+'Age Factors'!H76,0)</f>
        <v>2711</v>
      </c>
      <c r="I76" s="61">
        <f>ROUND(+I$4/+'Age Factors'!I76,0)</f>
        <v>3299</v>
      </c>
      <c r="J76" s="61">
        <f>ROUND(+J$4/+'Age Factors'!J76,0)</f>
        <v>4202</v>
      </c>
      <c r="K76" s="61">
        <f>ROUND(+K$4/+'Age Factors'!K76,0)</f>
        <v>4540</v>
      </c>
      <c r="L76" s="61">
        <f>ROUND(+L$4/+'Age Factors'!L76,0)</f>
        <v>5778</v>
      </c>
      <c r="M76" s="61">
        <f>ROUND(+M$4/+'Age Factors'!M76,0)</f>
        <v>6118</v>
      </c>
      <c r="N76" s="61">
        <f>ROUND(+N$4/+'Age Factors'!N76,0)</f>
        <v>7287</v>
      </c>
      <c r="O76" s="61">
        <f>ROUND(+O$4/+'Age Factors'!O76,0)</f>
        <v>8812</v>
      </c>
      <c r="P76" s="61">
        <f>ROUND(+P$4/+'Age Factors'!P76,0)</f>
        <v>12564</v>
      </c>
      <c r="Q76" s="61">
        <f>ROUND(+Q$4/+'Age Factors'!Q76,0)</f>
        <v>15133</v>
      </c>
      <c r="R76" s="61">
        <f>ROUND(+R$4/+'Age Factors'!R76,0)</f>
        <v>27558</v>
      </c>
      <c r="S76" s="61">
        <f>ROUND(+S$4/+'Age Factors'!S76,0)</f>
        <v>38019</v>
      </c>
      <c r="T76" s="61">
        <f>ROUND(+T$4/+'Age Factors'!T76,0)</f>
        <v>63981</v>
      </c>
      <c r="U76" s="61">
        <f>ROUND(+U$4/+'Age Factors'!U76,0)</f>
        <v>70105</v>
      </c>
      <c r="V76" s="61">
        <f>ROUND(+V$4/+'Age Factors'!V76,0)</f>
        <v>92828</v>
      </c>
      <c r="W76" s="47"/>
    </row>
    <row r="77" spans="1:23">
      <c r="A77" s="49">
        <v>76</v>
      </c>
      <c r="B77" s="50">
        <f>ROUND(+B$4/+'Age Factors'!B77,0)</f>
        <v>392</v>
      </c>
      <c r="C77" s="50">
        <f>ROUND(+C$4/+'Age Factors'!C77,0)</f>
        <v>1383</v>
      </c>
      <c r="D77" s="50">
        <f>ROUND(+D$4/+'Age Factors'!D77,0)</f>
        <v>1657</v>
      </c>
      <c r="E77" s="50">
        <f>ROUND(+E$4/+'Age Factors'!E77,0)</f>
        <v>1778</v>
      </c>
      <c r="F77" s="50">
        <f>ROUND(+F$4/+'Age Factors'!F77,0)</f>
        <v>2206</v>
      </c>
      <c r="G77" s="50">
        <f>ROUND(+G$4/+'Age Factors'!G77,0)</f>
        <v>2222</v>
      </c>
      <c r="H77" s="50">
        <f>ROUND(+H$4/+'Age Factors'!H77,0)</f>
        <v>2756</v>
      </c>
      <c r="I77" s="50">
        <f>ROUND(+I$4/+'Age Factors'!I77,0)</f>
        <v>3355</v>
      </c>
      <c r="J77" s="50">
        <f>ROUND(+J$4/+'Age Factors'!J77,0)</f>
        <v>4273</v>
      </c>
      <c r="K77" s="50">
        <f>ROUND(+K$4/+'Age Factors'!K77,0)</f>
        <v>4618</v>
      </c>
      <c r="L77" s="50">
        <f>ROUND(+L$4/+'Age Factors'!L77,0)</f>
        <v>5878</v>
      </c>
      <c r="M77" s="50">
        <f>ROUND(+M$4/+'Age Factors'!M77,0)</f>
        <v>6225</v>
      </c>
      <c r="N77" s="50">
        <f>ROUND(+N$4/+'Age Factors'!N77,0)</f>
        <v>7416</v>
      </c>
      <c r="O77" s="50">
        <f>ROUND(+O$4/+'Age Factors'!O77,0)</f>
        <v>8968</v>
      </c>
      <c r="P77" s="50">
        <f>ROUND(+P$4/+'Age Factors'!P77,0)</f>
        <v>12793</v>
      </c>
      <c r="Q77" s="50">
        <f>ROUND(+Q$4/+'Age Factors'!Q77,0)</f>
        <v>15409</v>
      </c>
      <c r="R77" s="50">
        <f>ROUND(+R$4/+'Age Factors'!R77,0)</f>
        <v>28060</v>
      </c>
      <c r="S77" s="50">
        <f>ROUND(+S$4/+'Age Factors'!S77,0)</f>
        <v>38712</v>
      </c>
      <c r="T77" s="50">
        <f>ROUND(+T$4/+'Age Factors'!T77,0)</f>
        <v>65146</v>
      </c>
      <c r="U77" s="50">
        <f>ROUND(+U$4/+'Age Factors'!U77,0)</f>
        <v>71382</v>
      </c>
      <c r="V77" s="50">
        <f>ROUND(+V$4/+'Age Factors'!V77,0)</f>
        <v>94519</v>
      </c>
      <c r="W77" s="47"/>
    </row>
    <row r="78" spans="1:23">
      <c r="A78" s="49">
        <v>77</v>
      </c>
      <c r="B78" s="50">
        <f>ROUND(+B$4/+'Age Factors'!B78,0)</f>
        <v>398</v>
      </c>
      <c r="C78" s="50">
        <f>ROUND(+C$4/+'Age Factors'!C78,0)</f>
        <v>1405</v>
      </c>
      <c r="D78" s="50">
        <f>ROUND(+D$4/+'Age Factors'!D78,0)</f>
        <v>1684</v>
      </c>
      <c r="E78" s="50">
        <f>ROUND(+E$4/+'Age Factors'!E78,0)</f>
        <v>1807</v>
      </c>
      <c r="F78" s="50">
        <f>ROUND(+F$4/+'Age Factors'!F78,0)</f>
        <v>2243</v>
      </c>
      <c r="G78" s="50">
        <f>ROUND(+G$4/+'Age Factors'!G78,0)</f>
        <v>2259</v>
      </c>
      <c r="H78" s="50">
        <f>ROUND(+H$4/+'Age Factors'!H78,0)</f>
        <v>2803</v>
      </c>
      <c r="I78" s="50">
        <f>ROUND(+I$4/+'Age Factors'!I78,0)</f>
        <v>3414</v>
      </c>
      <c r="J78" s="50">
        <f>ROUND(+J$4/+'Age Factors'!J78,0)</f>
        <v>4351</v>
      </c>
      <c r="K78" s="50">
        <f>ROUND(+K$4/+'Age Factors'!K78,0)</f>
        <v>4703</v>
      </c>
      <c r="L78" s="50">
        <f>ROUND(+L$4/+'Age Factors'!L78,0)</f>
        <v>5990</v>
      </c>
      <c r="M78" s="50">
        <f>ROUND(+M$4/+'Age Factors'!M78,0)</f>
        <v>6345</v>
      </c>
      <c r="N78" s="50">
        <f>ROUND(+N$4/+'Age Factors'!N78,0)</f>
        <v>7560</v>
      </c>
      <c r="O78" s="50">
        <f>ROUND(+O$4/+'Age Factors'!O78,0)</f>
        <v>9146</v>
      </c>
      <c r="P78" s="50">
        <f>ROUND(+P$4/+'Age Factors'!P78,0)</f>
        <v>13052</v>
      </c>
      <c r="Q78" s="50">
        <f>ROUND(+Q$4/+'Age Factors'!Q78,0)</f>
        <v>15721</v>
      </c>
      <c r="R78" s="50">
        <f>ROUND(+R$4/+'Age Factors'!R78,0)</f>
        <v>28629</v>
      </c>
      <c r="S78" s="50">
        <f>ROUND(+S$4/+'Age Factors'!S78,0)</f>
        <v>39496</v>
      </c>
      <c r="T78" s="50">
        <f>ROUND(+T$4/+'Age Factors'!T78,0)</f>
        <v>66466</v>
      </c>
      <c r="U78" s="50">
        <f>ROUND(+U$4/+'Age Factors'!U78,0)</f>
        <v>72828</v>
      </c>
      <c r="V78" s="50">
        <f>ROUND(+V$4/+'Age Factors'!V78,0)</f>
        <v>96434</v>
      </c>
      <c r="W78" s="47"/>
    </row>
    <row r="79" spans="1:23">
      <c r="A79" s="49">
        <v>78</v>
      </c>
      <c r="B79" s="50">
        <f>ROUND(+B$4/+'Age Factors'!B79,0)</f>
        <v>404</v>
      </c>
      <c r="C79" s="50">
        <f>ROUND(+C$4/+'Age Factors'!C79,0)</f>
        <v>1429</v>
      </c>
      <c r="D79" s="50">
        <f>ROUND(+D$4/+'Age Factors'!D79,0)</f>
        <v>1713</v>
      </c>
      <c r="E79" s="50">
        <f>ROUND(+E$4/+'Age Factors'!E79,0)</f>
        <v>1839</v>
      </c>
      <c r="F79" s="50">
        <f>ROUND(+F$4/+'Age Factors'!F79,0)</f>
        <v>2284</v>
      </c>
      <c r="G79" s="50">
        <f>ROUND(+G$4/+'Age Factors'!G79,0)</f>
        <v>2301</v>
      </c>
      <c r="H79" s="50">
        <f>ROUND(+H$4/+'Age Factors'!H79,0)</f>
        <v>2856</v>
      </c>
      <c r="I79" s="50">
        <f>ROUND(+I$4/+'Age Factors'!I79,0)</f>
        <v>3480</v>
      </c>
      <c r="J79" s="50">
        <f>ROUND(+J$4/+'Age Factors'!J79,0)</f>
        <v>4439</v>
      </c>
      <c r="K79" s="50">
        <f>ROUND(+K$4/+'Age Factors'!K79,0)</f>
        <v>4798</v>
      </c>
      <c r="L79" s="50">
        <f>ROUND(+L$4/+'Age Factors'!L79,0)</f>
        <v>6115</v>
      </c>
      <c r="M79" s="50">
        <f>ROUND(+M$4/+'Age Factors'!M79,0)</f>
        <v>6479</v>
      </c>
      <c r="N79" s="50">
        <f>ROUND(+N$4/+'Age Factors'!N79,0)</f>
        <v>7723</v>
      </c>
      <c r="O79" s="50">
        <f>ROUND(+O$4/+'Age Factors'!O79,0)</f>
        <v>9345</v>
      </c>
      <c r="P79" s="50">
        <f>ROUND(+P$4/+'Age Factors'!P79,0)</f>
        <v>13347</v>
      </c>
      <c r="Q79" s="50">
        <f>ROUND(+Q$4/+'Age Factors'!Q79,0)</f>
        <v>16076</v>
      </c>
      <c r="R79" s="50">
        <f>ROUND(+R$4/+'Age Factors'!R79,0)</f>
        <v>29276</v>
      </c>
      <c r="S79" s="50">
        <f>ROUND(+S$4/+'Age Factors'!S79,0)</f>
        <v>40389</v>
      </c>
      <c r="T79" s="50">
        <f>ROUND(+T$4/+'Age Factors'!T79,0)</f>
        <v>67968</v>
      </c>
      <c r="U79" s="50">
        <f>ROUND(+U$4/+'Age Factors'!U79,0)</f>
        <v>74474</v>
      </c>
      <c r="V79" s="50">
        <f>ROUND(+V$4/+'Age Factors'!V79,0)</f>
        <v>98613</v>
      </c>
      <c r="W79" s="47"/>
    </row>
    <row r="80" spans="1:23">
      <c r="A80" s="49">
        <v>79</v>
      </c>
      <c r="B80" s="50">
        <f>ROUND(+B$4/+'Age Factors'!B80,0)</f>
        <v>410</v>
      </c>
      <c r="C80" s="50">
        <f>ROUND(+C$4/+'Age Factors'!C80,0)</f>
        <v>1455</v>
      </c>
      <c r="D80" s="50">
        <f>ROUND(+D$4/+'Age Factors'!D80,0)</f>
        <v>1746</v>
      </c>
      <c r="E80" s="50">
        <f>ROUND(+E$4/+'Age Factors'!E80,0)</f>
        <v>1875</v>
      </c>
      <c r="F80" s="50">
        <f>ROUND(+F$4/+'Age Factors'!F80,0)</f>
        <v>2330</v>
      </c>
      <c r="G80" s="50">
        <f>ROUND(+G$4/+'Age Factors'!G80,0)</f>
        <v>2347</v>
      </c>
      <c r="H80" s="50">
        <f>ROUND(+H$4/+'Age Factors'!H80,0)</f>
        <v>2916</v>
      </c>
      <c r="I80" s="50">
        <f>ROUND(+I$4/+'Age Factors'!I80,0)</f>
        <v>3554</v>
      </c>
      <c r="J80" s="50">
        <f>ROUND(+J$4/+'Age Factors'!J80,0)</f>
        <v>4536</v>
      </c>
      <c r="K80" s="50">
        <f>ROUND(+K$4/+'Age Factors'!K80,0)</f>
        <v>4904</v>
      </c>
      <c r="L80" s="50">
        <f>ROUND(+L$4/+'Age Factors'!L80,0)</f>
        <v>6254</v>
      </c>
      <c r="M80" s="50">
        <f>ROUND(+M$4/+'Age Factors'!M80,0)</f>
        <v>6627</v>
      </c>
      <c r="N80" s="50">
        <f>ROUND(+N$4/+'Age Factors'!N80,0)</f>
        <v>7904</v>
      </c>
      <c r="O80" s="50">
        <f>ROUND(+O$4/+'Age Factors'!O80,0)</f>
        <v>9570</v>
      </c>
      <c r="P80" s="50">
        <f>ROUND(+P$4/+'Age Factors'!P80,0)</f>
        <v>13682</v>
      </c>
      <c r="Q80" s="50">
        <f>ROUND(+Q$4/+'Age Factors'!Q80,0)</f>
        <v>16479</v>
      </c>
      <c r="R80" s="50">
        <f>ROUND(+R$4/+'Age Factors'!R80,0)</f>
        <v>30011</v>
      </c>
      <c r="S80" s="50">
        <f>ROUND(+S$4/+'Age Factors'!S80,0)</f>
        <v>41402</v>
      </c>
      <c r="T80" s="50">
        <f>ROUND(+T$4/+'Age Factors'!T80,0)</f>
        <v>69674</v>
      </c>
      <c r="U80" s="50">
        <f>ROUND(+U$4/+'Age Factors'!U80,0)</f>
        <v>76343</v>
      </c>
      <c r="V80" s="50">
        <f>ROUND(+V$4/+'Age Factors'!V80,0)</f>
        <v>101088</v>
      </c>
      <c r="W80" s="47"/>
    </row>
    <row r="81" spans="1:23">
      <c r="A81" s="57">
        <v>80</v>
      </c>
      <c r="B81" s="61">
        <f>ROUND(+B$4/+'Age Factors'!B81,0)</f>
        <v>417</v>
      </c>
      <c r="C81" s="61">
        <f>ROUND(+C$4/+'Age Factors'!C81,0)</f>
        <v>1485</v>
      </c>
      <c r="D81" s="61">
        <f>ROUND(+D$4/+'Age Factors'!D81,0)</f>
        <v>1782</v>
      </c>
      <c r="E81" s="61">
        <f>ROUND(+E$4/+'Age Factors'!E81,0)</f>
        <v>1915</v>
      </c>
      <c r="F81" s="61">
        <f>ROUND(+F$4/+'Age Factors'!F81,0)</f>
        <v>2382</v>
      </c>
      <c r="G81" s="61">
        <f>ROUND(+G$4/+'Age Factors'!G81,0)</f>
        <v>2399</v>
      </c>
      <c r="H81" s="61">
        <f>ROUND(+H$4/+'Age Factors'!H81,0)</f>
        <v>2983</v>
      </c>
      <c r="I81" s="61">
        <f>ROUND(+I$4/+'Age Factors'!I81,0)</f>
        <v>3621</v>
      </c>
      <c r="J81" s="61">
        <f>ROUND(+J$4/+'Age Factors'!J81,0)</f>
        <v>4645</v>
      </c>
      <c r="K81" s="61">
        <f>ROUND(+K$4/+'Age Factors'!K81,0)</f>
        <v>5023</v>
      </c>
      <c r="L81" s="61">
        <f>ROUND(+L$4/+'Age Factors'!L81,0)</f>
        <v>6408</v>
      </c>
      <c r="M81" s="61">
        <f>ROUND(+M$4/+'Age Factors'!M81,0)</f>
        <v>6792</v>
      </c>
      <c r="N81" s="61">
        <f>ROUND(+N$4/+'Age Factors'!N81,0)</f>
        <v>8105</v>
      </c>
      <c r="O81" s="61">
        <f>ROUND(+O$4/+'Age Factors'!O81,0)</f>
        <v>9822</v>
      </c>
      <c r="P81" s="61">
        <f>ROUND(+P$4/+'Age Factors'!P81,0)</f>
        <v>14062</v>
      </c>
      <c r="Q81" s="61">
        <f>ROUND(+Q$4/+'Age Factors'!Q81,0)</f>
        <v>16937</v>
      </c>
      <c r="R81" s="61">
        <f>ROUND(+R$4/+'Age Factors'!R81,0)</f>
        <v>30844</v>
      </c>
      <c r="S81" s="61">
        <f>ROUND(+S$4/+'Age Factors'!S81,0)</f>
        <v>42552</v>
      </c>
      <c r="T81" s="61">
        <f>ROUND(+T$4/+'Age Factors'!T81,0)</f>
        <v>71609</v>
      </c>
      <c r="U81" s="61">
        <f>ROUND(+U$4/+'Age Factors'!U81,0)</f>
        <v>78463</v>
      </c>
      <c r="V81" s="61">
        <f>ROUND(+V$4/+'Age Factors'!V81,0)</f>
        <v>103896</v>
      </c>
      <c r="W81" s="47"/>
    </row>
    <row r="82" spans="1:23">
      <c r="A82" s="49">
        <v>81</v>
      </c>
      <c r="B82" s="50">
        <f>ROUND(+B$4/+'Age Factors'!B82,0)</f>
        <v>425</v>
      </c>
      <c r="C82" s="50">
        <f>ROUND(+C$4/+'Age Factors'!C82,0)</f>
        <v>1518</v>
      </c>
      <c r="D82" s="50">
        <f>ROUND(+D$4/+'Age Factors'!D82,0)</f>
        <v>1824</v>
      </c>
      <c r="E82" s="50">
        <f>ROUND(+E$4/+'Age Factors'!E82,0)</f>
        <v>1960</v>
      </c>
      <c r="F82" s="50">
        <f>ROUND(+F$4/+'Age Factors'!F82,0)</f>
        <v>2440</v>
      </c>
      <c r="G82" s="50">
        <f>ROUND(+G$4/+'Age Factors'!G82,0)</f>
        <v>2457</v>
      </c>
      <c r="H82" s="50">
        <f>ROUND(+H$4/+'Age Factors'!H82,0)</f>
        <v>3059</v>
      </c>
      <c r="I82" s="50">
        <f>ROUND(+I$4/+'Age Factors'!I82,0)</f>
        <v>3731</v>
      </c>
      <c r="J82" s="50">
        <f>ROUND(+J$4/+'Age Factors'!J82,0)</f>
        <v>4767</v>
      </c>
      <c r="K82" s="50">
        <f>ROUND(+K$4/+'Age Factors'!K82,0)</f>
        <v>5156</v>
      </c>
      <c r="L82" s="50">
        <f>ROUND(+L$4/+'Age Factors'!L82,0)</f>
        <v>6582</v>
      </c>
      <c r="M82" s="50">
        <f>ROUND(+M$4/+'Age Factors'!M82,0)</f>
        <v>6976</v>
      </c>
      <c r="N82" s="50">
        <f>ROUND(+N$4/+'Age Factors'!N82,0)</f>
        <v>8333</v>
      </c>
      <c r="O82" s="50">
        <f>ROUND(+O$4/+'Age Factors'!O82,0)</f>
        <v>10106</v>
      </c>
      <c r="P82" s="50">
        <f>ROUND(+P$4/+'Age Factors'!P82,0)</f>
        <v>14493</v>
      </c>
      <c r="Q82" s="50">
        <f>ROUND(+Q$4/+'Age Factors'!Q82,0)</f>
        <v>17457</v>
      </c>
      <c r="R82" s="50">
        <f>ROUND(+R$4/+'Age Factors'!R82,0)</f>
        <v>31790</v>
      </c>
      <c r="S82" s="50">
        <f>ROUND(+S$4/+'Age Factors'!S82,0)</f>
        <v>43858</v>
      </c>
      <c r="T82" s="50">
        <f>ROUND(+T$4/+'Age Factors'!T82,0)</f>
        <v>73806</v>
      </c>
      <c r="U82" s="50">
        <f>ROUND(+U$4/+'Age Factors'!U82,0)</f>
        <v>80870</v>
      </c>
      <c r="V82" s="50">
        <f>ROUND(+V$4/+'Age Factors'!V82,0)</f>
        <v>107083</v>
      </c>
      <c r="W82" s="47"/>
    </row>
    <row r="83" spans="1:23">
      <c r="A83" s="49">
        <v>82</v>
      </c>
      <c r="B83" s="50">
        <f>ROUND(+B$4/+'Age Factors'!B83,0)</f>
        <v>435</v>
      </c>
      <c r="C83" s="50">
        <f>ROUND(+C$4/+'Age Factors'!C83,0)</f>
        <v>1555</v>
      </c>
      <c r="D83" s="50">
        <f>ROUND(+D$4/+'Age Factors'!D83,0)</f>
        <v>1870</v>
      </c>
      <c r="E83" s="50">
        <f>ROUND(+E$4/+'Age Factors'!E83,0)</f>
        <v>2010</v>
      </c>
      <c r="F83" s="50">
        <f>ROUND(+F$4/+'Age Factors'!F83,0)</f>
        <v>2505</v>
      </c>
      <c r="G83" s="50">
        <f>ROUND(+G$4/+'Age Factors'!G83,0)</f>
        <v>2524</v>
      </c>
      <c r="H83" s="50">
        <f>ROUND(+H$4/+'Age Factors'!H83,0)</f>
        <v>3144</v>
      </c>
      <c r="I83" s="50">
        <f>ROUND(+I$4/+'Age Factors'!I83,0)</f>
        <v>3837</v>
      </c>
      <c r="J83" s="50">
        <f>ROUND(+J$4/+'Age Factors'!J83,0)</f>
        <v>4904</v>
      </c>
      <c r="K83" s="50">
        <f>ROUND(+K$4/+'Age Factors'!K83,0)</f>
        <v>5304</v>
      </c>
      <c r="L83" s="50">
        <f>ROUND(+L$4/+'Age Factors'!L83,0)</f>
        <v>6774</v>
      </c>
      <c r="M83" s="50">
        <f>ROUND(+M$4/+'Age Factors'!M83,0)</f>
        <v>7181</v>
      </c>
      <c r="N83" s="50">
        <f>ROUND(+N$4/+'Age Factors'!N83,0)</f>
        <v>8586</v>
      </c>
      <c r="O83" s="50">
        <f>ROUND(+O$4/+'Age Factors'!O83,0)</f>
        <v>10425</v>
      </c>
      <c r="P83" s="50">
        <f>ROUND(+P$4/+'Age Factors'!P83,0)</f>
        <v>14984</v>
      </c>
      <c r="Q83" s="50">
        <f>ROUND(+Q$4/+'Age Factors'!Q83,0)</f>
        <v>18047</v>
      </c>
      <c r="R83" s="50">
        <f>ROUND(+R$4/+'Age Factors'!R83,0)</f>
        <v>32866</v>
      </c>
      <c r="S83" s="50">
        <f>ROUND(+S$4/+'Age Factors'!S83,0)</f>
        <v>45341</v>
      </c>
      <c r="T83" s="50">
        <f>ROUND(+T$4/+'Age Factors'!T83,0)</f>
        <v>76302</v>
      </c>
      <c r="U83" s="50">
        <f>ROUND(+U$4/+'Age Factors'!U83,0)</f>
        <v>83606</v>
      </c>
      <c r="V83" s="50">
        <f>ROUND(+V$4/+'Age Factors'!V83,0)</f>
        <v>110705</v>
      </c>
      <c r="W83" s="47"/>
    </row>
    <row r="84" spans="1:23">
      <c r="A84" s="49">
        <v>83</v>
      </c>
      <c r="B84" s="50">
        <f>ROUND(+B$4/+'Age Factors'!B84,0)</f>
        <v>445</v>
      </c>
      <c r="C84" s="50">
        <f>ROUND(+C$4/+'Age Factors'!C84,0)</f>
        <v>1596</v>
      </c>
      <c r="D84" s="50">
        <f>ROUND(+D$4/+'Age Factors'!D84,0)</f>
        <v>1921</v>
      </c>
      <c r="E84" s="50">
        <f>ROUND(+E$4/+'Age Factors'!E84,0)</f>
        <v>2066</v>
      </c>
      <c r="F84" s="50">
        <f>ROUND(+F$4/+'Age Factors'!F84,0)</f>
        <v>2579</v>
      </c>
      <c r="G84" s="50">
        <f>ROUND(+G$4/+'Age Factors'!G84,0)</f>
        <v>2598</v>
      </c>
      <c r="H84" s="50">
        <f>ROUND(+H$4/+'Age Factors'!H84,0)</f>
        <v>3241</v>
      </c>
      <c r="I84" s="50">
        <f>ROUND(+I$4/+'Age Factors'!I84,0)</f>
        <v>3956</v>
      </c>
      <c r="J84" s="50">
        <f>ROUND(+J$4/+'Age Factors'!J84,0)</f>
        <v>5058</v>
      </c>
      <c r="K84" s="50">
        <f>ROUND(+K$4/+'Age Factors'!K84,0)</f>
        <v>5471</v>
      </c>
      <c r="L84" s="50">
        <f>ROUND(+L$4/+'Age Factors'!L84,0)</f>
        <v>6989</v>
      </c>
      <c r="M84" s="50">
        <f>ROUND(+M$4/+'Age Factors'!M84,0)</f>
        <v>7409</v>
      </c>
      <c r="N84" s="50">
        <f>ROUND(+N$4/+'Age Factors'!N84,0)</f>
        <v>8870</v>
      </c>
      <c r="O84" s="50">
        <f>ROUND(+O$4/+'Age Factors'!O84,0)</f>
        <v>10786</v>
      </c>
      <c r="P84" s="50">
        <f>ROUND(+P$4/+'Age Factors'!P84,0)</f>
        <v>15542</v>
      </c>
      <c r="Q84" s="50">
        <f>ROUND(+Q$4/+'Age Factors'!Q84,0)</f>
        <v>18720</v>
      </c>
      <c r="R84" s="50">
        <f>ROUND(+R$4/+'Age Factors'!R84,0)</f>
        <v>34091</v>
      </c>
      <c r="S84" s="50">
        <f>ROUND(+S$4/+'Age Factors'!S84,0)</f>
        <v>47031</v>
      </c>
      <c r="T84" s="50">
        <f>ROUND(+T$4/+'Age Factors'!T84,0)</f>
        <v>79147</v>
      </c>
      <c r="U84" s="50">
        <f>ROUND(+U$4/+'Age Factors'!U84,0)</f>
        <v>86722</v>
      </c>
      <c r="V84" s="50">
        <f>ROUND(+V$4/+'Age Factors'!V84,0)</f>
        <v>114833</v>
      </c>
      <c r="W84" s="47"/>
    </row>
    <row r="85" spans="1:23">
      <c r="A85" s="49">
        <v>84</v>
      </c>
      <c r="B85" s="50">
        <f>ROUND(+B$4/+'Age Factors'!B85,0)</f>
        <v>457</v>
      </c>
      <c r="C85" s="50">
        <f>ROUND(+C$4/+'Age Factors'!C85,0)</f>
        <v>1641</v>
      </c>
      <c r="D85" s="50">
        <f>ROUND(+D$4/+'Age Factors'!D85,0)</f>
        <v>1979</v>
      </c>
      <c r="E85" s="50">
        <f>ROUND(+E$4/+'Age Factors'!E85,0)</f>
        <v>2129</v>
      </c>
      <c r="F85" s="50">
        <f>ROUND(+F$4/+'Age Factors'!F85,0)</f>
        <v>2662</v>
      </c>
      <c r="G85" s="50">
        <f>ROUND(+G$4/+'Age Factors'!G85,0)</f>
        <v>2682</v>
      </c>
      <c r="H85" s="50">
        <f>ROUND(+H$4/+'Age Factors'!H85,0)</f>
        <v>3351</v>
      </c>
      <c r="I85" s="50">
        <f>ROUND(+I$4/+'Age Factors'!I85,0)</f>
        <v>4091</v>
      </c>
      <c r="J85" s="50">
        <f>ROUND(+J$4/+'Age Factors'!J85,0)</f>
        <v>5231</v>
      </c>
      <c r="K85" s="50">
        <f>ROUND(+K$4/+'Age Factors'!K85,0)</f>
        <v>5659</v>
      </c>
      <c r="L85" s="50">
        <f>ROUND(+L$4/+'Age Factors'!L85,0)</f>
        <v>7231</v>
      </c>
      <c r="M85" s="50">
        <f>ROUND(+M$4/+'Age Factors'!M85,0)</f>
        <v>7665</v>
      </c>
      <c r="N85" s="50">
        <f>ROUND(+N$4/+'Age Factors'!N85,0)</f>
        <v>9191</v>
      </c>
      <c r="O85" s="50">
        <f>ROUND(+O$4/+'Age Factors'!O85,0)</f>
        <v>11193</v>
      </c>
      <c r="P85" s="50">
        <f>ROUND(+P$4/+'Age Factors'!P85,0)</f>
        <v>16181</v>
      </c>
      <c r="Q85" s="50">
        <f>ROUND(+Q$4/+'Age Factors'!Q85,0)</f>
        <v>19489</v>
      </c>
      <c r="R85" s="50">
        <f>ROUND(+R$4/+'Age Factors'!R85,0)</f>
        <v>35492</v>
      </c>
      <c r="S85" s="50">
        <f>ROUND(+S$4/+'Age Factors'!S85,0)</f>
        <v>48964</v>
      </c>
      <c r="T85" s="50">
        <f>ROUND(+T$4/+'Age Factors'!T85,0)</f>
        <v>82399</v>
      </c>
      <c r="U85" s="50">
        <f>ROUND(+U$4/+'Age Factors'!U85,0)</f>
        <v>90286</v>
      </c>
      <c r="V85" s="50">
        <f>ROUND(+V$4/+'Age Factors'!V85,0)</f>
        <v>119552</v>
      </c>
      <c r="W85" s="47"/>
    </row>
    <row r="86" spans="1:23">
      <c r="A86" s="57">
        <v>85</v>
      </c>
      <c r="B86" s="61">
        <f>ROUND(+B$4/+'Age Factors'!B86,0)</f>
        <v>470</v>
      </c>
      <c r="C86" s="61">
        <f>ROUND(+C$4/+'Age Factors'!C86,0)</f>
        <v>1692</v>
      </c>
      <c r="D86" s="61">
        <f>ROUND(+D$4/+'Age Factors'!D86,0)</f>
        <v>2043</v>
      </c>
      <c r="E86" s="61">
        <f>ROUND(+E$4/+'Age Factors'!E86,0)</f>
        <v>2200</v>
      </c>
      <c r="F86" s="61">
        <f>ROUND(+F$4/+'Age Factors'!F86,0)</f>
        <v>2756</v>
      </c>
      <c r="G86" s="61">
        <f>ROUND(+G$4/+'Age Factors'!G86,0)</f>
        <v>2776</v>
      </c>
      <c r="H86" s="61">
        <f>ROUND(+H$4/+'Age Factors'!H86,0)</f>
        <v>3476</v>
      </c>
      <c r="I86" s="61">
        <f>ROUND(+I$4/+'Age Factors'!I86,0)</f>
        <v>4244</v>
      </c>
      <c r="J86" s="61">
        <f>ROUND(+J$4/+'Age Factors'!J86,0)</f>
        <v>5427</v>
      </c>
      <c r="K86" s="61">
        <f>ROUND(+K$4/+'Age Factors'!K86,0)</f>
        <v>5872</v>
      </c>
      <c r="L86" s="61">
        <f>ROUND(+L$4/+'Age Factors'!L86,0)</f>
        <v>7503</v>
      </c>
      <c r="M86" s="61">
        <f>ROUND(+M$4/+'Age Factors'!M86,0)</f>
        <v>7954</v>
      </c>
      <c r="N86" s="61">
        <f>ROUND(+N$4/+'Age Factors'!N86,0)</f>
        <v>9556</v>
      </c>
      <c r="O86" s="61">
        <f>ROUND(+O$4/+'Age Factors'!O86,0)</f>
        <v>11660</v>
      </c>
      <c r="P86" s="61">
        <f>ROUND(+P$4/+'Age Factors'!P86,0)</f>
        <v>16915</v>
      </c>
      <c r="Q86" s="61">
        <f>ROUND(+Q$4/+'Age Factors'!Q86,0)</f>
        <v>20373</v>
      </c>
      <c r="R86" s="61">
        <f>ROUND(+R$4/+'Age Factors'!R86,0)</f>
        <v>37101</v>
      </c>
      <c r="S86" s="61">
        <f>ROUND(+S$4/+'Age Factors'!S86,0)</f>
        <v>51185</v>
      </c>
      <c r="T86" s="61">
        <f>ROUND(+T$4/+'Age Factors'!T86,0)</f>
        <v>86136</v>
      </c>
      <c r="U86" s="61">
        <f>ROUND(+U$4/+'Age Factors'!U86,0)</f>
        <v>94381</v>
      </c>
      <c r="V86" s="61">
        <f>ROUND(+V$4/+'Age Factors'!V86,0)</f>
        <v>124973</v>
      </c>
      <c r="W86" s="47"/>
    </row>
    <row r="87" spans="1:23">
      <c r="A87" s="49">
        <v>86</v>
      </c>
      <c r="B87" s="50">
        <f>ROUND(+B$4/+'Age Factors'!B87,0)</f>
        <v>484</v>
      </c>
      <c r="C87" s="50">
        <f>ROUND(+C$4/+'Age Factors'!C87,0)</f>
        <v>1750</v>
      </c>
      <c r="D87" s="50">
        <f>ROUND(+D$4/+'Age Factors'!D87,0)</f>
        <v>2117</v>
      </c>
      <c r="E87" s="50">
        <f>ROUND(+E$4/+'Age Factors'!E87,0)</f>
        <v>2281</v>
      </c>
      <c r="F87" s="50">
        <f>ROUND(+F$4/+'Age Factors'!F87,0)</f>
        <v>2862</v>
      </c>
      <c r="G87" s="50">
        <f>ROUND(+G$4/+'Age Factors'!G87,0)</f>
        <v>2884</v>
      </c>
      <c r="H87" s="50">
        <f>ROUND(+H$4/+'Age Factors'!H87,0)</f>
        <v>3618</v>
      </c>
      <c r="I87" s="50">
        <f>ROUND(+I$4/+'Age Factors'!I87,0)</f>
        <v>4417</v>
      </c>
      <c r="J87" s="50">
        <f>ROUND(+J$4/+'Age Factors'!J87,0)</f>
        <v>5649</v>
      </c>
      <c r="K87" s="50">
        <f>ROUND(+K$4/+'Age Factors'!K87,0)</f>
        <v>6111</v>
      </c>
      <c r="L87" s="50">
        <f>ROUND(+L$4/+'Age Factors'!L87,0)</f>
        <v>7810</v>
      </c>
      <c r="M87" s="50">
        <f>ROUND(+M$4/+'Age Factors'!M87,0)</f>
        <v>8279</v>
      </c>
      <c r="N87" s="50">
        <f>ROUND(+N$4/+'Age Factors'!N87,0)</f>
        <v>9967</v>
      </c>
      <c r="O87" s="50">
        <f>ROUND(+O$4/+'Age Factors'!O87,0)</f>
        <v>12190</v>
      </c>
      <c r="P87" s="50">
        <f>ROUND(+P$4/+'Age Factors'!P87,0)</f>
        <v>17763</v>
      </c>
      <c r="Q87" s="50">
        <f>ROUND(+Q$4/+'Age Factors'!Q87,0)</f>
        <v>21394</v>
      </c>
      <c r="R87" s="50">
        <f>ROUND(+R$4/+'Age Factors'!R87,0)</f>
        <v>38961</v>
      </c>
      <c r="S87" s="50">
        <f>ROUND(+S$4/+'Age Factors'!S87,0)</f>
        <v>53750</v>
      </c>
      <c r="T87" s="50">
        <f>ROUND(+T$4/+'Age Factors'!T87,0)</f>
        <v>90453</v>
      </c>
      <c r="U87" s="50">
        <f>ROUND(+U$4/+'Age Factors'!U87,0)</f>
        <v>99111</v>
      </c>
      <c r="V87" s="50">
        <f>ROUND(+V$4/+'Age Factors'!V87,0)</f>
        <v>131237</v>
      </c>
      <c r="W87" s="47"/>
    </row>
    <row r="88" spans="1:23">
      <c r="A88" s="49">
        <v>87</v>
      </c>
      <c r="B88" s="50">
        <f>ROUND(+B$4/+'Age Factors'!B88,0)</f>
        <v>501</v>
      </c>
      <c r="C88" s="50">
        <f>ROUND(+C$4/+'Age Factors'!C88,0)</f>
        <v>1815</v>
      </c>
      <c r="D88" s="50">
        <f>ROUND(+D$4/+'Age Factors'!D88,0)</f>
        <v>2199</v>
      </c>
      <c r="E88" s="50">
        <f>ROUND(+E$4/+'Age Factors'!E88,0)</f>
        <v>2371</v>
      </c>
      <c r="F88" s="50">
        <f>ROUND(+F$4/+'Age Factors'!F88,0)</f>
        <v>2983</v>
      </c>
      <c r="G88" s="50">
        <f>ROUND(+G$4/+'Age Factors'!G88,0)</f>
        <v>3006</v>
      </c>
      <c r="H88" s="50">
        <f>ROUND(+H$4/+'Age Factors'!H88,0)</f>
        <v>3780</v>
      </c>
      <c r="I88" s="50">
        <f>ROUND(+I$4/+'Age Factors'!I88,0)</f>
        <v>4615</v>
      </c>
      <c r="J88" s="50">
        <f>ROUND(+J$4/+'Age Factors'!J88,0)</f>
        <v>5901</v>
      </c>
      <c r="K88" s="50">
        <f>ROUND(+K$4/+'Age Factors'!K88,0)</f>
        <v>6384</v>
      </c>
      <c r="L88" s="50">
        <f>ROUND(+L$4/+'Age Factors'!L88,0)</f>
        <v>8156</v>
      </c>
      <c r="M88" s="50">
        <f>ROUND(+M$4/+'Age Factors'!M88,0)</f>
        <v>8647</v>
      </c>
      <c r="N88" s="50">
        <f>ROUND(+N$4/+'Age Factors'!N88,0)</f>
        <v>10436</v>
      </c>
      <c r="O88" s="50">
        <f>ROUND(+O$4/+'Age Factors'!O88,0)</f>
        <v>12799</v>
      </c>
      <c r="P88" s="50">
        <f>ROUND(+P$4/+'Age Factors'!P88,0)</f>
        <v>18749</v>
      </c>
      <c r="Q88" s="50">
        <f>ROUND(+Q$4/+'Age Factors'!Q88,0)</f>
        <v>22583</v>
      </c>
      <c r="R88" s="50">
        <f>ROUND(+R$4/+'Age Factors'!R88,0)</f>
        <v>41126</v>
      </c>
      <c r="S88" s="50">
        <f>ROUND(+S$4/+'Age Factors'!S88,0)</f>
        <v>56736</v>
      </c>
      <c r="T88" s="50">
        <f>ROUND(+T$4/+'Age Factors'!T88,0)</f>
        <v>95479</v>
      </c>
      <c r="U88" s="50">
        <f>ROUND(+U$4/+'Age Factors'!U88,0)</f>
        <v>104618</v>
      </c>
      <c r="V88" s="50">
        <f>ROUND(+V$4/+'Age Factors'!V88,0)</f>
        <v>138528</v>
      </c>
      <c r="W88" s="47"/>
    </row>
    <row r="89" spans="1:23">
      <c r="A89" s="49">
        <v>88</v>
      </c>
      <c r="B89" s="50">
        <f>ROUND(+B$4/+'Age Factors'!B89,0)</f>
        <v>519</v>
      </c>
      <c r="C89" s="50">
        <f>ROUND(+C$4/+'Age Factors'!C89,0)</f>
        <v>1887</v>
      </c>
      <c r="D89" s="50">
        <f>ROUND(+D$4/+'Age Factors'!D89,0)</f>
        <v>2292</v>
      </c>
      <c r="E89" s="50">
        <f>ROUND(+E$4/+'Age Factors'!E89,0)</f>
        <v>2474</v>
      </c>
      <c r="F89" s="50">
        <f>ROUND(+F$4/+'Age Factors'!F89,0)</f>
        <v>3121</v>
      </c>
      <c r="G89" s="50">
        <f>ROUND(+G$4/+'Age Factors'!G89,0)</f>
        <v>3145</v>
      </c>
      <c r="H89" s="50">
        <f>ROUND(+H$4/+'Age Factors'!H89,0)</f>
        <v>3967</v>
      </c>
      <c r="I89" s="50">
        <f>ROUND(+I$4/+'Age Factors'!I89,0)</f>
        <v>4842</v>
      </c>
      <c r="J89" s="50">
        <f>ROUND(+J$4/+'Age Factors'!J89,0)</f>
        <v>6190</v>
      </c>
      <c r="K89" s="50">
        <f>ROUND(+K$4/+'Age Factors'!K89,0)</f>
        <v>6697</v>
      </c>
      <c r="L89" s="50">
        <f>ROUND(+L$4/+'Age Factors'!L89,0)</f>
        <v>8555</v>
      </c>
      <c r="M89" s="50">
        <f>ROUND(+M$4/+'Age Factors'!M89,0)</f>
        <v>9069</v>
      </c>
      <c r="N89" s="50">
        <f>ROUND(+N$4/+'Age Factors'!N89,0)</f>
        <v>10978</v>
      </c>
      <c r="O89" s="50">
        <f>ROUND(+O$4/+'Age Factors'!O89,0)</f>
        <v>13503</v>
      </c>
      <c r="P89" s="50">
        <f>ROUND(+P$4/+'Age Factors'!P89,0)</f>
        <v>19908</v>
      </c>
      <c r="Q89" s="50">
        <f>ROUND(+Q$4/+'Age Factors'!Q89,0)</f>
        <v>23979</v>
      </c>
      <c r="R89" s="50">
        <f>ROUND(+R$4/+'Age Factors'!R89,0)</f>
        <v>43667</v>
      </c>
      <c r="S89" s="50">
        <f>ROUND(+S$4/+'Age Factors'!S89,0)</f>
        <v>60243</v>
      </c>
      <c r="T89" s="50">
        <f>ROUND(+T$4/+'Age Factors'!T89,0)</f>
        <v>101379</v>
      </c>
      <c r="U89" s="50">
        <f>ROUND(+U$4/+'Age Factors'!U89,0)</f>
        <v>111083</v>
      </c>
      <c r="V89" s="50">
        <f>ROUND(+V$4/+'Age Factors'!V89,0)</f>
        <v>147089</v>
      </c>
      <c r="W89" s="47"/>
    </row>
    <row r="90" spans="1:23">
      <c r="A90" s="49">
        <v>89</v>
      </c>
      <c r="B90" s="50">
        <f>ROUND(+B$4/+'Age Factors'!B90,0)</f>
        <v>541</v>
      </c>
      <c r="C90" s="50">
        <f>ROUND(+C$4/+'Age Factors'!C90,0)</f>
        <v>1970</v>
      </c>
      <c r="D90" s="50">
        <f>ROUND(+D$4/+'Age Factors'!D90,0)</f>
        <v>2399</v>
      </c>
      <c r="E90" s="50">
        <f>ROUND(+E$4/+'Age Factors'!E90,0)</f>
        <v>2592</v>
      </c>
      <c r="F90" s="50">
        <f>ROUND(+F$4/+'Age Factors'!F90,0)</f>
        <v>3281</v>
      </c>
      <c r="G90" s="50">
        <f>ROUND(+G$4/+'Age Factors'!G90,0)</f>
        <v>3305</v>
      </c>
      <c r="H90" s="50">
        <f>ROUND(+H$4/+'Age Factors'!H90,0)</f>
        <v>4184</v>
      </c>
      <c r="I90" s="50">
        <f>ROUND(+I$4/+'Age Factors'!I90,0)</f>
        <v>5105</v>
      </c>
      <c r="J90" s="50">
        <f>ROUND(+J$4/+'Age Factors'!J90,0)</f>
        <v>6525</v>
      </c>
      <c r="K90" s="50">
        <f>ROUND(+K$4/+'Age Factors'!K90,0)</f>
        <v>7057</v>
      </c>
      <c r="L90" s="50">
        <f>ROUND(+L$4/+'Age Factors'!L90,0)</f>
        <v>9011</v>
      </c>
      <c r="M90" s="50">
        <f>ROUND(+M$4/+'Age Factors'!M90,0)</f>
        <v>9552</v>
      </c>
      <c r="N90" s="50">
        <f>ROUND(+N$4/+'Age Factors'!N90,0)</f>
        <v>11601</v>
      </c>
      <c r="O90" s="50">
        <f>ROUND(+O$4/+'Age Factors'!O90,0)</f>
        <v>14327</v>
      </c>
      <c r="P90" s="50">
        <f>ROUND(+P$4/+'Age Factors'!P90,0)</f>
        <v>21283</v>
      </c>
      <c r="Q90" s="50">
        <f>ROUND(+Q$4/+'Age Factors'!Q90,0)</f>
        <v>25635</v>
      </c>
      <c r="R90" s="50">
        <f>ROUND(+R$4/+'Age Factors'!R90,0)</f>
        <v>46683</v>
      </c>
      <c r="S90" s="50">
        <f>ROUND(+S$4/+'Age Factors'!S90,0)</f>
        <v>64403</v>
      </c>
      <c r="T90" s="50">
        <f>ROUND(+T$4/+'Age Factors'!T90,0)</f>
        <v>108381</v>
      </c>
      <c r="U90" s="50">
        <f>ROUND(+U$4/+'Age Factors'!U90,0)</f>
        <v>118755</v>
      </c>
      <c r="V90" s="50">
        <f>ROUND(+V$4/+'Age Factors'!V90,0)</f>
        <v>157248</v>
      </c>
      <c r="W90" s="47"/>
    </row>
    <row r="91" spans="1:23">
      <c r="A91" s="57">
        <v>90</v>
      </c>
      <c r="B91" s="61">
        <f>ROUND(+B$4/+'Age Factors'!B91,0)</f>
        <v>565</v>
      </c>
      <c r="C91" s="61">
        <f>ROUND(+C$4/+'Age Factors'!C91,0)</f>
        <v>2063</v>
      </c>
      <c r="D91" s="61">
        <f>ROUND(+D$4/+'Age Factors'!D91,0)</f>
        <v>2521</v>
      </c>
      <c r="E91" s="61">
        <f>ROUND(+E$4/+'Age Factors'!E91,0)</f>
        <v>2727</v>
      </c>
      <c r="F91" s="61">
        <f>ROUND(+F$4/+'Age Factors'!F91,0)</f>
        <v>3464</v>
      </c>
      <c r="G91" s="61">
        <f>ROUND(+G$4/+'Age Factors'!G91,0)</f>
        <v>3491</v>
      </c>
      <c r="H91" s="61">
        <f>ROUND(+H$4/+'Age Factors'!H91,0)</f>
        <v>4437</v>
      </c>
      <c r="I91" s="61">
        <f>ROUND(+I$4/+'Age Factors'!I91,0)</f>
        <v>5412</v>
      </c>
      <c r="J91" s="61">
        <f>ROUND(+J$4/+'Age Factors'!J91,0)</f>
        <v>6911</v>
      </c>
      <c r="K91" s="61">
        <f>ROUND(+K$4/+'Age Factors'!K91,0)</f>
        <v>7474</v>
      </c>
      <c r="L91" s="61">
        <f>ROUND(+L$4/+'Age Factors'!L91,0)</f>
        <v>9540</v>
      </c>
      <c r="M91" s="61">
        <f>ROUND(+M$4/+'Age Factors'!M91,0)</f>
        <v>10110</v>
      </c>
      <c r="N91" s="61">
        <f>ROUND(+N$4/+'Age Factors'!N91,0)</f>
        <v>12329</v>
      </c>
      <c r="O91" s="61">
        <f>ROUND(+O$4/+'Age Factors'!O91,0)</f>
        <v>15300</v>
      </c>
      <c r="P91" s="61">
        <f>ROUND(+P$4/+'Age Factors'!P91,0)</f>
        <v>22936</v>
      </c>
      <c r="Q91" s="61">
        <f>ROUND(+Q$4/+'Age Factors'!Q91,0)</f>
        <v>27626</v>
      </c>
      <c r="R91" s="61">
        <f>ROUND(+R$4/+'Age Factors'!R91,0)</f>
        <v>50309</v>
      </c>
      <c r="S91" s="61">
        <f>ROUND(+S$4/+'Age Factors'!S91,0)</f>
        <v>69406</v>
      </c>
      <c r="T91" s="61">
        <f>ROUND(+T$4/+'Age Factors'!T91,0)</f>
        <v>116799</v>
      </c>
      <c r="U91" s="61">
        <f>ROUND(+U$4/+'Age Factors'!U91,0)</f>
        <v>127979</v>
      </c>
      <c r="V91" s="61">
        <f>ROUND(+V$4/+'Age Factors'!V91,0)</f>
        <v>169462</v>
      </c>
      <c r="W91" s="47"/>
    </row>
    <row r="92" spans="1:23">
      <c r="A92" s="49">
        <v>91</v>
      </c>
      <c r="B92" s="50">
        <f>ROUND(+B$4/+'Age Factors'!B92,0)</f>
        <v>593</v>
      </c>
      <c r="C92" s="50">
        <f>ROUND(+C$4/+'Age Factors'!C92,0)</f>
        <v>2171</v>
      </c>
      <c r="D92" s="50">
        <f>ROUND(+D$4/+'Age Factors'!D92,0)</f>
        <v>2662</v>
      </c>
      <c r="E92" s="50">
        <f>ROUND(+E$4/+'Age Factors'!E92,0)</f>
        <v>2884</v>
      </c>
      <c r="F92" s="50">
        <f>ROUND(+F$4/+'Age Factors'!F92,0)</f>
        <v>3680</v>
      </c>
      <c r="G92" s="50">
        <f>ROUND(+G$4/+'Age Factors'!G92,0)</f>
        <v>3710</v>
      </c>
      <c r="H92" s="50">
        <f>ROUND(+H$4/+'Age Factors'!H92,0)</f>
        <v>4737</v>
      </c>
      <c r="I92" s="50">
        <f>ROUND(+I$4/+'Age Factors'!I92,0)</f>
        <v>5773</v>
      </c>
      <c r="J92" s="50">
        <f>ROUND(+J$4/+'Age Factors'!J92,0)</f>
        <v>7368</v>
      </c>
      <c r="K92" s="50">
        <f>ROUND(+K$4/+'Age Factors'!K92,0)</f>
        <v>7966</v>
      </c>
      <c r="L92" s="50">
        <f>ROUND(+L$4/+'Age Factors'!L92,0)</f>
        <v>10159</v>
      </c>
      <c r="M92" s="50">
        <f>ROUND(+M$4/+'Age Factors'!M92,0)</f>
        <v>10765</v>
      </c>
      <c r="N92" s="50">
        <f>ROUND(+N$4/+'Age Factors'!N92,0)</f>
        <v>13193</v>
      </c>
      <c r="O92" s="50">
        <f>ROUND(+O$4/+'Age Factors'!O92,0)</f>
        <v>16460</v>
      </c>
      <c r="P92" s="50">
        <f>ROUND(+P$4/+'Age Factors'!P92,0)</f>
        <v>24955</v>
      </c>
      <c r="Q92" s="50">
        <f>ROUND(+Q$4/+'Age Factors'!Q92,0)</f>
        <v>30058</v>
      </c>
      <c r="R92" s="50">
        <f>ROUND(+R$4/+'Age Factors'!R92,0)</f>
        <v>54738</v>
      </c>
      <c r="S92" s="50">
        <f>ROUND(+S$4/+'Age Factors'!S92,0)</f>
        <v>75515</v>
      </c>
      <c r="T92" s="50">
        <f>ROUND(+T$4/+'Age Factors'!T92,0)</f>
        <v>127081</v>
      </c>
      <c r="U92" s="50">
        <f>ROUND(+U$4/+'Age Factors'!U92,0)</f>
        <v>139245</v>
      </c>
      <c r="V92" s="50">
        <f>ROUND(+V$4/+'Age Factors'!V92,0)</f>
        <v>184379</v>
      </c>
      <c r="W92" s="47"/>
    </row>
    <row r="93" spans="1:23">
      <c r="A93" s="49">
        <v>92</v>
      </c>
      <c r="B93" s="50">
        <f>ROUND(+B$4/+'Age Factors'!B93,0)</f>
        <v>625</v>
      </c>
      <c r="C93" s="50">
        <f>ROUND(+C$4/+'Age Factors'!C93,0)</f>
        <v>2295</v>
      </c>
      <c r="D93" s="50">
        <f>ROUND(+D$4/+'Age Factors'!D93,0)</f>
        <v>2826</v>
      </c>
      <c r="E93" s="50">
        <f>ROUND(+E$4/+'Age Factors'!E93,0)</f>
        <v>3067</v>
      </c>
      <c r="F93" s="50">
        <f>ROUND(+F$4/+'Age Factors'!F93,0)</f>
        <v>3935</v>
      </c>
      <c r="G93" s="50">
        <f>ROUND(+G$4/+'Age Factors'!G93,0)</f>
        <v>3967</v>
      </c>
      <c r="H93" s="50">
        <f>ROUND(+H$4/+'Age Factors'!H93,0)</f>
        <v>5094</v>
      </c>
      <c r="I93" s="50">
        <f>ROUND(+I$4/+'Age Factors'!I93,0)</f>
        <v>6204</v>
      </c>
      <c r="J93" s="50">
        <f>ROUND(+J$4/+'Age Factors'!J93,0)</f>
        <v>7909</v>
      </c>
      <c r="K93" s="50">
        <f>ROUND(+K$4/+'Age Factors'!K93,0)</f>
        <v>8548</v>
      </c>
      <c r="L93" s="50">
        <f>ROUND(+L$4/+'Age Factors'!L93,0)</f>
        <v>10891</v>
      </c>
      <c r="M93" s="50">
        <f>ROUND(+M$4/+'Age Factors'!M93,0)</f>
        <v>11535</v>
      </c>
      <c r="N93" s="50">
        <f>ROUND(+N$4/+'Age Factors'!N93,0)</f>
        <v>14223</v>
      </c>
      <c r="O93" s="50">
        <f>ROUND(+O$4/+'Age Factors'!O93,0)</f>
        <v>17863</v>
      </c>
      <c r="P93" s="50">
        <f>ROUND(+P$4/+'Age Factors'!P93,0)</f>
        <v>27470</v>
      </c>
      <c r="Q93" s="50">
        <f>ROUND(+Q$4/+'Age Factors'!Q93,0)</f>
        <v>33087</v>
      </c>
      <c r="R93" s="50">
        <f>ROUND(+R$4/+'Age Factors'!R93,0)</f>
        <v>60254</v>
      </c>
      <c r="S93" s="50">
        <f>ROUND(+S$4/+'Age Factors'!S93,0)</f>
        <v>83125</v>
      </c>
      <c r="T93" s="50">
        <f>ROUND(+T$4/+'Age Factors'!T93,0)</f>
        <v>139887</v>
      </c>
      <c r="U93" s="50">
        <f>ROUND(+U$4/+'Age Factors'!U93,0)</f>
        <v>153277</v>
      </c>
      <c r="V93" s="50">
        <f>ROUND(+V$4/+'Age Factors'!V93,0)</f>
        <v>202960</v>
      </c>
      <c r="W93" s="47"/>
    </row>
    <row r="94" spans="1:23">
      <c r="A94" s="49">
        <v>93</v>
      </c>
      <c r="B94" s="50">
        <f>ROUND(+B$4/+'Age Factors'!B94,0)</f>
        <v>662</v>
      </c>
      <c r="C94" s="50">
        <f>ROUND(+C$4/+'Age Factors'!C94,0)</f>
        <v>2441</v>
      </c>
      <c r="D94" s="50">
        <f>ROUND(+D$4/+'Age Factors'!D94,0)</f>
        <v>3020</v>
      </c>
      <c r="E94" s="50">
        <f>ROUND(+E$4/+'Age Factors'!E94,0)</f>
        <v>3284</v>
      </c>
      <c r="F94" s="50">
        <f>ROUND(+F$4/+'Age Factors'!F94,0)</f>
        <v>4241</v>
      </c>
      <c r="G94" s="50">
        <f>ROUND(+G$4/+'Age Factors'!G94,0)</f>
        <v>4276</v>
      </c>
      <c r="H94" s="50">
        <f>ROUND(+H$4/+'Age Factors'!H94,0)</f>
        <v>5529</v>
      </c>
      <c r="I94" s="50">
        <f>ROUND(+I$4/+'Age Factors'!I94,0)</f>
        <v>6725</v>
      </c>
      <c r="J94" s="50">
        <f>ROUND(+J$4/+'Age Factors'!J94,0)</f>
        <v>8561</v>
      </c>
      <c r="K94" s="50">
        <f>ROUND(+K$4/+'Age Factors'!K94,0)</f>
        <v>9249</v>
      </c>
      <c r="L94" s="50">
        <f>ROUND(+L$4/+'Age Factors'!L94,0)</f>
        <v>11763</v>
      </c>
      <c r="M94" s="50">
        <f>ROUND(+M$4/+'Age Factors'!M94,0)</f>
        <v>12457</v>
      </c>
      <c r="N94" s="50">
        <f>ROUND(+N$4/+'Age Factors'!N94,0)</f>
        <v>15469</v>
      </c>
      <c r="O94" s="50">
        <f>ROUND(+O$4/+'Age Factors'!O94,0)</f>
        <v>19597</v>
      </c>
      <c r="P94" s="50">
        <f>ROUND(+P$4/+'Age Factors'!P94,0)</f>
        <v>30681</v>
      </c>
      <c r="Q94" s="50">
        <f>ROUND(+Q$4/+'Age Factors'!Q94,0)</f>
        <v>36954</v>
      </c>
      <c r="R94" s="50">
        <f>ROUND(+R$4/+'Age Factors'!R94,0)</f>
        <v>67296</v>
      </c>
      <c r="S94" s="50">
        <f>ROUND(+S$4/+'Age Factors'!S94,0)</f>
        <v>92841</v>
      </c>
      <c r="T94" s="50">
        <f>ROUND(+T$4/+'Age Factors'!T94,0)</f>
        <v>156238</v>
      </c>
      <c r="U94" s="50">
        <f>ROUND(+U$4/+'Age Factors'!U94,0)</f>
        <v>171192</v>
      </c>
      <c r="V94" s="50">
        <f>ROUND(+V$4/+'Age Factors'!V94,0)</f>
        <v>226682</v>
      </c>
      <c r="W94" s="47"/>
    </row>
    <row r="95" spans="1:23">
      <c r="A95" s="49">
        <v>94</v>
      </c>
      <c r="B95" s="50">
        <f>ROUND(+B$4/+'Age Factors'!B95,0)</f>
        <v>706</v>
      </c>
      <c r="C95" s="50">
        <f>ROUND(+C$4/+'Age Factors'!C95,0)</f>
        <v>2612</v>
      </c>
      <c r="D95" s="50">
        <f>ROUND(+D$4/+'Age Factors'!D95,0)</f>
        <v>3251</v>
      </c>
      <c r="E95" s="50">
        <f>ROUND(+E$4/+'Age Factors'!E95,0)</f>
        <v>3543</v>
      </c>
      <c r="F95" s="50">
        <f>ROUND(+F$4/+'Age Factors'!F95,0)</f>
        <v>4613</v>
      </c>
      <c r="G95" s="50">
        <f>ROUND(+G$4/+'Age Factors'!G95,0)</f>
        <v>4651</v>
      </c>
      <c r="H95" s="50">
        <f>ROUND(+H$4/+'Age Factors'!H95,0)</f>
        <v>6065</v>
      </c>
      <c r="I95" s="50">
        <f>ROUND(+I$4/+'Age Factors'!I95,0)</f>
        <v>7367</v>
      </c>
      <c r="J95" s="50">
        <f>ROUND(+J$4/+'Age Factors'!J95,0)</f>
        <v>9359</v>
      </c>
      <c r="K95" s="50">
        <f>ROUND(+K$4/+'Age Factors'!K95,0)</f>
        <v>10103</v>
      </c>
      <c r="L95" s="50">
        <f>ROUND(+L$4/+'Age Factors'!L95,0)</f>
        <v>12828</v>
      </c>
      <c r="M95" s="50">
        <f>ROUND(+M$4/+'Age Factors'!M95,0)</f>
        <v>13578</v>
      </c>
      <c r="N95" s="50">
        <f>ROUND(+N$4/+'Age Factors'!N95,0)</f>
        <v>17013</v>
      </c>
      <c r="O95" s="50">
        <f>ROUND(+O$4/+'Age Factors'!O95,0)</f>
        <v>21791</v>
      </c>
      <c r="P95" s="50">
        <f>ROUND(+P$4/+'Age Factors'!P95,0)</f>
        <v>34913</v>
      </c>
      <c r="Q95" s="50">
        <f>ROUND(+Q$4/+'Age Factors'!Q95,0)</f>
        <v>42051</v>
      </c>
      <c r="R95" s="50">
        <f>ROUND(+R$4/+'Age Factors'!R95,0)</f>
        <v>76579</v>
      </c>
      <c r="S95" s="50">
        <f>ROUND(+S$4/+'Age Factors'!S95,0)</f>
        <v>105647</v>
      </c>
      <c r="T95" s="50">
        <f>ROUND(+T$4/+'Age Factors'!T95,0)</f>
        <v>177788</v>
      </c>
      <c r="U95" s="50">
        <f>ROUND(+U$4/+'Age Factors'!U95,0)</f>
        <v>194805</v>
      </c>
      <c r="V95" s="50">
        <f>ROUND(+V$4/+'Age Factors'!V95,0)</f>
        <v>257949</v>
      </c>
      <c r="W95" s="47"/>
    </row>
    <row r="96" spans="1:23">
      <c r="A96" s="57">
        <v>95</v>
      </c>
      <c r="B96" s="61">
        <f>ROUND(+B$4/+'Age Factors'!B96,0)</f>
        <v>758</v>
      </c>
      <c r="C96" s="61">
        <f>ROUND(+C$4/+'Age Factors'!C96,0)</f>
        <v>2816</v>
      </c>
      <c r="D96" s="61">
        <f>ROUND(+D$4/+'Age Factors'!D96,0)</f>
        <v>3532</v>
      </c>
      <c r="E96" s="61">
        <f>ROUND(+E$4/+'Age Factors'!E96,0)</f>
        <v>3859</v>
      </c>
      <c r="F96" s="61">
        <f>ROUND(+F$4/+'Age Factors'!F96,0)</f>
        <v>5074</v>
      </c>
      <c r="G96" s="61">
        <f>ROUND(+G$4/+'Age Factors'!G96,0)</f>
        <v>5118</v>
      </c>
      <c r="H96" s="61">
        <f>ROUND(+H$4/+'Age Factors'!H96,0)</f>
        <v>6745</v>
      </c>
      <c r="I96" s="61">
        <f>ROUND(+I$4/+'Age Factors'!I96,0)</f>
        <v>8176</v>
      </c>
      <c r="J96" s="61">
        <f>ROUND(+J$4/+'Age Factors'!J96,0)</f>
        <v>10363</v>
      </c>
      <c r="K96" s="61">
        <f>ROUND(+K$4/+'Age Factors'!K96,0)</f>
        <v>11176</v>
      </c>
      <c r="L96" s="61">
        <f>ROUND(+L$4/+'Age Factors'!L96,0)</f>
        <v>14155</v>
      </c>
      <c r="M96" s="61">
        <f>ROUND(+M$4/+'Age Factors'!M96,0)</f>
        <v>14974</v>
      </c>
      <c r="N96" s="61">
        <f>ROUND(+N$4/+'Age Factors'!N96,0)</f>
        <v>18979</v>
      </c>
      <c r="O96" s="61">
        <f>ROUND(+O$4/+'Age Factors'!O96,0)</f>
        <v>24638</v>
      </c>
      <c r="P96" s="61">
        <f>ROUND(+P$4/+'Age Factors'!P96,0)</f>
        <v>40731</v>
      </c>
      <c r="Q96" s="61">
        <f>ROUND(+Q$4/+'Age Factors'!Q96,0)</f>
        <v>49060</v>
      </c>
      <c r="R96" s="61">
        <f>ROUND(+R$4/+'Age Factors'!R96,0)</f>
        <v>89342</v>
      </c>
      <c r="S96" s="61">
        <f>ROUND(+S$4/+'Age Factors'!S96,0)</f>
        <v>123255</v>
      </c>
      <c r="T96" s="61">
        <f>ROUND(+T$4/+'Age Factors'!T96,0)</f>
        <v>207419</v>
      </c>
      <c r="U96" s="61">
        <f>ROUND(+U$4/+'Age Factors'!U96,0)</f>
        <v>227273</v>
      </c>
      <c r="V96" s="61">
        <f>ROUND(+V$4/+'Age Factors'!V96,0)</f>
        <v>300940</v>
      </c>
      <c r="W96" s="47"/>
    </row>
    <row r="97" spans="1:23">
      <c r="A97" s="49">
        <v>96</v>
      </c>
      <c r="B97" s="50">
        <f>ROUND(+B$4/+'Age Factors'!B97,0)</f>
        <v>822</v>
      </c>
      <c r="C97" s="50">
        <f>ROUND(+C$4/+'Age Factors'!C97,0)</f>
        <v>3065</v>
      </c>
      <c r="D97" s="50">
        <f>ROUND(+D$4/+'Age Factors'!D97,0)</f>
        <v>3878</v>
      </c>
      <c r="E97" s="50">
        <f>ROUND(+E$4/+'Age Factors'!E97,0)</f>
        <v>4254</v>
      </c>
      <c r="F97" s="50">
        <f>ROUND(+F$4/+'Age Factors'!F97,0)</f>
        <v>5658</v>
      </c>
      <c r="G97" s="50">
        <f>ROUND(+G$4/+'Age Factors'!G97,0)</f>
        <v>5711</v>
      </c>
      <c r="H97" s="50">
        <f>ROUND(+H$4/+'Age Factors'!H97,0)</f>
        <v>7630</v>
      </c>
      <c r="I97" s="50">
        <f>ROUND(+I$4/+'Age Factors'!I97,0)</f>
        <v>9221</v>
      </c>
      <c r="J97" s="50">
        <f>ROUND(+J$4/+'Age Factors'!J97,0)</f>
        <v>11648</v>
      </c>
      <c r="K97" s="50">
        <f>ROUND(+K$4/+'Age Factors'!K97,0)</f>
        <v>12553</v>
      </c>
      <c r="L97" s="50">
        <f>ROUND(+L$4/+'Age Factors'!L97,0)</f>
        <v>15839</v>
      </c>
      <c r="M97" s="50">
        <f>ROUND(+M$4/+'Age Factors'!M97,0)</f>
        <v>16742</v>
      </c>
      <c r="N97" s="50">
        <f>ROUND(+N$4/+'Age Factors'!N97,0)</f>
        <v>21541</v>
      </c>
      <c r="O97" s="50">
        <f>ROUND(+O$4/+'Age Factors'!O97,0)</f>
        <v>28489</v>
      </c>
      <c r="P97" s="50">
        <f>ROUND(+P$4/+'Age Factors'!P97,0)</f>
        <v>49217</v>
      </c>
      <c r="Q97" s="50">
        <f>ROUND(+Q$4/+'Age Factors'!Q97,0)</f>
        <v>59280</v>
      </c>
      <c r="R97" s="50">
        <f>ROUND(+R$4/+'Age Factors'!R97,0)</f>
        <v>107955</v>
      </c>
      <c r="S97" s="50">
        <f>ROUND(+S$4/+'Age Factors'!S97,0)</f>
        <v>148933</v>
      </c>
      <c r="T97" s="50">
        <f>ROUND(+T$4/+'Age Factors'!T97,0)</f>
        <v>250631</v>
      </c>
      <c r="U97" s="50">
        <f>ROUND(+U$4/+'Age Factors'!U97,0)</f>
        <v>274621</v>
      </c>
      <c r="V97" s="50">
        <f>ROUND(+V$4/+'Age Factors'!V97,0)</f>
        <v>363636</v>
      </c>
      <c r="W97" s="47"/>
    </row>
    <row r="98" spans="1:23">
      <c r="A98" s="49">
        <v>97</v>
      </c>
      <c r="B98" s="50">
        <f>ROUND(+B$4/+'Age Factors'!B98,0)</f>
        <v>899</v>
      </c>
      <c r="C98" s="50">
        <f>ROUND(+C$4/+'Age Factors'!C98,0)</f>
        <v>3372</v>
      </c>
      <c r="D98" s="50">
        <f>ROUND(+D$4/+'Age Factors'!D98,0)</f>
        <v>4313</v>
      </c>
      <c r="E98" s="50">
        <f>ROUND(+E$4/+'Age Factors'!E98,0)</f>
        <v>4754</v>
      </c>
      <c r="F98" s="50">
        <f>ROUND(+F$4/+'Age Factors'!F98,0)</f>
        <v>6425</v>
      </c>
      <c r="G98" s="50">
        <f>ROUND(+G$4/+'Age Factors'!G98,0)</f>
        <v>6487</v>
      </c>
      <c r="H98" s="50">
        <f>ROUND(+H$4/+'Age Factors'!H98,0)</f>
        <v>8829</v>
      </c>
      <c r="I98" s="50">
        <f>ROUND(+I$4/+'Age Factors'!I98,0)</f>
        <v>10627</v>
      </c>
      <c r="J98" s="50">
        <f>ROUND(+J$4/+'Age Factors'!J98,0)</f>
        <v>13359</v>
      </c>
      <c r="K98" s="50">
        <f>ROUND(+K$4/+'Age Factors'!K98,0)</f>
        <v>14376</v>
      </c>
      <c r="L98" s="50">
        <f>ROUND(+L$4/+'Age Factors'!L98,0)</f>
        <v>18058</v>
      </c>
      <c r="M98" s="50">
        <f>ROUND(+M$4/+'Age Factors'!M98,0)</f>
        <v>19060</v>
      </c>
      <c r="N98" s="50">
        <f>ROUND(+N$4/+'Age Factors'!N98,0)</f>
        <v>25014</v>
      </c>
      <c r="O98" s="50">
        <f>ROUND(+O$4/+'Age Factors'!O98,0)</f>
        <v>33956</v>
      </c>
      <c r="P98" s="50">
        <f>ROUND(+P$4/+'Age Factors'!P98,0)</f>
        <v>62719</v>
      </c>
      <c r="Q98" s="50">
        <f>ROUND(+Q$4/+'Age Factors'!Q98,0)</f>
        <v>75543</v>
      </c>
      <c r="R98" s="50">
        <f>ROUND(+R$4/+'Age Factors'!R98,0)</f>
        <v>137570</v>
      </c>
      <c r="S98" s="50">
        <f>ROUND(+S$4/+'Age Factors'!S98,0)</f>
        <v>189791</v>
      </c>
      <c r="T98" s="50">
        <f>ROUND(+T$4/+'Age Factors'!T98,0)</f>
        <v>319389</v>
      </c>
      <c r="U98" s="50">
        <f>ROUND(+U$4/+'Age Factors'!U98,0)</f>
        <v>349960</v>
      </c>
      <c r="V98" s="50">
        <f>ROUND(+V$4/+'Age Factors'!V98,0)</f>
        <v>463395</v>
      </c>
      <c r="W98" s="47"/>
    </row>
    <row r="99" spans="1:23">
      <c r="A99" s="49">
        <v>98</v>
      </c>
      <c r="B99" s="50">
        <f>ROUND(+B$4/+'Age Factors'!B99,0)</f>
        <v>997</v>
      </c>
      <c r="C99" s="50">
        <f>ROUND(+C$4/+'Age Factors'!C99,0)</f>
        <v>3759</v>
      </c>
      <c r="D99" s="50">
        <f>ROUND(+D$4/+'Age Factors'!D99,0)</f>
        <v>4879</v>
      </c>
      <c r="E99" s="50">
        <f>ROUND(+E$4/+'Age Factors'!E99,0)</f>
        <v>5410</v>
      </c>
      <c r="F99" s="50">
        <f>ROUND(+F$4/+'Age Factors'!F99,0)</f>
        <v>7469</v>
      </c>
      <c r="G99" s="50">
        <f>ROUND(+G$4/+'Age Factors'!G99,0)</f>
        <v>7544</v>
      </c>
      <c r="H99" s="50">
        <f>ROUND(+H$4/+'Age Factors'!H99,0)</f>
        <v>10537</v>
      </c>
      <c r="I99" s="50">
        <f>ROUND(+I$4/+'Age Factors'!I99,0)</f>
        <v>12615</v>
      </c>
      <c r="J99" s="50">
        <f>ROUND(+J$4/+'Age Factors'!J99,0)</f>
        <v>15743</v>
      </c>
      <c r="K99" s="50">
        <f>ROUND(+K$4/+'Age Factors'!K99,0)</f>
        <v>16907</v>
      </c>
      <c r="L99" s="50">
        <f>ROUND(+L$4/+'Age Factors'!L99,0)</f>
        <v>21099</v>
      </c>
      <c r="M99" s="50">
        <f>ROUND(+M$4/+'Age Factors'!M99,0)</f>
        <v>22241</v>
      </c>
      <c r="N99" s="50">
        <f>ROUND(+N$4/+'Age Factors'!N99,0)</f>
        <v>30020</v>
      </c>
      <c r="O99" s="50">
        <f>ROUND(+O$4/+'Age Factors'!O99,0)</f>
        <v>42347</v>
      </c>
      <c r="P99" s="50">
        <f>ROUND(+P$4/+'Age Factors'!P99,0)</f>
        <v>87497</v>
      </c>
      <c r="Q99" s="50">
        <f>ROUND(+Q$4/+'Age Factors'!Q99,0)</f>
        <v>105387</v>
      </c>
      <c r="R99" s="50">
        <f>ROUND(+R$4/+'Age Factors'!R99,0)</f>
        <v>191919</v>
      </c>
      <c r="S99" s="50">
        <f>ROUND(+S$4/+'Age Factors'!S99,0)</f>
        <v>264770</v>
      </c>
      <c r="T99" s="50">
        <f>ROUND(+T$4/+'Age Factors'!T99,0)</f>
        <v>445567</v>
      </c>
      <c r="U99" s="50">
        <f>ROUND(+U$4/+'Age Factors'!U99,0)</f>
        <v>488215</v>
      </c>
      <c r="V99" s="50">
        <f>ROUND(+V$4/+'Age Factors'!V99,0)</f>
        <v>646465</v>
      </c>
      <c r="W99" s="47"/>
    </row>
    <row r="100" spans="1:23">
      <c r="A100" s="49">
        <v>99</v>
      </c>
      <c r="B100" s="50">
        <f>ROUND(+B$4/+'Age Factors'!B100,0)</f>
        <v>1123</v>
      </c>
      <c r="C100" s="50">
        <f>ROUND(+C$4/+'Age Factors'!C100,0)</f>
        <v>4265</v>
      </c>
      <c r="D100" s="50">
        <f>ROUND(+D$4/+'Age Factors'!D100,0)</f>
        <v>5640</v>
      </c>
      <c r="E100" s="50">
        <f>ROUND(+E$4/+'Age Factors'!E100,0)</f>
        <v>6306</v>
      </c>
      <c r="F100" s="50">
        <f>ROUND(+F$4/+'Age Factors'!F100,0)</f>
        <v>8969</v>
      </c>
      <c r="G100" s="50">
        <f>ROUND(+G$4/+'Age Factors'!G100,0)</f>
        <v>9070</v>
      </c>
      <c r="H100" s="50">
        <f>ROUND(+H$4/+'Age Factors'!H100,0)</f>
        <v>13166</v>
      </c>
      <c r="I100" s="50">
        <f>ROUND(+I$4/+'Age Factors'!I100,0)</f>
        <v>15622</v>
      </c>
      <c r="J100" s="50">
        <f>ROUND(+J$4/+'Age Factors'!J100,0)</f>
        <v>19288</v>
      </c>
      <c r="K100" s="50">
        <f>ROUND(+K$4/+'Age Factors'!K100,0)</f>
        <v>20641</v>
      </c>
      <c r="L100" s="50">
        <f>ROUND(+L$4/+'Age Factors'!L100,0)</f>
        <v>25518</v>
      </c>
      <c r="M100" s="50">
        <f>ROUND(+M$4/+'Age Factors'!M100,0)</f>
        <v>26828</v>
      </c>
      <c r="N100" s="50">
        <f>ROUND(+N$4/+'Age Factors'!N100,0)</f>
        <v>37783</v>
      </c>
      <c r="O100" s="50">
        <f>ROUND(+O$4/+'Age Factors'!O100,0)</f>
        <v>56771</v>
      </c>
      <c r="P100" s="50">
        <f>ROUND(+P$4/+'Age Factors'!P100,0)</f>
        <v>147652</v>
      </c>
      <c r="Q100" s="50">
        <f>ROUND(+Q$4/+'Age Factors'!Q100,0)</f>
        <v>177841</v>
      </c>
      <c r="R100" s="50">
        <f>ROUND(+R$4/+'Age Factors'!R100,0)</f>
        <v>323864</v>
      </c>
      <c r="S100" s="50">
        <f>ROUND(+S$4/+'Age Factors'!S100,0)</f>
        <v>446799</v>
      </c>
      <c r="T100" s="50">
        <f>ROUND(+T$4/+'Age Factors'!T100,0)</f>
        <v>751894</v>
      </c>
      <c r="U100" s="50">
        <f>ROUND(+U$4/+'Age Factors'!U100,0)</f>
        <v>823864</v>
      </c>
      <c r="V100" s="50">
        <f>ROUND(+V$4/+'Age Factors'!V100,0)</f>
        <v>1090909</v>
      </c>
      <c r="W100" s="47"/>
    </row>
    <row r="101" spans="1:23" ht="15.75" thickBot="1">
      <c r="A101" s="57">
        <v>100</v>
      </c>
      <c r="B101" s="61">
        <f>ROUND(+B$4/+'Age Factors'!B101,0)</f>
        <v>1292</v>
      </c>
      <c r="C101" s="61">
        <f>ROUND(+C$4/+'Age Factors'!C101,0)</f>
        <v>4951</v>
      </c>
      <c r="D101" s="61">
        <f>ROUND(+D$4/+'Age Factors'!D101,0)</f>
        <v>6723</v>
      </c>
      <c r="E101" s="61">
        <f>ROUND(+E$4/+'Age Factors'!E101,0)</f>
        <v>7607</v>
      </c>
      <c r="F101" s="61">
        <f>ROUND(+F$4/+'Age Factors'!F101,0)</f>
        <v>11326</v>
      </c>
      <c r="G101" s="61">
        <f>ROUND(+G$4/+'Age Factors'!G101,0)</f>
        <v>11465</v>
      </c>
      <c r="H101" s="61">
        <f>ROUND(+H$4/+'Age Factors'!H101,0)</f>
        <v>17739</v>
      </c>
      <c r="I101" s="62">
        <f>ROUND(+I$4/+'Age Factors'!I101,0)</f>
        <v>20716</v>
      </c>
      <c r="J101" s="62">
        <f>ROUND(+J$4/+'Age Factors'!J101,0)</f>
        <v>25134</v>
      </c>
      <c r="K101" s="61">
        <f>ROUND(+K$4/+'Age Factors'!K101,0)</f>
        <v>26742</v>
      </c>
      <c r="L101" s="61">
        <f>ROUND(+L$4/+'Age Factors'!L101,0)</f>
        <v>32514</v>
      </c>
      <c r="M101" s="61">
        <f>ROUND(+M$4/+'Age Factors'!M101,0)</f>
        <v>34043</v>
      </c>
      <c r="N101" s="61">
        <f>ROUND(+N$4/+'Age Factors'!N101,0)</f>
        <v>51487</v>
      </c>
      <c r="O101" s="61">
        <f>ROUND(+O$4/+'Age Factors'!O101,0)</f>
        <v>87480</v>
      </c>
      <c r="P101" s="61">
        <f>ROUND(+P$4/+'Age Factors'!P101,0)</f>
        <v>506234</v>
      </c>
      <c r="Q101" s="61">
        <f>ROUND(+Q$4/+'Age Factors'!Q101,0)</f>
        <v>609740</v>
      </c>
      <c r="R101" s="61">
        <f>ROUND(+R$4/+'Age Factors'!R101,0)</f>
        <v>1110390</v>
      </c>
      <c r="S101" s="61">
        <f>ROUND(+S$4/+'Age Factors'!S101,0)</f>
        <v>1531883</v>
      </c>
      <c r="T101" s="61">
        <f>ROUND(+T$4/+'Age Factors'!T101,0)</f>
        <v>2577922</v>
      </c>
      <c r="U101" s="61">
        <f>ROUND(+U$4/+'Age Factors'!U101,0)</f>
        <v>2824675</v>
      </c>
      <c r="V101" s="61">
        <f>ROUND(+V$4/+'Age Factors'!V101,0)</f>
        <v>3740260</v>
      </c>
    </row>
    <row r="102" spans="1:23" ht="15.75">
      <c r="A102" s="162" t="s">
        <v>1803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3">
      <c r="A103" s="163" t="s">
        <v>960</v>
      </c>
    </row>
    <row r="104" spans="1:23" ht="15.75">
      <c r="A104" s="164" t="s">
        <v>1801</v>
      </c>
    </row>
    <row r="105" spans="1:23" ht="15.75">
      <c r="A105" s="164" t="s">
        <v>1802</v>
      </c>
    </row>
    <row r="106" spans="1:23" ht="15.75">
      <c r="A106" s="164" t="s">
        <v>956</v>
      </c>
    </row>
    <row r="107" spans="1:23" ht="15.75">
      <c r="A107" s="164"/>
    </row>
    <row r="108" spans="1:23" ht="15.75">
      <c r="A108" s="164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8"/>
  <sheetViews>
    <sheetView zoomScale="87" zoomScaleNormal="87" workbookViewId="0"/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24" thickBot="1">
      <c r="A1" s="44" t="s">
        <v>1806</v>
      </c>
      <c r="B1" s="44"/>
      <c r="C1" s="44"/>
      <c r="D1" s="44"/>
    </row>
    <row r="2" spans="1:23" ht="15.75" thickBot="1">
      <c r="A2" s="45" t="s">
        <v>70</v>
      </c>
      <c r="B2" s="150" t="s">
        <v>957</v>
      </c>
      <c r="C2" s="46" t="s">
        <v>126</v>
      </c>
      <c r="D2" s="46" t="s">
        <v>127</v>
      </c>
      <c r="E2" s="46" t="s">
        <v>128</v>
      </c>
      <c r="F2" s="46" t="s">
        <v>129</v>
      </c>
      <c r="G2" s="46" t="s">
        <v>144</v>
      </c>
      <c r="H2" s="46" t="s">
        <v>131</v>
      </c>
      <c r="I2" s="46" t="s">
        <v>132</v>
      </c>
      <c r="J2" s="46" t="s">
        <v>133</v>
      </c>
      <c r="K2" s="46" t="s">
        <v>134</v>
      </c>
      <c r="L2" s="46" t="s">
        <v>135</v>
      </c>
      <c r="M2" s="46" t="s">
        <v>9</v>
      </c>
      <c r="N2" s="46" t="s">
        <v>136</v>
      </c>
      <c r="O2" s="46" t="s">
        <v>137</v>
      </c>
      <c r="P2" s="46" t="s">
        <v>10</v>
      </c>
      <c r="Q2" s="46" t="s">
        <v>98</v>
      </c>
      <c r="R2" s="46" t="s">
        <v>138</v>
      </c>
      <c r="S2" s="46" t="s">
        <v>139</v>
      </c>
      <c r="T2" s="46" t="s">
        <v>140</v>
      </c>
      <c r="U2" s="46" t="s">
        <v>141</v>
      </c>
      <c r="V2" s="46" t="s">
        <v>142</v>
      </c>
      <c r="W2" s="47"/>
    </row>
    <row r="3" spans="1:23">
      <c r="A3" s="45" t="s">
        <v>0</v>
      </c>
      <c r="B3" s="151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6">
        <f>Parameters!B19</f>
        <v>12</v>
      </c>
      <c r="J3" s="46">
        <f>Parameters!B20</f>
        <v>15</v>
      </c>
      <c r="K3" s="46">
        <f>Parameters!B21</f>
        <v>16.093440000000001</v>
      </c>
      <c r="L3" s="46">
        <f>Parameters!B22</f>
        <v>20</v>
      </c>
      <c r="M3" s="46">
        <f>Parameters!B23</f>
        <v>21.0975</v>
      </c>
      <c r="N3" s="46">
        <f>Parameters!B24</f>
        <v>25</v>
      </c>
      <c r="O3" s="46">
        <f>Parameters!B25</f>
        <v>30</v>
      </c>
      <c r="P3" s="46">
        <f>Parameters!B26</f>
        <v>42.195</v>
      </c>
      <c r="Q3" s="48">
        <f>Parameters!$B27</f>
        <v>50</v>
      </c>
      <c r="R3" s="48">
        <f>Parameters!$B28</f>
        <v>80.467200000000005</v>
      </c>
      <c r="S3" s="48">
        <f>Parameters!$B29</f>
        <v>100</v>
      </c>
      <c r="T3" s="48">
        <f>Parameters!$B30</f>
        <v>150</v>
      </c>
      <c r="U3" s="48">
        <f>Parameters!$B31</f>
        <v>160.93440000000001</v>
      </c>
      <c r="V3" s="48">
        <f>Parameters!$B32</f>
        <v>200</v>
      </c>
      <c r="W3" s="47"/>
    </row>
    <row r="4" spans="1:23">
      <c r="A4" s="76" t="s">
        <v>124</v>
      </c>
      <c r="B4" s="152">
        <v>253</v>
      </c>
      <c r="C4" s="50">
        <f>'5K'!$E$5</f>
        <v>853</v>
      </c>
      <c r="D4" s="50">
        <f>'6K'!$E$5</f>
        <v>1026</v>
      </c>
      <c r="E4" s="50">
        <f>'4MI'!$E$5</f>
        <v>1103</v>
      </c>
      <c r="F4" s="50">
        <f>'8K'!$E$5</f>
        <v>1375</v>
      </c>
      <c r="G4" s="50">
        <f>'5MI'!$E$5</f>
        <v>1385</v>
      </c>
      <c r="H4" s="50">
        <f>'10K'!$E$5</f>
        <v>1726.0000000000002</v>
      </c>
      <c r="I4" s="50">
        <f>'12K'!$E$5</f>
        <v>2084</v>
      </c>
      <c r="J4" s="50">
        <f>'15K'!$E$5</f>
        <v>2629</v>
      </c>
      <c r="K4" s="50">
        <f>'10MI'!$E$5</f>
        <v>2832</v>
      </c>
      <c r="L4" s="50">
        <f>'20K'!$E$5</f>
        <v>3570</v>
      </c>
      <c r="M4" s="50">
        <f>H.Marathon!$E$5</f>
        <v>3772</v>
      </c>
      <c r="N4" s="50">
        <f>'25K'!$E$5</f>
        <v>4500</v>
      </c>
      <c r="O4" s="50">
        <f>'30K'!$E$5</f>
        <v>5450.0000000000009</v>
      </c>
      <c r="P4" s="50">
        <f>Marathon!$E$5</f>
        <v>7796</v>
      </c>
      <c r="Q4" s="50">
        <f>Parameters!$H27</f>
        <v>9390</v>
      </c>
      <c r="R4" s="50">
        <f>Parameters!$H28</f>
        <v>17100</v>
      </c>
      <c r="S4" s="50">
        <f>Parameters!$H29</f>
        <v>23590.999999999996</v>
      </c>
      <c r="T4" s="50">
        <f>Parameters!$H30</f>
        <v>39700</v>
      </c>
      <c r="U4" s="50">
        <f>Parameters!$H31</f>
        <v>43500</v>
      </c>
      <c r="V4" s="50">
        <f>Parameters!$H32</f>
        <v>57600</v>
      </c>
      <c r="W4" s="47"/>
    </row>
    <row r="5" spans="1:23" ht="15.75" thickBot="1">
      <c r="A5" s="49" t="s">
        <v>125</v>
      </c>
      <c r="B5" s="51">
        <f>B4/86400</f>
        <v>2.9282407407407408E-3</v>
      </c>
      <c r="C5" s="51">
        <f t="shared" ref="C5:V5" si="0">C4/86400</f>
        <v>9.8726851851851857E-3</v>
      </c>
      <c r="D5" s="51">
        <f t="shared" si="0"/>
        <v>1.1875E-2</v>
      </c>
      <c r="E5" s="51">
        <f t="shared" si="0"/>
        <v>1.2766203703703703E-2</v>
      </c>
      <c r="F5" s="51">
        <f t="shared" si="0"/>
        <v>1.5914351851851853E-2</v>
      </c>
      <c r="G5" s="51">
        <f t="shared" si="0"/>
        <v>1.6030092592592592E-2</v>
      </c>
      <c r="H5" s="51">
        <f t="shared" si="0"/>
        <v>1.9976851851851853E-2</v>
      </c>
      <c r="I5" s="51">
        <f t="shared" si="0"/>
        <v>2.4120370370370372E-2</v>
      </c>
      <c r="J5" s="51">
        <f t="shared" si="0"/>
        <v>3.0428240740740742E-2</v>
      </c>
      <c r="K5" s="51">
        <f t="shared" si="0"/>
        <v>3.2777777777777781E-2</v>
      </c>
      <c r="L5" s="51">
        <f t="shared" si="0"/>
        <v>4.1319444444444443E-2</v>
      </c>
      <c r="M5" s="51">
        <f t="shared" si="0"/>
        <v>4.3657407407407409E-2</v>
      </c>
      <c r="N5" s="51">
        <f t="shared" si="0"/>
        <v>5.2083333333333336E-2</v>
      </c>
      <c r="O5" s="51">
        <f t="shared" si="0"/>
        <v>6.307870370370372E-2</v>
      </c>
      <c r="P5" s="51">
        <f t="shared" si="0"/>
        <v>9.0231481481481482E-2</v>
      </c>
      <c r="Q5" s="51">
        <f t="shared" si="0"/>
        <v>0.10868055555555556</v>
      </c>
      <c r="R5" s="51">
        <f t="shared" si="0"/>
        <v>0.19791666666666666</v>
      </c>
      <c r="S5" s="51">
        <f t="shared" si="0"/>
        <v>0.27304398148148146</v>
      </c>
      <c r="T5" s="51">
        <f t="shared" si="0"/>
        <v>0.45949074074074076</v>
      </c>
      <c r="U5" s="51">
        <f t="shared" si="0"/>
        <v>0.50347222222222221</v>
      </c>
      <c r="V5" s="51">
        <f t="shared" si="0"/>
        <v>0.66666666666666663</v>
      </c>
      <c r="W5" s="47"/>
    </row>
    <row r="6" spans="1:23">
      <c r="A6" s="53">
        <v>5</v>
      </c>
      <c r="B6" s="158">
        <f>AgeStanSec!B6/86400</f>
        <v>4.0509259259259257E-3</v>
      </c>
      <c r="C6" s="155">
        <f>AgeStanSec!C6/86400</f>
        <v>1.380787037037037E-2</v>
      </c>
      <c r="D6" s="106">
        <f>AgeStanSec!D6/86400</f>
        <v>1.7106481481481483E-2</v>
      </c>
      <c r="E6" s="105">
        <f>AgeStanSec!E6/86400</f>
        <v>1.7847222222222223E-2</v>
      </c>
      <c r="F6" s="106">
        <f>AgeStanSec!F6/86400</f>
        <v>2.224537037037037E-2</v>
      </c>
      <c r="G6" s="105">
        <f>AgeStanSec!G6/86400</f>
        <v>2.2407407407407407E-2</v>
      </c>
      <c r="H6" s="105">
        <f>AgeStanSec!H6/86400</f>
        <v>2.792824074074074E-2</v>
      </c>
      <c r="I6" s="106">
        <f>AgeStanSec!I6/86400</f>
        <v>3.3715277777777775E-2</v>
      </c>
      <c r="J6" s="106">
        <f>AgeStanSec!J6/86400</f>
        <v>4.2534722222222224E-2</v>
      </c>
      <c r="K6" s="106">
        <f>AgeStanSec!K6/86400</f>
        <v>4.5821759259259257E-2</v>
      </c>
      <c r="L6" s="106">
        <f>AgeStanSec!L6/86400</f>
        <v>5.7766203703703702E-2</v>
      </c>
      <c r="M6" s="106">
        <f>AgeStanSec!M6/86400</f>
        <v>6.1030092592592594E-2</v>
      </c>
      <c r="N6" s="106">
        <f>AgeStanSec!N6/86400</f>
        <v>7.2812500000000002E-2</v>
      </c>
      <c r="O6" s="106">
        <f>AgeStanSec!O6/86400</f>
        <v>8.818287037037037E-2</v>
      </c>
      <c r="P6" s="106">
        <f>AgeStanSec!P6/86400</f>
        <v>0.12614583333333335</v>
      </c>
      <c r="Q6" s="106">
        <f>AgeStanSec!Q6/86400</f>
        <v>0.15193287037037037</v>
      </c>
      <c r="R6" s="106">
        <f>AgeStanSec!R6/86400</f>
        <v>0.27668981481481481</v>
      </c>
      <c r="S6" s="106">
        <f>AgeStanSec!S6/86400</f>
        <v>0.38172453703703701</v>
      </c>
      <c r="T6" s="106">
        <f>AgeStanSec!T6/86400</f>
        <v>0.6423726851851852</v>
      </c>
      <c r="U6" s="106">
        <f>AgeStanSec!U6/86400</f>
        <v>0.70386574074074071</v>
      </c>
      <c r="V6" s="106">
        <f>AgeStanSec!V6/86400</f>
        <v>0.93201388888888892</v>
      </c>
      <c r="W6" s="47"/>
    </row>
    <row r="7" spans="1:23">
      <c r="A7" s="49">
        <v>6</v>
      </c>
      <c r="B7" s="159">
        <f>AgeStanSec!B7/86400</f>
        <v>3.9004629629629628E-3</v>
      </c>
      <c r="C7" s="156">
        <f>AgeStanSec!C7/86400</f>
        <v>1.3275462962962963E-2</v>
      </c>
      <c r="D7" s="107">
        <f>AgeStanSec!D7/86400</f>
        <v>1.638888888888889E-2</v>
      </c>
      <c r="E7" s="107">
        <f>AgeStanSec!E7/86400</f>
        <v>1.7800925925925925E-2</v>
      </c>
      <c r="F7" s="107">
        <f>AgeStanSec!F7/86400</f>
        <v>2.2916666666666665E-2</v>
      </c>
      <c r="G7" s="107">
        <f>AgeStanSec!G7/86400</f>
        <v>2.3101851851851853E-2</v>
      </c>
      <c r="H7" s="107">
        <f>AgeStanSec!H7/86400</f>
        <v>2.9768518518518517E-2</v>
      </c>
      <c r="I7" s="107">
        <f>AgeStanSec!I7/86400</f>
        <v>3.6828703703703704E-2</v>
      </c>
      <c r="J7" s="107">
        <f>AgeStanSec!J7/86400</f>
        <v>4.7893518518518516E-2</v>
      </c>
      <c r="K7" s="107">
        <f>AgeStanSec!K7/86400</f>
        <v>5.2106481481481483E-2</v>
      </c>
      <c r="L7" s="107">
        <f>AgeStanSec!L7/86400</f>
        <v>6.7743055555555556E-2</v>
      </c>
      <c r="M7" s="107">
        <f>AgeStanSec!M7/86400</f>
        <v>7.2141203703703707E-2</v>
      </c>
      <c r="N7" s="107">
        <f>AgeStanSec!N7/86400</f>
        <v>8.6689814814814817E-2</v>
      </c>
      <c r="O7" s="107">
        <f>AgeStanSec!O7/86400</f>
        <v>0.10579861111111111</v>
      </c>
      <c r="P7" s="107">
        <f>AgeStanSec!P7/86400</f>
        <v>0.15361111111111111</v>
      </c>
      <c r="Q7" s="107">
        <f>AgeStanSec!Q7/86400</f>
        <v>0.18502314814814816</v>
      </c>
      <c r="R7" s="107">
        <f>AgeStanSec!R7/86400</f>
        <v>0.3369328703703704</v>
      </c>
      <c r="S7" s="107">
        <f>AgeStanSec!S7/86400</f>
        <v>0.46483796296296298</v>
      </c>
      <c r="T7" s="107">
        <f>AgeStanSec!T7/86400</f>
        <v>0.78224537037037034</v>
      </c>
      <c r="U7" s="107">
        <f>AgeStanSec!U7/86400</f>
        <v>0.85711805555555554</v>
      </c>
      <c r="V7" s="107">
        <f>AgeStanSec!V7/86400</f>
        <v>1.1349421296296296</v>
      </c>
      <c r="W7" s="47"/>
    </row>
    <row r="8" spans="1:23">
      <c r="A8" s="49">
        <v>7</v>
      </c>
      <c r="B8" s="159">
        <f>AgeStanSec!B8/86400</f>
        <v>3.7615740740740739E-3</v>
      </c>
      <c r="C8" s="156">
        <f>AgeStanSec!C8/86400</f>
        <v>1.2824074074074075E-2</v>
      </c>
      <c r="D8" s="107">
        <f>AgeStanSec!D8/86400</f>
        <v>1.5775462962962963E-2</v>
      </c>
      <c r="E8" s="107">
        <f>AgeStanSec!E8/86400</f>
        <v>1.7106481481481483E-2</v>
      </c>
      <c r="F8" s="107">
        <f>AgeStanSec!F8/86400</f>
        <v>2.1909722222222223E-2</v>
      </c>
      <c r="G8" s="107">
        <f>AgeStanSec!G8/86400</f>
        <v>2.2094907407407407E-2</v>
      </c>
      <c r="H8" s="107">
        <f>AgeStanSec!H8/86400</f>
        <v>2.8310185185185185E-2</v>
      </c>
      <c r="I8" s="107">
        <f>AgeStanSec!I8/86400</f>
        <v>3.4918981481481481E-2</v>
      </c>
      <c r="J8" s="107">
        <f>AgeStanSec!J8/86400</f>
        <v>4.5243055555555557E-2</v>
      </c>
      <c r="K8" s="107">
        <f>AgeStanSec!K8/86400</f>
        <v>4.9155092592592591E-2</v>
      </c>
      <c r="L8" s="107">
        <f>AgeStanSec!L8/86400</f>
        <v>6.3657407407407413E-2</v>
      </c>
      <c r="M8" s="107">
        <f>AgeStanSec!M8/86400</f>
        <v>6.7708333333333329E-2</v>
      </c>
      <c r="N8" s="107">
        <f>AgeStanSec!N8/86400</f>
        <v>8.1203703703703708E-2</v>
      </c>
      <c r="O8" s="107">
        <f>AgeStanSec!O8/86400</f>
        <v>9.8900462962962968E-2</v>
      </c>
      <c r="P8" s="107">
        <f>AgeStanSec!P8/86400</f>
        <v>0.14297453703703702</v>
      </c>
      <c r="Q8" s="107">
        <f>AgeStanSec!Q8/86400</f>
        <v>0.17221064814814815</v>
      </c>
      <c r="R8" s="107">
        <f>AgeStanSec!R8/86400</f>
        <v>0.31361111111111112</v>
      </c>
      <c r="S8" s="107">
        <f>AgeStanSec!S8/86400</f>
        <v>0.43265046296296295</v>
      </c>
      <c r="T8" s="107">
        <f>AgeStanSec!T8/86400</f>
        <v>0.72807870370370376</v>
      </c>
      <c r="U8" s="107">
        <f>AgeStanSec!U8/86400</f>
        <v>0.79776620370370366</v>
      </c>
      <c r="V8" s="107">
        <f>AgeStanSec!V8/86400</f>
        <v>1.0563541666666667</v>
      </c>
      <c r="W8" s="47"/>
    </row>
    <row r="9" spans="1:23">
      <c r="A9" s="49">
        <v>8</v>
      </c>
      <c r="B9" s="159">
        <f>AgeStanSec!B9/86400</f>
        <v>3.6342592592592594E-3</v>
      </c>
      <c r="C9" s="156">
        <f>AgeStanSec!C9/86400</f>
        <v>1.2418981481481482E-2</v>
      </c>
      <c r="D9" s="107">
        <f>AgeStanSec!D9/86400</f>
        <v>1.5219907407407408E-2</v>
      </c>
      <c r="E9" s="107">
        <f>AgeStanSec!E9/86400</f>
        <v>1.6493055555555556E-2</v>
      </c>
      <c r="F9" s="107">
        <f>AgeStanSec!F9/86400</f>
        <v>2.1041666666666667E-2</v>
      </c>
      <c r="G9" s="107">
        <f>AgeStanSec!G9/86400</f>
        <v>2.1203703703703704E-2</v>
      </c>
      <c r="H9" s="107">
        <f>AgeStanSec!H9/86400</f>
        <v>2.7060185185185184E-2</v>
      </c>
      <c r="I9" s="107">
        <f>AgeStanSec!I9/86400</f>
        <v>3.3287037037037039E-2</v>
      </c>
      <c r="J9" s="107">
        <f>AgeStanSec!J9/86400</f>
        <v>4.2986111111111114E-2</v>
      </c>
      <c r="K9" s="107">
        <f>AgeStanSec!K9/86400</f>
        <v>4.6655092592592595E-2</v>
      </c>
      <c r="L9" s="107">
        <f>AgeStanSec!L9/86400</f>
        <v>6.0208333333333336E-2</v>
      </c>
      <c r="M9" s="107">
        <f>AgeStanSec!M9/86400</f>
        <v>6.3981481481481486E-2</v>
      </c>
      <c r="N9" s="107">
        <f>AgeStanSec!N9/86400</f>
        <v>7.6631944444444447E-2</v>
      </c>
      <c r="O9" s="107">
        <f>AgeStanSec!O9/86400</f>
        <v>9.3171296296296294E-2</v>
      </c>
      <c r="P9" s="107">
        <f>AgeStanSec!P9/86400</f>
        <v>0.13431712962962963</v>
      </c>
      <c r="Q9" s="107">
        <f>AgeStanSec!Q9/86400</f>
        <v>0.16177083333333334</v>
      </c>
      <c r="R9" s="107">
        <f>AgeStanSec!R9/86400</f>
        <v>0.2946064814814815</v>
      </c>
      <c r="S9" s="107">
        <f>AgeStanSec!S9/86400</f>
        <v>0.40643518518518518</v>
      </c>
      <c r="T9" s="107">
        <f>AgeStanSec!T9/86400</f>
        <v>0.68396990740740737</v>
      </c>
      <c r="U9" s="107">
        <f>AgeStanSec!U9/86400</f>
        <v>0.74943287037037032</v>
      </c>
      <c r="V9" s="107">
        <f>AgeStanSec!V9/86400</f>
        <v>0.99236111111111114</v>
      </c>
      <c r="W9" s="47"/>
    </row>
    <row r="10" spans="1:23">
      <c r="A10" s="49">
        <v>9</v>
      </c>
      <c r="B10" s="159">
        <f>AgeStanSec!B10/86400</f>
        <v>3.5300925925925925E-3</v>
      </c>
      <c r="C10" s="156">
        <f>AgeStanSec!C10/86400</f>
        <v>1.2060185185185186E-2</v>
      </c>
      <c r="D10" s="107">
        <f>AgeStanSec!D10/86400</f>
        <v>1.474537037037037E-2</v>
      </c>
      <c r="E10" s="107">
        <f>AgeStanSec!E10/86400</f>
        <v>1.5949074074074074E-2</v>
      </c>
      <c r="F10" s="107">
        <f>AgeStanSec!F10/86400</f>
        <v>2.0277777777777777E-2</v>
      </c>
      <c r="G10" s="107">
        <f>AgeStanSec!G10/86400</f>
        <v>2.042824074074074E-2</v>
      </c>
      <c r="H10" s="107">
        <f>AgeStanSec!H10/86400</f>
        <v>2.5983796296296297E-2</v>
      </c>
      <c r="I10" s="107">
        <f>AgeStanSec!I10/86400</f>
        <v>3.1898148148148148E-2</v>
      </c>
      <c r="J10" s="107">
        <f>AgeStanSec!J10/86400</f>
        <v>4.1053240740740737E-2</v>
      </c>
      <c r="K10" s="107">
        <f>AgeStanSec!K10/86400</f>
        <v>4.4513888888888888E-2</v>
      </c>
      <c r="L10" s="107">
        <f>AgeStanSec!L10/86400</f>
        <v>5.7280092592592591E-2</v>
      </c>
      <c r="M10" s="107">
        <f>AgeStanSec!M10/86400</f>
        <v>6.0821759259259256E-2</v>
      </c>
      <c r="N10" s="107">
        <f>AgeStanSec!N10/86400</f>
        <v>7.2777777777777775E-2</v>
      </c>
      <c r="O10" s="107">
        <f>AgeStanSec!O10/86400</f>
        <v>8.8402777777777775E-2</v>
      </c>
      <c r="P10" s="107">
        <f>AgeStanSec!P10/86400</f>
        <v>0.12721064814814814</v>
      </c>
      <c r="Q10" s="107">
        <f>AgeStanSec!Q10/86400</f>
        <v>0.1532175925925926</v>
      </c>
      <c r="R10" s="107">
        <f>AgeStanSec!R10/86400</f>
        <v>0.27902777777777776</v>
      </c>
      <c r="S10" s="107">
        <f>AgeStanSec!S10/86400</f>
        <v>0.38495370370370369</v>
      </c>
      <c r="T10" s="107">
        <f>AgeStanSec!T10/86400</f>
        <v>0.64781250000000001</v>
      </c>
      <c r="U10" s="107">
        <f>AgeStanSec!U10/86400</f>
        <v>0.70981481481481479</v>
      </c>
      <c r="V10" s="107">
        <f>AgeStanSec!V10/86400</f>
        <v>0.93989583333333337</v>
      </c>
      <c r="W10" s="47"/>
    </row>
    <row r="11" spans="1:23">
      <c r="A11" s="57">
        <v>10</v>
      </c>
      <c r="B11" s="160">
        <f>AgeStanSec!B11/86400</f>
        <v>3.425925925925926E-3</v>
      </c>
      <c r="C11" s="157">
        <f>AgeStanSec!C11/86400</f>
        <v>1.173611111111111E-2</v>
      </c>
      <c r="D11" s="108">
        <f>AgeStanSec!D11/86400</f>
        <v>1.4317129629629629E-2</v>
      </c>
      <c r="E11" s="108">
        <f>AgeStanSec!E11/86400</f>
        <v>1.5474537037037037E-2</v>
      </c>
      <c r="F11" s="108">
        <f>AgeStanSec!F11/86400</f>
        <v>1.9606481481481482E-2</v>
      </c>
      <c r="G11" s="108">
        <f>AgeStanSec!G11/86400</f>
        <v>1.9756944444444445E-2</v>
      </c>
      <c r="H11" s="108">
        <f>AgeStanSec!H11/86400</f>
        <v>2.5046296296296296E-2</v>
      </c>
      <c r="I11" s="108">
        <f>AgeStanSec!I11/86400</f>
        <v>3.0671296296296297E-2</v>
      </c>
      <c r="J11" s="108">
        <f>AgeStanSec!J11/86400</f>
        <v>3.9386574074074074E-2</v>
      </c>
      <c r="K11" s="108">
        <f>AgeStanSec!K11/86400</f>
        <v>4.2673611111111114E-2</v>
      </c>
      <c r="L11" s="108">
        <f>AgeStanSec!L11/86400</f>
        <v>5.4756944444444441E-2</v>
      </c>
      <c r="M11" s="108">
        <f>AgeStanSec!M11/86400</f>
        <v>5.8113425925925923E-2</v>
      </c>
      <c r="N11" s="108">
        <f>AgeStanSec!N11/86400</f>
        <v>6.9490740740740742E-2</v>
      </c>
      <c r="O11" s="108">
        <f>AgeStanSec!O11/86400</f>
        <v>8.4386574074074072E-2</v>
      </c>
      <c r="P11" s="108">
        <f>AgeStanSec!P11/86400</f>
        <v>0.12130787037037037</v>
      </c>
      <c r="Q11" s="108">
        <f>AgeStanSec!Q11/86400</f>
        <v>0.14611111111111111</v>
      </c>
      <c r="R11" s="108">
        <f>AgeStanSec!R11/86400</f>
        <v>0.26608796296296294</v>
      </c>
      <c r="S11" s="108">
        <f>AgeStanSec!S11/86400</f>
        <v>0.36709490740740741</v>
      </c>
      <c r="T11" s="108">
        <f>AgeStanSec!T11/86400</f>
        <v>0.61776620370370372</v>
      </c>
      <c r="U11" s="108">
        <f>AgeStanSec!U11/86400</f>
        <v>0.67688657407407404</v>
      </c>
      <c r="V11" s="108">
        <f>AgeStanSec!V11/86400</f>
        <v>0.89629629629629626</v>
      </c>
      <c r="W11" s="47"/>
    </row>
    <row r="12" spans="1:23">
      <c r="A12" s="49">
        <v>11</v>
      </c>
      <c r="B12" s="159">
        <f>AgeStanSec!B12/86400</f>
        <v>3.3449074074074076E-3</v>
      </c>
      <c r="C12" s="156">
        <f>AgeStanSec!C12/86400</f>
        <v>1.1458333333333333E-2</v>
      </c>
      <c r="D12" s="107">
        <f>AgeStanSec!D12/86400</f>
        <v>1.3935185185185186E-2</v>
      </c>
      <c r="E12" s="107">
        <f>AgeStanSec!E12/86400</f>
        <v>1.5046296296296295E-2</v>
      </c>
      <c r="F12" s="107">
        <f>AgeStanSec!F12/86400</f>
        <v>1.9016203703703705E-2</v>
      </c>
      <c r="G12" s="107">
        <f>AgeStanSec!G12/86400</f>
        <v>1.9166666666666665E-2</v>
      </c>
      <c r="H12" s="107">
        <f>AgeStanSec!H12/86400</f>
        <v>2.4224537037037037E-2</v>
      </c>
      <c r="I12" s="107">
        <f>AgeStanSec!I12/86400</f>
        <v>2.9618055555555557E-2</v>
      </c>
      <c r="J12" s="107">
        <f>AgeStanSec!J12/86400</f>
        <v>3.7939814814814815E-2</v>
      </c>
      <c r="K12" s="107">
        <f>AgeStanSec!K12/86400</f>
        <v>4.1076388888888891E-2</v>
      </c>
      <c r="L12" s="107">
        <f>AgeStanSec!L12/86400</f>
        <v>5.2592592592592594E-2</v>
      </c>
      <c r="M12" s="107">
        <f>AgeStanSec!M12/86400</f>
        <v>5.5775462962962964E-2</v>
      </c>
      <c r="N12" s="107">
        <f>AgeStanSec!N12/86400</f>
        <v>6.6701388888888893E-2</v>
      </c>
      <c r="O12" s="107">
        <f>AgeStanSec!O12/86400</f>
        <v>8.099537037037037E-2</v>
      </c>
      <c r="P12" s="107">
        <f>AgeStanSec!P12/86400</f>
        <v>0.11641203703703704</v>
      </c>
      <c r="Q12" s="107">
        <f>AgeStanSec!Q12/86400</f>
        <v>0.14021990740740742</v>
      </c>
      <c r="R12" s="107">
        <f>AgeStanSec!R12/86400</f>
        <v>0.25534722222222223</v>
      </c>
      <c r="S12" s="107">
        <f>AgeStanSec!S12/86400</f>
        <v>0.35226851851851854</v>
      </c>
      <c r="T12" s="107">
        <f>AgeStanSec!T12/86400</f>
        <v>0.59281249999999996</v>
      </c>
      <c r="U12" s="107">
        <f>AgeStanSec!U12/86400</f>
        <v>0.64956018518518521</v>
      </c>
      <c r="V12" s="107">
        <f>AgeStanSec!V12/86400</f>
        <v>0.86010416666666667</v>
      </c>
      <c r="W12" s="47"/>
    </row>
    <row r="13" spans="1:23">
      <c r="A13" s="49">
        <v>12</v>
      </c>
      <c r="B13" s="159">
        <f>AgeStanSec!B13/86400</f>
        <v>3.2638888888888891E-3</v>
      </c>
      <c r="C13" s="156">
        <f>AgeStanSec!C13/86400</f>
        <v>1.1203703703703704E-2</v>
      </c>
      <c r="D13" s="107">
        <f>AgeStanSec!D13/86400</f>
        <v>1.361111111111111E-2</v>
      </c>
      <c r="E13" s="107">
        <f>AgeStanSec!E13/86400</f>
        <v>1.4675925925925926E-2</v>
      </c>
      <c r="F13" s="107">
        <f>AgeStanSec!F13/86400</f>
        <v>1.8506944444444444E-2</v>
      </c>
      <c r="G13" s="107">
        <f>AgeStanSec!G13/86400</f>
        <v>1.8645833333333334E-2</v>
      </c>
      <c r="H13" s="107">
        <f>AgeStanSec!H13/86400</f>
        <v>2.3495370370370371E-2</v>
      </c>
      <c r="I13" s="107">
        <f>AgeStanSec!I13/86400</f>
        <v>2.869212962962963E-2</v>
      </c>
      <c r="J13" s="107">
        <f>AgeStanSec!J13/86400</f>
        <v>3.667824074074074E-2</v>
      </c>
      <c r="K13" s="107">
        <f>AgeStanSec!K13/86400</f>
        <v>3.9687500000000001E-2</v>
      </c>
      <c r="L13" s="107">
        <f>AgeStanSec!L13/86400</f>
        <v>5.0706018518518518E-2</v>
      </c>
      <c r="M13" s="107">
        <f>AgeStanSec!M13/86400</f>
        <v>5.3761574074074073E-2</v>
      </c>
      <c r="N13" s="107">
        <f>AgeStanSec!N13/86400</f>
        <v>6.430555555555556E-2</v>
      </c>
      <c r="O13" s="107">
        <f>AgeStanSec!O13/86400</f>
        <v>7.8101851851851853E-2</v>
      </c>
      <c r="P13" s="107">
        <f>AgeStanSec!P13/86400</f>
        <v>0.11231481481481481</v>
      </c>
      <c r="Q13" s="107">
        <f>AgeStanSec!Q13/86400</f>
        <v>0.13527777777777777</v>
      </c>
      <c r="R13" s="107">
        <f>AgeStanSec!R13/86400</f>
        <v>0.24635416666666668</v>
      </c>
      <c r="S13" s="107">
        <f>AgeStanSec!S13/86400</f>
        <v>0.33986111111111111</v>
      </c>
      <c r="T13" s="107">
        <f>AgeStanSec!T13/86400</f>
        <v>0.57193287037037033</v>
      </c>
      <c r="U13" s="107">
        <f>AgeStanSec!U13/86400</f>
        <v>0.62667824074074074</v>
      </c>
      <c r="V13" s="107">
        <f>AgeStanSec!V13/86400</f>
        <v>0.82980324074074074</v>
      </c>
      <c r="W13" s="47"/>
    </row>
    <row r="14" spans="1:23">
      <c r="A14" s="49">
        <v>13</v>
      </c>
      <c r="B14" s="159">
        <f>AgeStanSec!B14/86400</f>
        <v>3.1944444444444446E-3</v>
      </c>
      <c r="C14" s="156">
        <f>AgeStanSec!C14/86400</f>
        <v>1.0983796296296297E-2</v>
      </c>
      <c r="D14" s="107">
        <f>AgeStanSec!D14/86400</f>
        <v>1.3310185185185185E-2</v>
      </c>
      <c r="E14" s="107">
        <f>AgeStanSec!E14/86400</f>
        <v>1.4351851851851852E-2</v>
      </c>
      <c r="F14" s="107">
        <f>AgeStanSec!F14/86400</f>
        <v>1.8055555555555554E-2</v>
      </c>
      <c r="G14" s="107">
        <f>AgeStanSec!G14/86400</f>
        <v>1.818287037037037E-2</v>
      </c>
      <c r="H14" s="107">
        <f>AgeStanSec!H14/86400</f>
        <v>2.2870370370370371E-2</v>
      </c>
      <c r="I14" s="107">
        <f>AgeStanSec!I14/86400</f>
        <v>2.7881944444444445E-2</v>
      </c>
      <c r="J14" s="107">
        <f>AgeStanSec!J14/86400</f>
        <v>3.5590277777777776E-2</v>
      </c>
      <c r="K14" s="107">
        <f>AgeStanSec!K14/86400</f>
        <v>3.8483796296296294E-2</v>
      </c>
      <c r="L14" s="107">
        <f>AgeStanSec!L14/86400</f>
        <v>4.9085648148148149E-2</v>
      </c>
      <c r="M14" s="107">
        <f>AgeStanSec!M14/86400</f>
        <v>5.2013888888888887E-2</v>
      </c>
      <c r="N14" s="107">
        <f>AgeStanSec!N14/86400</f>
        <v>6.2245370370370368E-2</v>
      </c>
      <c r="O14" s="107">
        <f>AgeStanSec!O14/86400</f>
        <v>7.5648148148148145E-2</v>
      </c>
      <c r="P14" s="107">
        <f>AgeStanSec!P14/86400</f>
        <v>0.10891203703703704</v>
      </c>
      <c r="Q14" s="107">
        <f>AgeStanSec!Q14/86400</f>
        <v>0.13118055555555555</v>
      </c>
      <c r="R14" s="107">
        <f>AgeStanSec!R14/86400</f>
        <v>0.2388888888888889</v>
      </c>
      <c r="S14" s="107">
        <f>AgeStanSec!S14/86400</f>
        <v>0.32956018518518521</v>
      </c>
      <c r="T14" s="107">
        <f>AgeStanSec!T14/86400</f>
        <v>0.55460648148148151</v>
      </c>
      <c r="U14" s="107">
        <f>AgeStanSec!U14/86400</f>
        <v>0.60769675925925926</v>
      </c>
      <c r="V14" s="107">
        <f>AgeStanSec!V14/86400</f>
        <v>0.80466435185185181</v>
      </c>
      <c r="W14" s="47"/>
    </row>
    <row r="15" spans="1:23">
      <c r="A15" s="49">
        <v>14</v>
      </c>
      <c r="B15" s="159">
        <f>AgeStanSec!B15/86400</f>
        <v>3.1365740740740742E-3</v>
      </c>
      <c r="C15" s="156">
        <f>AgeStanSec!C15/86400</f>
        <v>1.0787037037037038E-2</v>
      </c>
      <c r="D15" s="107">
        <f>AgeStanSec!D15/86400</f>
        <v>1.3055555555555556E-2</v>
      </c>
      <c r="E15" s="107">
        <f>AgeStanSec!E15/86400</f>
        <v>1.40625E-2</v>
      </c>
      <c r="F15" s="107">
        <f>AgeStanSec!F15/86400</f>
        <v>1.7650462962962962E-2</v>
      </c>
      <c r="G15" s="107">
        <f>AgeStanSec!G15/86400</f>
        <v>1.7789351851851851E-2</v>
      </c>
      <c r="H15" s="107">
        <f>AgeStanSec!H15/86400</f>
        <v>2.2314814814814815E-2</v>
      </c>
      <c r="I15" s="107">
        <f>AgeStanSec!I15/86400</f>
        <v>2.7175925925925926E-2</v>
      </c>
      <c r="J15" s="107">
        <f>AgeStanSec!J15/86400</f>
        <v>3.4629629629629628E-2</v>
      </c>
      <c r="K15" s="107">
        <f>AgeStanSec!K15/86400</f>
        <v>3.7430555555555557E-2</v>
      </c>
      <c r="L15" s="107">
        <f>AgeStanSec!L15/86400</f>
        <v>4.7662037037037037E-2</v>
      </c>
      <c r="M15" s="107">
        <f>AgeStanSec!M15/86400</f>
        <v>5.0486111111111114E-2</v>
      </c>
      <c r="N15" s="107">
        <f>AgeStanSec!N15/86400</f>
        <v>6.0474537037037035E-2</v>
      </c>
      <c r="O15" s="107">
        <f>AgeStanSec!O15/86400</f>
        <v>7.3564814814814819E-2</v>
      </c>
      <c r="P15" s="107">
        <f>AgeStanSec!P15/86400</f>
        <v>0.10607638888888889</v>
      </c>
      <c r="Q15" s="107">
        <f>AgeStanSec!Q15/86400</f>
        <v>0.1277662037037037</v>
      </c>
      <c r="R15" s="107">
        <f>AgeStanSec!R15/86400</f>
        <v>0.23267361111111112</v>
      </c>
      <c r="S15" s="107">
        <f>AgeStanSec!S15/86400</f>
        <v>0.32100694444444444</v>
      </c>
      <c r="T15" s="107">
        <f>AgeStanSec!T15/86400</f>
        <v>0.54019675925925925</v>
      </c>
      <c r="U15" s="107">
        <f>AgeStanSec!U15/86400</f>
        <v>0.59189814814814812</v>
      </c>
      <c r="V15" s="107">
        <f>AgeStanSec!V15/86400</f>
        <v>0.7837615740740741</v>
      </c>
      <c r="W15" s="47"/>
    </row>
    <row r="16" spans="1:23">
      <c r="A16" s="57">
        <v>15</v>
      </c>
      <c r="B16" s="160">
        <f>AgeStanSec!B16/86400</f>
        <v>3.0787037037037037E-3</v>
      </c>
      <c r="C16" s="157">
        <f>AgeStanSec!C16/86400</f>
        <v>1.0613425925925925E-2</v>
      </c>
      <c r="D16" s="108">
        <f>AgeStanSec!D16/86400</f>
        <v>1.2824074074074075E-2</v>
      </c>
      <c r="E16" s="108">
        <f>AgeStanSec!E16/86400</f>
        <v>1.380787037037037E-2</v>
      </c>
      <c r="F16" s="108">
        <f>AgeStanSec!F16/86400</f>
        <v>1.7303240740740741E-2</v>
      </c>
      <c r="G16" s="108">
        <f>AgeStanSec!G16/86400</f>
        <v>1.7430555555555557E-2</v>
      </c>
      <c r="H16" s="108">
        <f>AgeStanSec!H16/86400</f>
        <v>2.1828703703703704E-2</v>
      </c>
      <c r="I16" s="108">
        <f>AgeStanSec!I16/86400</f>
        <v>2.6550925925925926E-2</v>
      </c>
      <c r="J16" s="108">
        <f>AgeStanSec!J16/86400</f>
        <v>3.3796296296296297E-2</v>
      </c>
      <c r="K16" s="108">
        <f>AgeStanSec!K16/86400</f>
        <v>3.6516203703703703E-2</v>
      </c>
      <c r="L16" s="108">
        <f>AgeStanSec!L16/86400</f>
        <v>4.6435185185185184E-2</v>
      </c>
      <c r="M16" s="108">
        <f>AgeStanSec!M16/86400</f>
        <v>4.9166666666666664E-2</v>
      </c>
      <c r="N16" s="108">
        <f>AgeStanSec!N16/86400</f>
        <v>5.8958333333333335E-2</v>
      </c>
      <c r="O16" s="108">
        <f>AgeStanSec!O16/86400</f>
        <v>7.1793981481481486E-2</v>
      </c>
      <c r="P16" s="108">
        <f>AgeStanSec!P16/86400</f>
        <v>0.10377314814814814</v>
      </c>
      <c r="Q16" s="108">
        <f>AgeStanSec!Q16/86400</f>
        <v>0.12498842592592592</v>
      </c>
      <c r="R16" s="108">
        <f>AgeStanSec!R16/86400</f>
        <v>0.22761574074074073</v>
      </c>
      <c r="S16" s="108">
        <f>AgeStanSec!S16/86400</f>
        <v>0.31402777777777779</v>
      </c>
      <c r="T16" s="108">
        <f>AgeStanSec!T16/86400</f>
        <v>0.52844907407407404</v>
      </c>
      <c r="U16" s="108">
        <f>AgeStanSec!U16/86400</f>
        <v>0.57903935185185185</v>
      </c>
      <c r="V16" s="108">
        <f>AgeStanSec!V16/86400</f>
        <v>0.76672453703703702</v>
      </c>
      <c r="W16" s="47"/>
    </row>
    <row r="17" spans="1:23">
      <c r="A17" s="49">
        <v>16</v>
      </c>
      <c r="B17" s="159">
        <f>AgeStanSec!B17/86400</f>
        <v>3.0208333333333333E-3</v>
      </c>
      <c r="C17" s="156">
        <f>AgeStanSec!C17/86400</f>
        <v>1.0462962962962962E-2</v>
      </c>
      <c r="D17" s="107">
        <f>AgeStanSec!D17/86400</f>
        <v>1.2615740740740742E-2</v>
      </c>
      <c r="E17" s="107">
        <f>AgeStanSec!E17/86400</f>
        <v>1.357638888888889E-2</v>
      </c>
      <c r="F17" s="107">
        <f>AgeStanSec!F17/86400</f>
        <v>1.6979166666666667E-2</v>
      </c>
      <c r="G17" s="107">
        <f>AgeStanSec!G17/86400</f>
        <v>1.7106481481481483E-2</v>
      </c>
      <c r="H17" s="107">
        <f>AgeStanSec!H17/86400</f>
        <v>2.1388888888888888E-2</v>
      </c>
      <c r="I17" s="107">
        <f>AgeStanSec!I17/86400</f>
        <v>2.599537037037037E-2</v>
      </c>
      <c r="J17" s="107">
        <f>AgeStanSec!J17/86400</f>
        <v>3.3055555555555553E-2</v>
      </c>
      <c r="K17" s="107">
        <f>AgeStanSec!K17/86400</f>
        <v>3.5706018518518519E-2</v>
      </c>
      <c r="L17" s="107">
        <f>AgeStanSec!L17/86400</f>
        <v>4.5358796296296293E-2</v>
      </c>
      <c r="M17" s="107">
        <f>AgeStanSec!M17/86400</f>
        <v>4.8020833333333332E-2</v>
      </c>
      <c r="N17" s="107">
        <f>AgeStanSec!N17/86400</f>
        <v>5.7638888888888892E-2</v>
      </c>
      <c r="O17" s="107">
        <f>AgeStanSec!O17/86400</f>
        <v>7.0254629629629625E-2</v>
      </c>
      <c r="P17" s="107">
        <f>AgeStanSec!P17/86400</f>
        <v>0.10173611111111111</v>
      </c>
      <c r="Q17" s="107">
        <f>AgeStanSec!Q17/86400</f>
        <v>0.12253472222222223</v>
      </c>
      <c r="R17" s="107">
        <f>AgeStanSec!R17/86400</f>
        <v>0.22315972222222222</v>
      </c>
      <c r="S17" s="107">
        <f>AgeStanSec!S17/86400</f>
        <v>0.30785879629629631</v>
      </c>
      <c r="T17" s="107">
        <f>AgeStanSec!T17/86400</f>
        <v>0.51809027777777783</v>
      </c>
      <c r="U17" s="107">
        <f>AgeStanSec!U17/86400</f>
        <v>0.56767361111111114</v>
      </c>
      <c r="V17" s="107">
        <f>AgeStanSec!V17/86400</f>
        <v>0.75167824074074074</v>
      </c>
      <c r="W17" s="47"/>
    </row>
    <row r="18" spans="1:23">
      <c r="A18" s="49">
        <v>17</v>
      </c>
      <c r="B18" s="159">
        <f>AgeStanSec!B18/86400</f>
        <v>2.9745370370370373E-3</v>
      </c>
      <c r="C18" s="156">
        <f>AgeStanSec!C18/86400</f>
        <v>1.0300925925925925E-2</v>
      </c>
      <c r="D18" s="107">
        <f>AgeStanSec!D18/86400</f>
        <v>1.2418981481481482E-2</v>
      </c>
      <c r="E18" s="107">
        <f>AgeStanSec!E18/86400</f>
        <v>1.3356481481481481E-2</v>
      </c>
      <c r="F18" s="107">
        <f>AgeStanSec!F18/86400</f>
        <v>1.667824074074074E-2</v>
      </c>
      <c r="G18" s="107">
        <f>AgeStanSec!G18/86400</f>
        <v>1.6793981481481483E-2</v>
      </c>
      <c r="H18" s="107">
        <f>AgeStanSec!H18/86400</f>
        <v>2.0972222222222222E-2</v>
      </c>
      <c r="I18" s="107">
        <f>AgeStanSec!I18/86400</f>
        <v>2.5462962962962962E-2</v>
      </c>
      <c r="J18" s="107">
        <f>AgeStanSec!J18/86400</f>
        <v>3.2372685185185185E-2</v>
      </c>
      <c r="K18" s="107">
        <f>AgeStanSec!K18/86400</f>
        <v>3.4953703703703702E-2</v>
      </c>
      <c r="L18" s="107">
        <f>AgeStanSec!L18/86400</f>
        <v>4.4386574074074071E-2</v>
      </c>
      <c r="M18" s="107">
        <f>AgeStanSec!M18/86400</f>
        <v>4.6979166666666669E-2</v>
      </c>
      <c r="N18" s="107">
        <f>AgeStanSec!N18/86400</f>
        <v>5.6412037037037038E-2</v>
      </c>
      <c r="O18" s="107">
        <f>AgeStanSec!O18/86400</f>
        <v>6.8819444444444447E-2</v>
      </c>
      <c r="P18" s="107">
        <f>AgeStanSec!P18/86400</f>
        <v>9.9780092592592587E-2</v>
      </c>
      <c r="Q18" s="107">
        <f>AgeStanSec!Q18/86400</f>
        <v>0.12018518518518519</v>
      </c>
      <c r="R18" s="107">
        <f>AgeStanSec!R18/86400</f>
        <v>0.21886574074074075</v>
      </c>
      <c r="S18" s="107">
        <f>AgeStanSec!S18/86400</f>
        <v>0.30194444444444446</v>
      </c>
      <c r="T18" s="107">
        <f>AgeStanSec!T18/86400</f>
        <v>0.5081134259259259</v>
      </c>
      <c r="U18" s="107">
        <f>AgeStanSec!U18/86400</f>
        <v>0.55675925925925929</v>
      </c>
      <c r="V18" s="107">
        <f>AgeStanSec!V18/86400</f>
        <v>0.73722222222222222</v>
      </c>
      <c r="W18" s="47"/>
    </row>
    <row r="19" spans="1:23">
      <c r="A19" s="49">
        <v>18</v>
      </c>
      <c r="B19" s="159">
        <f>AgeStanSec!B19/86400</f>
        <v>2.9398148148148148E-3</v>
      </c>
      <c r="C19" s="156">
        <f>AgeStanSec!C19/86400</f>
        <v>1.0162037037037037E-2</v>
      </c>
      <c r="D19" s="107">
        <f>AgeStanSec!D19/86400</f>
        <v>1.2222222222222223E-2</v>
      </c>
      <c r="E19" s="107">
        <f>AgeStanSec!E19/86400</f>
        <v>1.3148148148148148E-2</v>
      </c>
      <c r="F19" s="107">
        <f>AgeStanSec!F19/86400</f>
        <v>1.6400462962962964E-2</v>
      </c>
      <c r="G19" s="107">
        <f>AgeStanSec!G19/86400</f>
        <v>1.6516203703703703E-2</v>
      </c>
      <c r="H19" s="107">
        <f>AgeStanSec!H19/86400</f>
        <v>2.060185185185185E-2</v>
      </c>
      <c r="I19" s="107">
        <f>AgeStanSec!I19/86400</f>
        <v>2.5000000000000001E-2</v>
      </c>
      <c r="J19" s="107">
        <f>AgeStanSec!J19/86400</f>
        <v>3.1736111111111111E-2</v>
      </c>
      <c r="K19" s="107">
        <f>AgeStanSec!K19/86400</f>
        <v>3.425925925925926E-2</v>
      </c>
      <c r="L19" s="107">
        <f>AgeStanSec!L19/86400</f>
        <v>4.3449074074074077E-2</v>
      </c>
      <c r="M19" s="107">
        <f>AgeStanSec!M19/86400</f>
        <v>4.5983796296296293E-2</v>
      </c>
      <c r="N19" s="107">
        <f>AgeStanSec!N19/86400</f>
        <v>5.5254629629629633E-2</v>
      </c>
      <c r="O19" s="107">
        <f>AgeStanSec!O19/86400</f>
        <v>6.7430555555555549E-2</v>
      </c>
      <c r="P19" s="107">
        <f>AgeStanSec!P19/86400</f>
        <v>9.7893518518518519E-2</v>
      </c>
      <c r="Q19" s="107">
        <f>AgeStanSec!Q19/86400</f>
        <v>0.11791666666666667</v>
      </c>
      <c r="R19" s="107">
        <f>AgeStanSec!R19/86400</f>
        <v>0.2147337962962963</v>
      </c>
      <c r="S19" s="107">
        <f>AgeStanSec!S19/86400</f>
        <v>0.29623842592592592</v>
      </c>
      <c r="T19" s="107">
        <f>AgeStanSec!T19/86400</f>
        <v>0.49853009259259257</v>
      </c>
      <c r="U19" s="107">
        <f>AgeStanSec!U19/86400</f>
        <v>0.54623842592592597</v>
      </c>
      <c r="V19" s="107">
        <f>AgeStanSec!V19/86400</f>
        <v>0.72329861111111116</v>
      </c>
      <c r="W19" s="47"/>
    </row>
    <row r="20" spans="1:23">
      <c r="A20" s="49">
        <v>19</v>
      </c>
      <c r="B20" s="159">
        <f>AgeStanSec!B20/86400</f>
        <v>2.9282407407407408E-3</v>
      </c>
      <c r="C20" s="156">
        <f>AgeStanSec!C20/86400</f>
        <v>1.0034722222222223E-2</v>
      </c>
      <c r="D20" s="107">
        <f>AgeStanSec!D20/86400</f>
        <v>1.207175925925926E-2</v>
      </c>
      <c r="E20" s="107">
        <f>AgeStanSec!E20/86400</f>
        <v>1.2974537037037038E-2</v>
      </c>
      <c r="F20" s="107">
        <f>AgeStanSec!F20/86400</f>
        <v>1.6180555555555556E-2</v>
      </c>
      <c r="G20" s="107">
        <f>AgeStanSec!G20/86400</f>
        <v>1.6296296296296295E-2</v>
      </c>
      <c r="H20" s="107">
        <f>AgeStanSec!H20/86400</f>
        <v>2.0324074074074074E-2</v>
      </c>
      <c r="I20" s="107">
        <f>AgeStanSec!I20/86400</f>
        <v>2.4618055555555556E-2</v>
      </c>
      <c r="J20" s="107">
        <f>AgeStanSec!J20/86400</f>
        <v>3.1180555555555555E-2</v>
      </c>
      <c r="K20" s="107">
        <f>AgeStanSec!K20/86400</f>
        <v>3.363425925925926E-2</v>
      </c>
      <c r="L20" s="107">
        <f>AgeStanSec!L20/86400</f>
        <v>4.2569444444444444E-2</v>
      </c>
      <c r="M20" s="107">
        <f>AgeStanSec!M20/86400</f>
        <v>4.5023148148148145E-2</v>
      </c>
      <c r="N20" s="107">
        <f>AgeStanSec!N20/86400</f>
        <v>5.4131944444444448E-2</v>
      </c>
      <c r="O20" s="107">
        <f>AgeStanSec!O20/86400</f>
        <v>6.6111111111111107E-2</v>
      </c>
      <c r="P20" s="107">
        <f>AgeStanSec!P20/86400</f>
        <v>9.6087962962962958E-2</v>
      </c>
      <c r="Q20" s="107">
        <f>AgeStanSec!Q20/86400</f>
        <v>0.11572916666666666</v>
      </c>
      <c r="R20" s="107">
        <f>AgeStanSec!R20/86400</f>
        <v>0.21075231481481482</v>
      </c>
      <c r="S20" s="107">
        <f>AgeStanSec!S20/86400</f>
        <v>0.29075231481481484</v>
      </c>
      <c r="T20" s="107">
        <f>AgeStanSec!T20/86400</f>
        <v>0.48929398148148145</v>
      </c>
      <c r="U20" s="107">
        <f>AgeStanSec!U20/86400</f>
        <v>0.53612268518518513</v>
      </c>
      <c r="V20" s="107">
        <f>AgeStanSec!V20/86400</f>
        <v>0.70989583333333328</v>
      </c>
      <c r="W20" s="47"/>
    </row>
    <row r="21" spans="1:23">
      <c r="A21" s="57">
        <v>20</v>
      </c>
      <c r="B21" s="160">
        <f>AgeStanSec!B21/86400</f>
        <v>2.9282407407407408E-3</v>
      </c>
      <c r="C21" s="157">
        <f>AgeStanSec!C21/86400</f>
        <v>9.9421296296296289E-3</v>
      </c>
      <c r="D21" s="108">
        <f>AgeStanSec!D21/86400</f>
        <v>1.1956018518518519E-2</v>
      </c>
      <c r="E21" s="108">
        <f>AgeStanSec!E21/86400</f>
        <v>1.2858796296296297E-2</v>
      </c>
      <c r="F21" s="108">
        <f>AgeStanSec!F21/86400</f>
        <v>1.6030092592592592E-2</v>
      </c>
      <c r="G21" s="108">
        <f>AgeStanSec!G21/86400</f>
        <v>1.6145833333333335E-2</v>
      </c>
      <c r="H21" s="108">
        <f>AgeStanSec!H21/86400</f>
        <v>2.0127314814814813E-2</v>
      </c>
      <c r="I21" s="108">
        <f>AgeStanSec!I21/86400</f>
        <v>2.4340277777777777E-2</v>
      </c>
      <c r="J21" s="108">
        <f>AgeStanSec!J21/86400</f>
        <v>3.0763888888888889E-2</v>
      </c>
      <c r="K21" s="108">
        <f>AgeStanSec!K21/86400</f>
        <v>3.3159722222222222E-2</v>
      </c>
      <c r="L21" s="108">
        <f>AgeStanSec!L21/86400</f>
        <v>4.1863425925925929E-2</v>
      </c>
      <c r="M21" s="108">
        <f>AgeStanSec!M21/86400</f>
        <v>4.4259259259259262E-2</v>
      </c>
      <c r="N21" s="108">
        <f>AgeStanSec!N21/86400</f>
        <v>5.3206018518518521E-2</v>
      </c>
      <c r="O21" s="108">
        <f>AgeStanSec!O21/86400</f>
        <v>6.4988425925925922E-2</v>
      </c>
      <c r="P21" s="108">
        <f>AgeStanSec!P21/86400</f>
        <v>9.4456018518518522E-2</v>
      </c>
      <c r="Q21" s="108">
        <f>AgeStanSec!Q21/86400</f>
        <v>0.11376157407407407</v>
      </c>
      <c r="R21" s="108">
        <f>AgeStanSec!R21/86400</f>
        <v>0.20717592592592593</v>
      </c>
      <c r="S21" s="108">
        <f>AgeStanSec!S21/86400</f>
        <v>0.28582175925925923</v>
      </c>
      <c r="T21" s="108">
        <f>AgeStanSec!T21/86400</f>
        <v>0.48099537037037038</v>
      </c>
      <c r="U21" s="108">
        <f>AgeStanSec!U21/86400</f>
        <v>0.52702546296296293</v>
      </c>
      <c r="V21" s="108">
        <f>AgeStanSec!V21/86400</f>
        <v>0.69785879629629632</v>
      </c>
      <c r="W21" s="47"/>
    </row>
    <row r="22" spans="1:23">
      <c r="A22" s="49">
        <v>21</v>
      </c>
      <c r="B22" s="159">
        <f>AgeStanSec!B22/86400</f>
        <v>2.9282407407407408E-3</v>
      </c>
      <c r="C22" s="156">
        <f>AgeStanSec!C22/86400</f>
        <v>9.8958333333333329E-3</v>
      </c>
      <c r="D22" s="107">
        <f>AgeStanSec!D22/86400</f>
        <v>1.1898148148148149E-2</v>
      </c>
      <c r="E22" s="107">
        <f>AgeStanSec!E22/86400</f>
        <v>1.2789351851851852E-2</v>
      </c>
      <c r="F22" s="107">
        <f>AgeStanSec!F22/86400</f>
        <v>1.5949074074074074E-2</v>
      </c>
      <c r="G22" s="107">
        <f>AgeStanSec!G22/86400</f>
        <v>1.6064814814814816E-2</v>
      </c>
      <c r="H22" s="107">
        <f>AgeStanSec!H22/86400</f>
        <v>2.0011574074074074E-2</v>
      </c>
      <c r="I22" s="107">
        <f>AgeStanSec!I22/86400</f>
        <v>2.417824074074074E-2</v>
      </c>
      <c r="J22" s="107">
        <f>AgeStanSec!J22/86400</f>
        <v>3.050925925925926E-2</v>
      </c>
      <c r="K22" s="107">
        <f>AgeStanSec!K22/86400</f>
        <v>3.2870370370370369E-2</v>
      </c>
      <c r="L22" s="107">
        <f>AgeStanSec!L22/86400</f>
        <v>4.1458333333333333E-2</v>
      </c>
      <c r="M22" s="107">
        <f>AgeStanSec!M22/86400</f>
        <v>4.3807870370370372E-2</v>
      </c>
      <c r="N22" s="107">
        <f>AgeStanSec!N22/86400</f>
        <v>5.2615740740740741E-2</v>
      </c>
      <c r="O22" s="107">
        <f>AgeStanSec!O22/86400</f>
        <v>6.4201388888888891E-2</v>
      </c>
      <c r="P22" s="107">
        <f>AgeStanSec!P22/86400</f>
        <v>9.3124999999999999E-2</v>
      </c>
      <c r="Q22" s="107">
        <f>AgeStanSec!Q22/86400</f>
        <v>0.11216435185185185</v>
      </c>
      <c r="R22" s="107">
        <f>AgeStanSec!R22/86400</f>
        <v>0.20427083333333335</v>
      </c>
      <c r="S22" s="107">
        <f>AgeStanSec!S22/86400</f>
        <v>0.28180555555555553</v>
      </c>
      <c r="T22" s="107">
        <f>AgeStanSec!T22/86400</f>
        <v>0.47423611111111114</v>
      </c>
      <c r="U22" s="107">
        <f>AgeStanSec!U22/86400</f>
        <v>0.51962962962962966</v>
      </c>
      <c r="V22" s="107">
        <f>AgeStanSec!V22/86400</f>
        <v>0.68806712962962968</v>
      </c>
      <c r="W22" s="47"/>
    </row>
    <row r="23" spans="1:23">
      <c r="A23" s="49">
        <v>22</v>
      </c>
      <c r="B23" s="159">
        <f>AgeStanSec!B23/86400</f>
        <v>2.9282407407407408E-3</v>
      </c>
      <c r="C23" s="156">
        <f>AgeStanSec!C23/86400</f>
        <v>9.8726851851851857E-3</v>
      </c>
      <c r="D23" s="107">
        <f>AgeStanSec!D23/86400</f>
        <v>1.1875E-2</v>
      </c>
      <c r="E23" s="107">
        <f>AgeStanSec!E23/86400</f>
        <v>1.2766203703703703E-2</v>
      </c>
      <c r="F23" s="107">
        <f>AgeStanSec!F23/86400</f>
        <v>1.5914351851851853E-2</v>
      </c>
      <c r="G23" s="107">
        <f>AgeStanSec!G23/86400</f>
        <v>1.6030092592592592E-2</v>
      </c>
      <c r="H23" s="107">
        <f>AgeStanSec!H23/86400</f>
        <v>1.9976851851851853E-2</v>
      </c>
      <c r="I23" s="107">
        <f>AgeStanSec!I23/86400</f>
        <v>2.4120370370370372E-2</v>
      </c>
      <c r="J23" s="107">
        <f>AgeStanSec!J23/86400</f>
        <v>3.0428240740740742E-2</v>
      </c>
      <c r="K23" s="107">
        <f>AgeStanSec!K23/86400</f>
        <v>3.2777777777777781E-2</v>
      </c>
      <c r="L23" s="107">
        <f>AgeStanSec!L23/86400</f>
        <v>4.1319444444444443E-2</v>
      </c>
      <c r="M23" s="107">
        <f>AgeStanSec!M23/86400</f>
        <v>4.3657407407407409E-2</v>
      </c>
      <c r="N23" s="107">
        <f>AgeStanSec!N23/86400</f>
        <v>5.2337962962962961E-2</v>
      </c>
      <c r="O23" s="107">
        <f>AgeStanSec!O23/86400</f>
        <v>6.3726851851851854E-2</v>
      </c>
      <c r="P23" s="107">
        <f>AgeStanSec!P23/86400</f>
        <v>9.2060185185185189E-2</v>
      </c>
      <c r="Q23" s="107">
        <f>AgeStanSec!Q23/86400</f>
        <v>0.1108912037037037</v>
      </c>
      <c r="R23" s="107">
        <f>AgeStanSec!R23/86400</f>
        <v>0.20193287037037036</v>
      </c>
      <c r="S23" s="107">
        <f>AgeStanSec!S23/86400</f>
        <v>0.27858796296296295</v>
      </c>
      <c r="T23" s="107">
        <f>AgeStanSec!T23/86400</f>
        <v>0.46881944444444446</v>
      </c>
      <c r="U23" s="107">
        <f>AgeStanSec!U23/86400</f>
        <v>0.51369212962962962</v>
      </c>
      <c r="V23" s="107">
        <f>AgeStanSec!V23/86400</f>
        <v>0.6802083333333333</v>
      </c>
      <c r="W23" s="47"/>
    </row>
    <row r="24" spans="1:23">
      <c r="A24" s="49">
        <v>23</v>
      </c>
      <c r="B24" s="159">
        <f>AgeStanSec!B24/86400</f>
        <v>2.9282407407407408E-3</v>
      </c>
      <c r="C24" s="156">
        <f>AgeStanSec!C24/86400</f>
        <v>9.8726851851851857E-3</v>
      </c>
      <c r="D24" s="107">
        <f>AgeStanSec!D24/86400</f>
        <v>1.1875E-2</v>
      </c>
      <c r="E24" s="107">
        <f>AgeStanSec!E24/86400</f>
        <v>1.2766203703703703E-2</v>
      </c>
      <c r="F24" s="107">
        <f>AgeStanSec!F24/86400</f>
        <v>1.5914351851851853E-2</v>
      </c>
      <c r="G24" s="107">
        <f>AgeStanSec!G24/86400</f>
        <v>1.6030092592592592E-2</v>
      </c>
      <c r="H24" s="107">
        <f>AgeStanSec!H24/86400</f>
        <v>1.9976851851851853E-2</v>
      </c>
      <c r="I24" s="107">
        <f>AgeStanSec!I24/86400</f>
        <v>2.4120370370370372E-2</v>
      </c>
      <c r="J24" s="107">
        <f>AgeStanSec!J24/86400</f>
        <v>3.0428240740740742E-2</v>
      </c>
      <c r="K24" s="107">
        <f>AgeStanSec!K24/86400</f>
        <v>3.2777777777777781E-2</v>
      </c>
      <c r="L24" s="107">
        <f>AgeStanSec!L24/86400</f>
        <v>4.1319444444444443E-2</v>
      </c>
      <c r="M24" s="107">
        <f>AgeStanSec!M24/86400</f>
        <v>4.3657407407407409E-2</v>
      </c>
      <c r="N24" s="107">
        <f>AgeStanSec!N24/86400</f>
        <v>5.2222222222222225E-2</v>
      </c>
      <c r="O24" s="107">
        <f>AgeStanSec!O24/86400</f>
        <v>6.3437499999999994E-2</v>
      </c>
      <c r="P24" s="107">
        <f>AgeStanSec!P24/86400</f>
        <v>9.1249999999999998E-2</v>
      </c>
      <c r="Q24" s="107">
        <f>AgeStanSec!Q24/86400</f>
        <v>0.10990740740740741</v>
      </c>
      <c r="R24" s="107">
        <f>AgeStanSec!R24/86400</f>
        <v>0.20016203703703703</v>
      </c>
      <c r="S24" s="107">
        <f>AgeStanSec!S24/86400</f>
        <v>0.27613425925925927</v>
      </c>
      <c r="T24" s="107">
        <f>AgeStanSec!T24/86400</f>
        <v>0.46469907407407407</v>
      </c>
      <c r="U24" s="107">
        <f>AgeStanSec!U24/86400</f>
        <v>0.5091782407407407</v>
      </c>
      <c r="V24" s="107">
        <f>AgeStanSec!V24/86400</f>
        <v>0.67421296296296296</v>
      </c>
      <c r="W24" s="47"/>
    </row>
    <row r="25" spans="1:23">
      <c r="A25" s="49">
        <v>24</v>
      </c>
      <c r="B25" s="159">
        <f>AgeStanSec!B25/86400</f>
        <v>2.9282407407407408E-3</v>
      </c>
      <c r="C25" s="156">
        <f>AgeStanSec!C25/86400</f>
        <v>9.8726851851851857E-3</v>
      </c>
      <c r="D25" s="107">
        <f>AgeStanSec!D25/86400</f>
        <v>1.1875E-2</v>
      </c>
      <c r="E25" s="107">
        <f>AgeStanSec!E25/86400</f>
        <v>1.2766203703703703E-2</v>
      </c>
      <c r="F25" s="107">
        <f>AgeStanSec!F25/86400</f>
        <v>1.5914351851851853E-2</v>
      </c>
      <c r="G25" s="107">
        <f>AgeStanSec!G25/86400</f>
        <v>1.6030092592592592E-2</v>
      </c>
      <c r="H25" s="107">
        <f>AgeStanSec!H25/86400</f>
        <v>1.9976851851851853E-2</v>
      </c>
      <c r="I25" s="107">
        <f>AgeStanSec!I25/86400</f>
        <v>2.4120370370370372E-2</v>
      </c>
      <c r="J25" s="107">
        <f>AgeStanSec!J25/86400</f>
        <v>3.0428240740740742E-2</v>
      </c>
      <c r="K25" s="107">
        <f>AgeStanSec!K25/86400</f>
        <v>3.2777777777777781E-2</v>
      </c>
      <c r="L25" s="107">
        <f>AgeStanSec!L25/86400</f>
        <v>4.1319444444444443E-2</v>
      </c>
      <c r="M25" s="107">
        <f>AgeStanSec!M25/86400</f>
        <v>4.3657407407407409E-2</v>
      </c>
      <c r="N25" s="107">
        <f>AgeStanSec!N25/86400</f>
        <v>5.2141203703703703E-2</v>
      </c>
      <c r="O25" s="107">
        <f>AgeStanSec!O25/86400</f>
        <v>6.3240740740740736E-2</v>
      </c>
      <c r="P25" s="107">
        <f>AgeStanSec!P25/86400</f>
        <v>9.0682870370370372E-2</v>
      </c>
      <c r="Q25" s="107">
        <f>AgeStanSec!Q25/86400</f>
        <v>0.10922453703703704</v>
      </c>
      <c r="R25" s="107">
        <f>AgeStanSec!R25/86400</f>
        <v>0.19891203703703703</v>
      </c>
      <c r="S25" s="107">
        <f>AgeStanSec!S25/86400</f>
        <v>0.2744212962962963</v>
      </c>
      <c r="T25" s="107">
        <f>AgeStanSec!T25/86400</f>
        <v>0.46179398148148149</v>
      </c>
      <c r="U25" s="107">
        <f>AgeStanSec!U25/86400</f>
        <v>0.5060069444444445</v>
      </c>
      <c r="V25" s="107">
        <f>AgeStanSec!V25/86400</f>
        <v>0.67001157407407408</v>
      </c>
      <c r="W25" s="47"/>
    </row>
    <row r="26" spans="1:23">
      <c r="A26" s="57">
        <v>25</v>
      </c>
      <c r="B26" s="160">
        <f>AgeStanSec!B26/86400</f>
        <v>2.9282407407407408E-3</v>
      </c>
      <c r="C26" s="157">
        <f>AgeStanSec!C26/86400</f>
        <v>9.8726851851851857E-3</v>
      </c>
      <c r="D26" s="108">
        <f>AgeStanSec!D26/86400</f>
        <v>1.1875E-2</v>
      </c>
      <c r="E26" s="108">
        <f>AgeStanSec!E26/86400</f>
        <v>1.2766203703703703E-2</v>
      </c>
      <c r="F26" s="108">
        <f>AgeStanSec!F26/86400</f>
        <v>1.5914351851851853E-2</v>
      </c>
      <c r="G26" s="108">
        <f>AgeStanSec!G26/86400</f>
        <v>1.6030092592592592E-2</v>
      </c>
      <c r="H26" s="108">
        <f>AgeStanSec!H26/86400</f>
        <v>1.9976851851851853E-2</v>
      </c>
      <c r="I26" s="108">
        <f>AgeStanSec!I26/86400</f>
        <v>2.4120370370370372E-2</v>
      </c>
      <c r="J26" s="108">
        <f>AgeStanSec!J26/86400</f>
        <v>3.0428240740740742E-2</v>
      </c>
      <c r="K26" s="108">
        <f>AgeStanSec!K26/86400</f>
        <v>3.2777777777777781E-2</v>
      </c>
      <c r="L26" s="108">
        <f>AgeStanSec!L26/86400</f>
        <v>4.1319444444444443E-2</v>
      </c>
      <c r="M26" s="108">
        <f>AgeStanSec!M26/86400</f>
        <v>4.3657407407407409E-2</v>
      </c>
      <c r="N26" s="108">
        <f>AgeStanSec!N26/86400</f>
        <v>5.2094907407407409E-2</v>
      </c>
      <c r="O26" s="108">
        <f>AgeStanSec!O26/86400</f>
        <v>6.311342592592592E-2</v>
      </c>
      <c r="P26" s="108">
        <f>AgeStanSec!P26/86400</f>
        <v>9.0335648148148151E-2</v>
      </c>
      <c r="Q26" s="108">
        <f>AgeStanSec!Q26/86400</f>
        <v>0.10880787037037037</v>
      </c>
      <c r="R26" s="108">
        <f>AgeStanSec!R26/86400</f>
        <v>0.19815972222222222</v>
      </c>
      <c r="S26" s="108">
        <f>AgeStanSec!S26/86400</f>
        <v>0.27336805555555554</v>
      </c>
      <c r="T26" s="108">
        <f>AgeStanSec!T26/86400</f>
        <v>0.46004629629629629</v>
      </c>
      <c r="U26" s="108">
        <f>AgeStanSec!U26/86400</f>
        <v>0.50407407407407412</v>
      </c>
      <c r="V26" s="108">
        <f>AgeStanSec!V26/86400</f>
        <v>0.66746527777777775</v>
      </c>
      <c r="W26" s="47"/>
    </row>
    <row r="27" spans="1:23">
      <c r="A27" s="49">
        <v>26</v>
      </c>
      <c r="B27" s="159">
        <f>AgeStanSec!B27/86400</f>
        <v>2.9282407407407408E-3</v>
      </c>
      <c r="C27" s="156">
        <f>AgeStanSec!C27/86400</f>
        <v>9.8726851851851857E-3</v>
      </c>
      <c r="D27" s="107">
        <f>AgeStanSec!D27/86400</f>
        <v>1.1875E-2</v>
      </c>
      <c r="E27" s="107">
        <f>AgeStanSec!E27/86400</f>
        <v>1.2766203703703703E-2</v>
      </c>
      <c r="F27" s="107">
        <f>AgeStanSec!F27/86400</f>
        <v>1.5914351851851853E-2</v>
      </c>
      <c r="G27" s="107">
        <f>AgeStanSec!G27/86400</f>
        <v>1.6030092592592592E-2</v>
      </c>
      <c r="H27" s="107">
        <f>AgeStanSec!H27/86400</f>
        <v>1.9976851851851853E-2</v>
      </c>
      <c r="I27" s="107">
        <f>AgeStanSec!I27/86400</f>
        <v>2.4120370370370372E-2</v>
      </c>
      <c r="J27" s="107">
        <f>AgeStanSec!J27/86400</f>
        <v>3.0428240740740742E-2</v>
      </c>
      <c r="K27" s="107">
        <f>AgeStanSec!K27/86400</f>
        <v>3.2777777777777781E-2</v>
      </c>
      <c r="L27" s="107">
        <f>AgeStanSec!L27/86400</f>
        <v>4.1319444444444443E-2</v>
      </c>
      <c r="M27" s="107">
        <f>AgeStanSec!M27/86400</f>
        <v>4.3657407407407409E-2</v>
      </c>
      <c r="N27" s="107">
        <f>AgeStanSec!N27/86400</f>
        <v>5.2083333333333336E-2</v>
      </c>
      <c r="O27" s="107">
        <f>AgeStanSec!O27/86400</f>
        <v>6.3078703703703706E-2</v>
      </c>
      <c r="P27" s="107">
        <f>AgeStanSec!P27/86400</f>
        <v>9.0231481481481482E-2</v>
      </c>
      <c r="Q27" s="107">
        <f>AgeStanSec!Q27/86400</f>
        <v>0.10868055555555556</v>
      </c>
      <c r="R27" s="107">
        <f>AgeStanSec!R27/86400</f>
        <v>0.19791666666666666</v>
      </c>
      <c r="S27" s="107">
        <f>AgeStanSec!S27/86400</f>
        <v>0.27304398148148146</v>
      </c>
      <c r="T27" s="107">
        <f>AgeStanSec!T27/86400</f>
        <v>0.45949074074074076</v>
      </c>
      <c r="U27" s="107">
        <f>AgeStanSec!U27/86400</f>
        <v>0.50347222222222221</v>
      </c>
      <c r="V27" s="107">
        <f>AgeStanSec!V27/86400</f>
        <v>0.66666666666666663</v>
      </c>
      <c r="W27" s="47"/>
    </row>
    <row r="28" spans="1:23">
      <c r="A28" s="49">
        <v>27</v>
      </c>
      <c r="B28" s="159">
        <f>AgeStanSec!B28/86400</f>
        <v>2.9282407407407408E-3</v>
      </c>
      <c r="C28" s="156">
        <f>AgeStanSec!C28/86400</f>
        <v>9.8726851851851857E-3</v>
      </c>
      <c r="D28" s="107">
        <f>AgeStanSec!D28/86400</f>
        <v>1.1875E-2</v>
      </c>
      <c r="E28" s="107">
        <f>AgeStanSec!E28/86400</f>
        <v>1.2777777777777779E-2</v>
      </c>
      <c r="F28" s="107">
        <f>AgeStanSec!F28/86400</f>
        <v>1.5925925925925927E-2</v>
      </c>
      <c r="G28" s="107">
        <f>AgeStanSec!G28/86400</f>
        <v>1.6041666666666666E-2</v>
      </c>
      <c r="H28" s="107">
        <f>AgeStanSec!H28/86400</f>
        <v>0.02</v>
      </c>
      <c r="I28" s="107">
        <f>AgeStanSec!I28/86400</f>
        <v>2.4143518518518519E-2</v>
      </c>
      <c r="J28" s="107">
        <f>AgeStanSec!J28/86400</f>
        <v>3.0451388888888889E-2</v>
      </c>
      <c r="K28" s="107">
        <f>AgeStanSec!K28/86400</f>
        <v>3.2789351851851854E-2</v>
      </c>
      <c r="L28" s="107">
        <f>AgeStanSec!L28/86400</f>
        <v>4.1319444444444443E-2</v>
      </c>
      <c r="M28" s="107">
        <f>AgeStanSec!M28/86400</f>
        <v>4.3657407407407409E-2</v>
      </c>
      <c r="N28" s="107">
        <f>AgeStanSec!N28/86400</f>
        <v>5.2083333333333336E-2</v>
      </c>
      <c r="O28" s="107">
        <f>AgeStanSec!O28/86400</f>
        <v>6.3078703703703706E-2</v>
      </c>
      <c r="P28" s="107">
        <f>AgeStanSec!P28/86400</f>
        <v>9.0231481481481482E-2</v>
      </c>
      <c r="Q28" s="107">
        <f>AgeStanSec!Q28/86400</f>
        <v>0.10868055555555556</v>
      </c>
      <c r="R28" s="107">
        <f>AgeStanSec!R28/86400</f>
        <v>0.19791666666666666</v>
      </c>
      <c r="S28" s="107">
        <f>AgeStanSec!S28/86400</f>
        <v>0.27304398148148146</v>
      </c>
      <c r="T28" s="107">
        <f>AgeStanSec!T28/86400</f>
        <v>0.45949074074074076</v>
      </c>
      <c r="U28" s="107">
        <f>AgeStanSec!U28/86400</f>
        <v>0.50347222222222221</v>
      </c>
      <c r="V28" s="107">
        <f>AgeStanSec!V28/86400</f>
        <v>0.66666666666666663</v>
      </c>
      <c r="W28" s="47"/>
    </row>
    <row r="29" spans="1:23">
      <c r="A29" s="49">
        <v>28</v>
      </c>
      <c r="B29" s="159">
        <f>AgeStanSec!B29/86400</f>
        <v>2.9282407407407408E-3</v>
      </c>
      <c r="C29" s="156">
        <f>AgeStanSec!C29/86400</f>
        <v>9.8726851851851857E-3</v>
      </c>
      <c r="D29" s="107">
        <f>AgeStanSec!D29/86400</f>
        <v>1.1886574074074074E-2</v>
      </c>
      <c r="E29" s="107">
        <f>AgeStanSec!E29/86400</f>
        <v>1.2777777777777779E-2</v>
      </c>
      <c r="F29" s="107">
        <f>AgeStanSec!F29/86400</f>
        <v>1.59375E-2</v>
      </c>
      <c r="G29" s="107">
        <f>AgeStanSec!G29/86400</f>
        <v>1.6053240740740739E-2</v>
      </c>
      <c r="H29" s="107">
        <f>AgeStanSec!H29/86400</f>
        <v>2.0023148148148148E-2</v>
      </c>
      <c r="I29" s="107">
        <f>AgeStanSec!I29/86400</f>
        <v>2.4166666666666666E-2</v>
      </c>
      <c r="J29" s="107">
        <f>AgeStanSec!J29/86400</f>
        <v>3.0462962962962963E-2</v>
      </c>
      <c r="K29" s="107">
        <f>AgeStanSec!K29/86400</f>
        <v>3.2812500000000001E-2</v>
      </c>
      <c r="L29" s="107">
        <f>AgeStanSec!L29/86400</f>
        <v>4.1331018518518517E-2</v>
      </c>
      <c r="M29" s="107">
        <f>AgeStanSec!M29/86400</f>
        <v>4.3668981481481482E-2</v>
      </c>
      <c r="N29" s="107">
        <f>AgeStanSec!N29/86400</f>
        <v>5.2094907407407409E-2</v>
      </c>
      <c r="O29" s="107">
        <f>AgeStanSec!O29/86400</f>
        <v>6.311342592592592E-2</v>
      </c>
      <c r="P29" s="107">
        <f>AgeStanSec!P29/86400</f>
        <v>9.0300925925925923E-2</v>
      </c>
      <c r="Q29" s="107">
        <f>AgeStanSec!Q29/86400</f>
        <v>0.10877314814814815</v>
      </c>
      <c r="R29" s="107">
        <f>AgeStanSec!R29/86400</f>
        <v>0.1980787037037037</v>
      </c>
      <c r="S29" s="107">
        <f>AgeStanSec!S29/86400</f>
        <v>0.27326388888888886</v>
      </c>
      <c r="T29" s="107">
        <f>AgeStanSec!T29/86400</f>
        <v>0.45986111111111111</v>
      </c>
      <c r="U29" s="107">
        <f>AgeStanSec!U29/86400</f>
        <v>0.50387731481481479</v>
      </c>
      <c r="V29" s="107">
        <f>AgeStanSec!V29/86400</f>
        <v>0.66719907407407408</v>
      </c>
      <c r="W29" s="47"/>
    </row>
    <row r="30" spans="1:23">
      <c r="A30" s="49">
        <v>29</v>
      </c>
      <c r="B30" s="159">
        <f>AgeStanSec!B30/86400</f>
        <v>2.9282407407407408E-3</v>
      </c>
      <c r="C30" s="156">
        <f>AgeStanSec!C30/86400</f>
        <v>9.8726851851851857E-3</v>
      </c>
      <c r="D30" s="107">
        <f>AgeStanSec!D30/86400</f>
        <v>1.1886574074074074E-2</v>
      </c>
      <c r="E30" s="107">
        <f>AgeStanSec!E30/86400</f>
        <v>1.2789351851851852E-2</v>
      </c>
      <c r="F30" s="107">
        <f>AgeStanSec!F30/86400</f>
        <v>1.5960648148148147E-2</v>
      </c>
      <c r="G30" s="107">
        <f>AgeStanSec!G30/86400</f>
        <v>1.607638888888889E-2</v>
      </c>
      <c r="H30" s="107">
        <f>AgeStanSec!H30/86400</f>
        <v>2.0057870370370372E-2</v>
      </c>
      <c r="I30" s="107">
        <f>AgeStanSec!I30/86400</f>
        <v>2.420138888888889E-2</v>
      </c>
      <c r="J30" s="107">
        <f>AgeStanSec!J30/86400</f>
        <v>3.0497685185185187E-2</v>
      </c>
      <c r="K30" s="107">
        <f>AgeStanSec!K30/86400</f>
        <v>3.2847222222222222E-2</v>
      </c>
      <c r="L30" s="107">
        <f>AgeStanSec!L30/86400</f>
        <v>4.1365740740740738E-2</v>
      </c>
      <c r="M30" s="107">
        <f>AgeStanSec!M30/86400</f>
        <v>4.3692129629629629E-2</v>
      </c>
      <c r="N30" s="107">
        <f>AgeStanSec!N30/86400</f>
        <v>5.2141203703703703E-2</v>
      </c>
      <c r="O30" s="107">
        <f>AgeStanSec!O30/86400</f>
        <v>6.3159722222222228E-2</v>
      </c>
      <c r="P30" s="107">
        <f>AgeStanSec!P30/86400</f>
        <v>9.0381944444444445E-2</v>
      </c>
      <c r="Q30" s="107">
        <f>AgeStanSec!Q30/86400</f>
        <v>0.10886574074074074</v>
      </c>
      <c r="R30" s="107">
        <f>AgeStanSec!R30/86400</f>
        <v>0.19825231481481481</v>
      </c>
      <c r="S30" s="107">
        <f>AgeStanSec!S30/86400</f>
        <v>0.27350694444444446</v>
      </c>
      <c r="T30" s="107">
        <f>AgeStanSec!T30/86400</f>
        <v>0.46027777777777779</v>
      </c>
      <c r="U30" s="107">
        <f>AgeStanSec!U30/86400</f>
        <v>0.50432870370370375</v>
      </c>
      <c r="V30" s="107">
        <f>AgeStanSec!V30/86400</f>
        <v>0.66780092592592588</v>
      </c>
      <c r="W30" s="47"/>
    </row>
    <row r="31" spans="1:23">
      <c r="A31" s="57">
        <v>30</v>
      </c>
      <c r="B31" s="160">
        <f>AgeStanSec!B31/86400</f>
        <v>2.9282407407407408E-3</v>
      </c>
      <c r="C31" s="157">
        <f>AgeStanSec!C31/86400</f>
        <v>9.8726851851851857E-3</v>
      </c>
      <c r="D31" s="108">
        <f>AgeStanSec!D31/86400</f>
        <v>1.1898148148148149E-2</v>
      </c>
      <c r="E31" s="108">
        <f>AgeStanSec!E31/86400</f>
        <v>1.2789351851851852E-2</v>
      </c>
      <c r="F31" s="108">
        <f>AgeStanSec!F31/86400</f>
        <v>1.5972222222222221E-2</v>
      </c>
      <c r="G31" s="108">
        <f>AgeStanSec!G31/86400</f>
        <v>1.6099537037037037E-2</v>
      </c>
      <c r="H31" s="108">
        <f>AgeStanSec!H31/86400</f>
        <v>2.0092592592592592E-2</v>
      </c>
      <c r="I31" s="108">
        <f>AgeStanSec!I31/86400</f>
        <v>2.4236111111111111E-2</v>
      </c>
      <c r="J31" s="108">
        <f>AgeStanSec!J31/86400</f>
        <v>3.0543981481481481E-2</v>
      </c>
      <c r="K31" s="108">
        <f>AgeStanSec!K31/86400</f>
        <v>3.2893518518518516E-2</v>
      </c>
      <c r="L31" s="108">
        <f>AgeStanSec!L31/86400</f>
        <v>4.1423611111111112E-2</v>
      </c>
      <c r="M31" s="108">
        <f>AgeStanSec!M31/86400</f>
        <v>4.3749999999999997E-2</v>
      </c>
      <c r="N31" s="108">
        <f>AgeStanSec!N31/86400</f>
        <v>5.2199074074074071E-2</v>
      </c>
      <c r="O31" s="108">
        <f>AgeStanSec!O31/86400</f>
        <v>6.3240740740740736E-2</v>
      </c>
      <c r="P31" s="108">
        <f>AgeStanSec!P31/86400</f>
        <v>9.0497685185185181E-2</v>
      </c>
      <c r="Q31" s="108">
        <f>AgeStanSec!Q31/86400</f>
        <v>0.10900462962962963</v>
      </c>
      <c r="R31" s="108">
        <f>AgeStanSec!R31/86400</f>
        <v>0.19850694444444444</v>
      </c>
      <c r="S31" s="108">
        <f>AgeStanSec!S31/86400</f>
        <v>0.27386574074074072</v>
      </c>
      <c r="T31" s="108">
        <f>AgeStanSec!T31/86400</f>
        <v>0.46086805555555554</v>
      </c>
      <c r="U31" s="108">
        <f>AgeStanSec!U31/86400</f>
        <v>0.50498842592592597</v>
      </c>
      <c r="V31" s="108">
        <f>AgeStanSec!V31/86400</f>
        <v>0.66866898148148146</v>
      </c>
      <c r="W31" s="47"/>
    </row>
    <row r="32" spans="1:23">
      <c r="A32" s="49">
        <v>31</v>
      </c>
      <c r="B32" s="159">
        <f>AgeStanSec!B32/86400</f>
        <v>2.9282407407407408E-3</v>
      </c>
      <c r="C32" s="156">
        <f>AgeStanSec!C32/86400</f>
        <v>9.8726851851851857E-3</v>
      </c>
      <c r="D32" s="107">
        <f>AgeStanSec!D32/86400</f>
        <v>1.1898148148148149E-2</v>
      </c>
      <c r="E32" s="107">
        <f>AgeStanSec!E32/86400</f>
        <v>1.2800925925925926E-2</v>
      </c>
      <c r="F32" s="107">
        <f>AgeStanSec!F32/86400</f>
        <v>1.5995370370370372E-2</v>
      </c>
      <c r="G32" s="107">
        <f>AgeStanSec!G32/86400</f>
        <v>1.6122685185185184E-2</v>
      </c>
      <c r="H32" s="107">
        <f>AgeStanSec!H32/86400</f>
        <v>2.013888888888889E-2</v>
      </c>
      <c r="I32" s="107">
        <f>AgeStanSec!I32/86400</f>
        <v>2.4282407407407409E-2</v>
      </c>
      <c r="J32" s="107">
        <f>AgeStanSec!J32/86400</f>
        <v>3.0601851851851852E-2</v>
      </c>
      <c r="K32" s="107">
        <f>AgeStanSec!K32/86400</f>
        <v>3.2951388888888891E-2</v>
      </c>
      <c r="L32" s="107">
        <f>AgeStanSec!L32/86400</f>
        <v>4.1493055555555554E-2</v>
      </c>
      <c r="M32" s="107">
        <f>AgeStanSec!M32/86400</f>
        <v>4.3819444444444446E-2</v>
      </c>
      <c r="N32" s="107">
        <f>AgeStanSec!N32/86400</f>
        <v>5.2291666666666667E-2</v>
      </c>
      <c r="O32" s="107">
        <f>AgeStanSec!O32/86400</f>
        <v>6.3356481481481486E-2</v>
      </c>
      <c r="P32" s="107">
        <f>AgeStanSec!P32/86400</f>
        <v>9.0659722222222225E-2</v>
      </c>
      <c r="Q32" s="107">
        <f>AgeStanSec!Q32/86400</f>
        <v>0.10918981481481481</v>
      </c>
      <c r="R32" s="107">
        <f>AgeStanSec!R32/86400</f>
        <v>0.19885416666666667</v>
      </c>
      <c r="S32" s="107">
        <f>AgeStanSec!S32/86400</f>
        <v>0.27432870370370371</v>
      </c>
      <c r="T32" s="107">
        <f>AgeStanSec!T32/86400</f>
        <v>0.46165509259259258</v>
      </c>
      <c r="U32" s="107">
        <f>AgeStanSec!U32/86400</f>
        <v>0.5058449074074074</v>
      </c>
      <c r="V32" s="107">
        <f>AgeStanSec!V32/86400</f>
        <v>0.66981481481481486</v>
      </c>
      <c r="W32" s="47"/>
    </row>
    <row r="33" spans="1:23">
      <c r="A33" s="49">
        <v>32</v>
      </c>
      <c r="B33" s="159">
        <f>AgeStanSec!B33/86400</f>
        <v>2.9282407407407408E-3</v>
      </c>
      <c r="C33" s="156">
        <f>AgeStanSec!C33/86400</f>
        <v>9.8842592592592593E-3</v>
      </c>
      <c r="D33" s="107">
        <f>AgeStanSec!D33/86400</f>
        <v>1.1921296296296296E-2</v>
      </c>
      <c r="E33" s="107">
        <f>AgeStanSec!E33/86400</f>
        <v>1.2824074074074075E-2</v>
      </c>
      <c r="F33" s="107">
        <f>AgeStanSec!F33/86400</f>
        <v>1.6030092592592592E-2</v>
      </c>
      <c r="G33" s="107">
        <f>AgeStanSec!G33/86400</f>
        <v>1.6145833333333335E-2</v>
      </c>
      <c r="H33" s="107">
        <f>AgeStanSec!H33/86400</f>
        <v>2.0185185185185184E-2</v>
      </c>
      <c r="I33" s="107">
        <f>AgeStanSec!I33/86400</f>
        <v>2.4340277777777777E-2</v>
      </c>
      <c r="J33" s="107">
        <f>AgeStanSec!J33/86400</f>
        <v>3.0671296296296297E-2</v>
      </c>
      <c r="K33" s="107">
        <f>AgeStanSec!K33/86400</f>
        <v>3.3020833333333333E-2</v>
      </c>
      <c r="L33" s="107">
        <f>AgeStanSec!L33/86400</f>
        <v>4.1574074074074076E-2</v>
      </c>
      <c r="M33" s="107">
        <f>AgeStanSec!M33/86400</f>
        <v>4.3912037037037034E-2</v>
      </c>
      <c r="N33" s="107">
        <f>AgeStanSec!N33/86400</f>
        <v>5.2407407407407409E-2</v>
      </c>
      <c r="O33" s="107">
        <f>AgeStanSec!O33/86400</f>
        <v>6.3483796296296302E-2</v>
      </c>
      <c r="P33" s="107">
        <f>AgeStanSec!P33/86400</f>
        <v>9.0844907407407402E-2</v>
      </c>
      <c r="Q33" s="107">
        <f>AgeStanSec!Q33/86400</f>
        <v>0.10942129629629629</v>
      </c>
      <c r="R33" s="107">
        <f>AgeStanSec!R33/86400</f>
        <v>0.19927083333333334</v>
      </c>
      <c r="S33" s="107">
        <f>AgeStanSec!S33/86400</f>
        <v>0.27491898148148147</v>
      </c>
      <c r="T33" s="107">
        <f>AgeStanSec!T33/86400</f>
        <v>0.46263888888888888</v>
      </c>
      <c r="U33" s="107">
        <f>AgeStanSec!U33/86400</f>
        <v>0.50692129629629634</v>
      </c>
      <c r="V33" s="107">
        <f>AgeStanSec!V33/86400</f>
        <v>0.67122685185185182</v>
      </c>
      <c r="W33" s="47"/>
    </row>
    <row r="34" spans="1:23">
      <c r="A34" s="49">
        <v>33</v>
      </c>
      <c r="B34" s="159">
        <f>AgeStanSec!B34/86400</f>
        <v>2.9282407407407408E-3</v>
      </c>
      <c r="C34" s="156">
        <f>AgeStanSec!C34/86400</f>
        <v>9.9074074074074082E-3</v>
      </c>
      <c r="D34" s="107">
        <f>AgeStanSec!D34/86400</f>
        <v>1.1944444444444445E-2</v>
      </c>
      <c r="E34" s="107">
        <f>AgeStanSec!E34/86400</f>
        <v>1.2858796296296297E-2</v>
      </c>
      <c r="F34" s="107">
        <f>AgeStanSec!F34/86400</f>
        <v>1.607638888888889E-2</v>
      </c>
      <c r="G34" s="107">
        <f>AgeStanSec!G34/86400</f>
        <v>1.6192129629629629E-2</v>
      </c>
      <c r="H34" s="107">
        <f>AgeStanSec!H34/86400</f>
        <v>2.0243055555555556E-2</v>
      </c>
      <c r="I34" s="107">
        <f>AgeStanSec!I34/86400</f>
        <v>2.4409722222222222E-2</v>
      </c>
      <c r="J34" s="107">
        <f>AgeStanSec!J34/86400</f>
        <v>3.0752314814814816E-2</v>
      </c>
      <c r="K34" s="107">
        <f>AgeStanSec!K34/86400</f>
        <v>3.3113425925925928E-2</v>
      </c>
      <c r="L34" s="107">
        <f>AgeStanSec!L34/86400</f>
        <v>4.1689814814814811E-2</v>
      </c>
      <c r="M34" s="107">
        <f>AgeStanSec!M34/86400</f>
        <v>4.4027777777777777E-2</v>
      </c>
      <c r="N34" s="107">
        <f>AgeStanSec!N34/86400</f>
        <v>5.2534722222222219E-2</v>
      </c>
      <c r="O34" s="107">
        <f>AgeStanSec!O34/86400</f>
        <v>6.3645833333333332E-2</v>
      </c>
      <c r="P34" s="107">
        <f>AgeStanSec!P34/86400</f>
        <v>9.1076388888888887E-2</v>
      </c>
      <c r="Q34" s="107">
        <f>AgeStanSec!Q34/86400</f>
        <v>0.10969907407407407</v>
      </c>
      <c r="R34" s="107">
        <f>AgeStanSec!R34/86400</f>
        <v>0.19978009259259261</v>
      </c>
      <c r="S34" s="107">
        <f>AgeStanSec!S34/86400</f>
        <v>0.27560185185185188</v>
      </c>
      <c r="T34" s="107">
        <f>AgeStanSec!T34/86400</f>
        <v>0.46380787037037036</v>
      </c>
      <c r="U34" s="107">
        <f>AgeStanSec!U34/86400</f>
        <v>0.50819444444444439</v>
      </c>
      <c r="V34" s="107">
        <f>AgeStanSec!V34/86400</f>
        <v>0.67292824074074076</v>
      </c>
      <c r="W34" s="47"/>
    </row>
    <row r="35" spans="1:23">
      <c r="A35" s="49">
        <v>34</v>
      </c>
      <c r="B35" s="159">
        <f>AgeStanSec!B35/86400</f>
        <v>2.9282407407407408E-3</v>
      </c>
      <c r="C35" s="156">
        <f>AgeStanSec!C35/86400</f>
        <v>9.9305555555555553E-3</v>
      </c>
      <c r="D35" s="107">
        <f>AgeStanSec!D35/86400</f>
        <v>1.1979166666666667E-2</v>
      </c>
      <c r="E35" s="107">
        <f>AgeStanSec!E35/86400</f>
        <v>1.2893518518518518E-2</v>
      </c>
      <c r="F35" s="107">
        <f>AgeStanSec!F35/86400</f>
        <v>1.6122685185185184E-2</v>
      </c>
      <c r="G35" s="107">
        <f>AgeStanSec!G35/86400</f>
        <v>1.6238425925925927E-2</v>
      </c>
      <c r="H35" s="107">
        <f>AgeStanSec!H35/86400</f>
        <v>2.0300925925925927E-2</v>
      </c>
      <c r="I35" s="107">
        <f>AgeStanSec!I35/86400</f>
        <v>2.449074074074074E-2</v>
      </c>
      <c r="J35" s="107">
        <f>AgeStanSec!J35/86400</f>
        <v>3.0844907407407408E-2</v>
      </c>
      <c r="K35" s="107">
        <f>AgeStanSec!K35/86400</f>
        <v>3.321759259259259E-2</v>
      </c>
      <c r="L35" s="107">
        <f>AgeStanSec!L35/86400</f>
        <v>4.1817129629629628E-2</v>
      </c>
      <c r="M35" s="107">
        <f>AgeStanSec!M35/86400</f>
        <v>4.4166666666666667E-2</v>
      </c>
      <c r="N35" s="107">
        <f>AgeStanSec!N35/86400</f>
        <v>5.2696759259259263E-2</v>
      </c>
      <c r="O35" s="107">
        <f>AgeStanSec!O35/86400</f>
        <v>6.384259259259259E-2</v>
      </c>
      <c r="P35" s="107">
        <f>AgeStanSec!P35/86400</f>
        <v>9.133101851851852E-2</v>
      </c>
      <c r="Q35" s="107">
        <f>AgeStanSec!Q35/86400</f>
        <v>0.11001157407407407</v>
      </c>
      <c r="R35" s="107">
        <f>AgeStanSec!R35/86400</f>
        <v>0.20033564814814814</v>
      </c>
      <c r="S35" s="107">
        <f>AgeStanSec!S35/86400</f>
        <v>0.27638888888888891</v>
      </c>
      <c r="T35" s="107">
        <f>AgeStanSec!T35/86400</f>
        <v>0.46511574074074075</v>
      </c>
      <c r="U35" s="107">
        <f>AgeStanSec!U35/86400</f>
        <v>0.50964120370370369</v>
      </c>
      <c r="V35" s="107">
        <f>AgeStanSec!V35/86400</f>
        <v>0.67482638888888891</v>
      </c>
      <c r="W35" s="47"/>
    </row>
    <row r="36" spans="1:23">
      <c r="A36" s="57">
        <v>35</v>
      </c>
      <c r="B36" s="160">
        <f>AgeStanSec!B36/86400</f>
        <v>2.9513888888888888E-3</v>
      </c>
      <c r="C36" s="157">
        <f>AgeStanSec!C36/86400</f>
        <v>9.9652777777777778E-3</v>
      </c>
      <c r="D36" s="108">
        <f>AgeStanSec!D36/86400</f>
        <v>1.2013888888888888E-2</v>
      </c>
      <c r="E36" s="108">
        <f>AgeStanSec!E36/86400</f>
        <v>1.292824074074074E-2</v>
      </c>
      <c r="F36" s="108">
        <f>AgeStanSec!F36/86400</f>
        <v>1.6168981481481482E-2</v>
      </c>
      <c r="G36" s="108">
        <f>AgeStanSec!G36/86400</f>
        <v>1.6296296296296295E-2</v>
      </c>
      <c r="H36" s="108">
        <f>AgeStanSec!H36/86400</f>
        <v>2.0370370370370372E-2</v>
      </c>
      <c r="I36" s="108">
        <f>AgeStanSec!I36/86400</f>
        <v>2.4571759259259258E-2</v>
      </c>
      <c r="J36" s="108">
        <f>AgeStanSec!J36/86400</f>
        <v>3.0960648148148147E-2</v>
      </c>
      <c r="K36" s="108">
        <f>AgeStanSec!K36/86400</f>
        <v>3.3333333333333333E-2</v>
      </c>
      <c r="L36" s="108">
        <f>AgeStanSec!L36/86400</f>
        <v>4.1967592592592591E-2</v>
      </c>
      <c r="M36" s="108">
        <f>AgeStanSec!M36/86400</f>
        <v>4.4328703703703703E-2</v>
      </c>
      <c r="N36" s="108">
        <f>AgeStanSec!N36/86400</f>
        <v>5.2881944444444447E-2</v>
      </c>
      <c r="O36" s="108">
        <f>AgeStanSec!O36/86400</f>
        <v>6.4062499999999994E-2</v>
      </c>
      <c r="P36" s="108">
        <f>AgeStanSec!P36/86400</f>
        <v>9.1643518518518513E-2</v>
      </c>
      <c r="Q36" s="108">
        <f>AgeStanSec!Q36/86400</f>
        <v>0.11038194444444445</v>
      </c>
      <c r="R36" s="108">
        <f>AgeStanSec!R36/86400</f>
        <v>0.20100694444444445</v>
      </c>
      <c r="S36" s="108">
        <f>AgeStanSec!S36/86400</f>
        <v>0.27731481481481479</v>
      </c>
      <c r="T36" s="108">
        <f>AgeStanSec!T36/86400</f>
        <v>0.46667824074074077</v>
      </c>
      <c r="U36" s="108">
        <f>AgeStanSec!U36/86400</f>
        <v>0.51134259259259263</v>
      </c>
      <c r="V36" s="108">
        <f>AgeStanSec!V36/86400</f>
        <v>0.67709490740740741</v>
      </c>
      <c r="W36" s="47"/>
    </row>
    <row r="37" spans="1:23">
      <c r="A37" s="49">
        <v>36</v>
      </c>
      <c r="B37" s="159">
        <f>AgeStanSec!B37/86400</f>
        <v>2.9513888888888888E-3</v>
      </c>
      <c r="C37" s="156">
        <f>AgeStanSec!C37/86400</f>
        <v>0.01</v>
      </c>
      <c r="D37" s="107">
        <f>AgeStanSec!D37/86400</f>
        <v>1.2060185185185186E-2</v>
      </c>
      <c r="E37" s="107">
        <f>AgeStanSec!E37/86400</f>
        <v>1.2986111111111111E-2</v>
      </c>
      <c r="F37" s="107">
        <f>AgeStanSec!F37/86400</f>
        <v>1.6238425925925927E-2</v>
      </c>
      <c r="G37" s="107">
        <f>AgeStanSec!G37/86400</f>
        <v>1.6354166666666666E-2</v>
      </c>
      <c r="H37" s="107">
        <f>AgeStanSec!H37/86400</f>
        <v>2.045138888888889E-2</v>
      </c>
      <c r="I37" s="107">
        <f>AgeStanSec!I37/86400</f>
        <v>2.4664351851851851E-2</v>
      </c>
      <c r="J37" s="107">
        <f>AgeStanSec!J37/86400</f>
        <v>3.107638888888889E-2</v>
      </c>
      <c r="K37" s="107">
        <f>AgeStanSec!K37/86400</f>
        <v>3.3460648148148149E-2</v>
      </c>
      <c r="L37" s="107">
        <f>AgeStanSec!L37/86400</f>
        <v>4.2141203703703702E-2</v>
      </c>
      <c r="M37" s="107">
        <f>AgeStanSec!M37/86400</f>
        <v>4.4502314814814814E-2</v>
      </c>
      <c r="N37" s="107">
        <f>AgeStanSec!N37/86400</f>
        <v>5.3101851851851851E-2</v>
      </c>
      <c r="O37" s="107">
        <f>AgeStanSec!O37/86400</f>
        <v>6.430555555555556E-2</v>
      </c>
      <c r="P37" s="107">
        <f>AgeStanSec!P37/86400</f>
        <v>9.1979166666666667E-2</v>
      </c>
      <c r="Q37" s="107">
        <f>AgeStanSec!Q37/86400</f>
        <v>0.11078703703703703</v>
      </c>
      <c r="R37" s="107">
        <f>AgeStanSec!R37/86400</f>
        <v>0.20174768518518518</v>
      </c>
      <c r="S37" s="107">
        <f>AgeStanSec!S37/86400</f>
        <v>0.27833333333333332</v>
      </c>
      <c r="T37" s="107">
        <f>AgeStanSec!T37/86400</f>
        <v>0.46839120370370368</v>
      </c>
      <c r="U37" s="107">
        <f>AgeStanSec!U37/86400</f>
        <v>0.51322916666666663</v>
      </c>
      <c r="V37" s="107">
        <f>AgeStanSec!V37/86400</f>
        <v>0.67958333333333332</v>
      </c>
      <c r="W37" s="47"/>
    </row>
    <row r="38" spans="1:23">
      <c r="A38" s="49">
        <v>37</v>
      </c>
      <c r="B38" s="159">
        <f>AgeStanSec!B38/86400</f>
        <v>2.9629629629629628E-3</v>
      </c>
      <c r="C38" s="156">
        <f>AgeStanSec!C38/86400</f>
        <v>1.005787037037037E-2</v>
      </c>
      <c r="D38" s="107">
        <f>AgeStanSec!D38/86400</f>
        <v>1.2118055555555556E-2</v>
      </c>
      <c r="E38" s="107">
        <f>AgeStanSec!E38/86400</f>
        <v>1.3043981481481481E-2</v>
      </c>
      <c r="F38" s="107">
        <f>AgeStanSec!F38/86400</f>
        <v>1.6307870370370372E-2</v>
      </c>
      <c r="G38" s="107">
        <f>AgeStanSec!G38/86400</f>
        <v>1.6423611111111111E-2</v>
      </c>
      <c r="H38" s="107">
        <f>AgeStanSec!H38/86400</f>
        <v>2.0532407407407409E-2</v>
      </c>
      <c r="I38" s="107">
        <f>AgeStanSec!I38/86400</f>
        <v>2.476851851851852E-2</v>
      </c>
      <c r="J38" s="107">
        <f>AgeStanSec!J38/86400</f>
        <v>3.1215277777777779E-2</v>
      </c>
      <c r="K38" s="107">
        <f>AgeStanSec!K38/86400</f>
        <v>3.3611111111111112E-2</v>
      </c>
      <c r="L38" s="107">
        <f>AgeStanSec!L38/86400</f>
        <v>4.2326388888888886E-2</v>
      </c>
      <c r="M38" s="107">
        <f>AgeStanSec!M38/86400</f>
        <v>4.4710648148148145E-2</v>
      </c>
      <c r="N38" s="107">
        <f>AgeStanSec!N38/86400</f>
        <v>5.3333333333333337E-2</v>
      </c>
      <c r="O38" s="107">
        <f>AgeStanSec!O38/86400</f>
        <v>6.4571759259259259E-2</v>
      </c>
      <c r="P38" s="107">
        <f>AgeStanSec!P38/86400</f>
        <v>9.2349537037037036E-2</v>
      </c>
      <c r="Q38" s="107">
        <f>AgeStanSec!Q38/86400</f>
        <v>0.11122685185185185</v>
      </c>
      <c r="R38" s="107">
        <f>AgeStanSec!R38/86400</f>
        <v>0.20255787037037037</v>
      </c>
      <c r="S38" s="107">
        <f>AgeStanSec!S38/86400</f>
        <v>0.27944444444444444</v>
      </c>
      <c r="T38" s="107">
        <f>AgeStanSec!T38/86400</f>
        <v>0.47025462962962961</v>
      </c>
      <c r="U38" s="107">
        <f>AgeStanSec!U38/86400</f>
        <v>0.51526620370370368</v>
      </c>
      <c r="V38" s="107">
        <f>AgeStanSec!V38/86400</f>
        <v>0.68229166666666663</v>
      </c>
      <c r="W38" s="47"/>
    </row>
    <row r="39" spans="1:23">
      <c r="A39" s="49">
        <v>38</v>
      </c>
      <c r="B39" s="159">
        <f>AgeStanSec!B39/86400</f>
        <v>2.9745370370370373E-3</v>
      </c>
      <c r="C39" s="156">
        <f>AgeStanSec!C39/86400</f>
        <v>1.0115740740740741E-2</v>
      </c>
      <c r="D39" s="107">
        <f>AgeStanSec!D39/86400</f>
        <v>1.21875E-2</v>
      </c>
      <c r="E39" s="107">
        <f>AgeStanSec!E39/86400</f>
        <v>1.3113425925925926E-2</v>
      </c>
      <c r="F39" s="107">
        <f>AgeStanSec!F39/86400</f>
        <v>1.638888888888889E-2</v>
      </c>
      <c r="G39" s="107">
        <f>AgeStanSec!G39/86400</f>
        <v>1.650462962962963E-2</v>
      </c>
      <c r="H39" s="107">
        <f>AgeStanSec!H39/86400</f>
        <v>2.0625000000000001E-2</v>
      </c>
      <c r="I39" s="107">
        <f>AgeStanSec!I39/86400</f>
        <v>2.4884259259259259E-2</v>
      </c>
      <c r="J39" s="107">
        <f>AgeStanSec!J39/86400</f>
        <v>3.1365740740740743E-2</v>
      </c>
      <c r="K39" s="107">
        <f>AgeStanSec!K39/86400</f>
        <v>3.3773148148148149E-2</v>
      </c>
      <c r="L39" s="107">
        <f>AgeStanSec!L39/86400</f>
        <v>4.2546296296296297E-2</v>
      </c>
      <c r="M39" s="107">
        <f>AgeStanSec!M39/86400</f>
        <v>4.494212962962963E-2</v>
      </c>
      <c r="N39" s="107">
        <f>AgeStanSec!N39/86400</f>
        <v>5.3599537037037036E-2</v>
      </c>
      <c r="O39" s="107">
        <f>AgeStanSec!O39/86400</f>
        <v>6.4884259259259253E-2</v>
      </c>
      <c r="P39" s="107">
        <f>AgeStanSec!P39/86400</f>
        <v>9.2766203703703698E-2</v>
      </c>
      <c r="Q39" s="107">
        <f>AgeStanSec!Q39/86400</f>
        <v>0.11173611111111111</v>
      </c>
      <c r="R39" s="107">
        <f>AgeStanSec!R39/86400</f>
        <v>0.20347222222222222</v>
      </c>
      <c r="S39" s="107">
        <f>AgeStanSec!S39/86400</f>
        <v>0.28070601851851851</v>
      </c>
      <c r="T39" s="107">
        <f>AgeStanSec!T39/86400</f>
        <v>0.47238425925925925</v>
      </c>
      <c r="U39" s="107">
        <f>AgeStanSec!U39/86400</f>
        <v>0.51760416666666664</v>
      </c>
      <c r="V39" s="107">
        <f>AgeStanSec!V39/86400</f>
        <v>0.68538194444444445</v>
      </c>
      <c r="W39" s="47"/>
    </row>
    <row r="40" spans="1:23">
      <c r="A40" s="49">
        <v>39</v>
      </c>
      <c r="B40" s="159">
        <f>AgeStanSec!B40/86400</f>
        <v>2.9861111111111113E-3</v>
      </c>
      <c r="C40" s="156">
        <f>AgeStanSec!C40/86400</f>
        <v>1.0173611111111111E-2</v>
      </c>
      <c r="D40" s="107">
        <f>AgeStanSec!D40/86400</f>
        <v>1.2256944444444445E-2</v>
      </c>
      <c r="E40" s="107">
        <f>AgeStanSec!E40/86400</f>
        <v>1.3194444444444444E-2</v>
      </c>
      <c r="F40" s="107">
        <f>AgeStanSec!F40/86400</f>
        <v>1.6469907407407409E-2</v>
      </c>
      <c r="G40" s="107">
        <f>AgeStanSec!G40/86400</f>
        <v>1.6597222222222222E-2</v>
      </c>
      <c r="H40" s="107">
        <f>AgeStanSec!H40/86400</f>
        <v>2.0717592592592593E-2</v>
      </c>
      <c r="I40" s="107">
        <f>AgeStanSec!I40/86400</f>
        <v>2.5011574074074075E-2</v>
      </c>
      <c r="J40" s="107">
        <f>AgeStanSec!J40/86400</f>
        <v>3.152777777777778E-2</v>
      </c>
      <c r="K40" s="107">
        <f>AgeStanSec!K40/86400</f>
        <v>3.3958333333333333E-2</v>
      </c>
      <c r="L40" s="107">
        <f>AgeStanSec!L40/86400</f>
        <v>4.2777777777777776E-2</v>
      </c>
      <c r="M40" s="107">
        <f>AgeStanSec!M40/86400</f>
        <v>4.5196759259259256E-2</v>
      </c>
      <c r="N40" s="107">
        <f>AgeStanSec!N40/86400</f>
        <v>5.3888888888888889E-2</v>
      </c>
      <c r="O40" s="107">
        <f>AgeStanSec!O40/86400</f>
        <v>6.5231481481481488E-2</v>
      </c>
      <c r="P40" s="107">
        <f>AgeStanSec!P40/86400</f>
        <v>9.3229166666666669E-2</v>
      </c>
      <c r="Q40" s="107">
        <f>AgeStanSec!Q40/86400</f>
        <v>0.1122800925925926</v>
      </c>
      <c r="R40" s="107">
        <f>AgeStanSec!R40/86400</f>
        <v>0.20447916666666666</v>
      </c>
      <c r="S40" s="107">
        <f>AgeStanSec!S40/86400</f>
        <v>0.28209490740740739</v>
      </c>
      <c r="T40" s="107">
        <f>AgeStanSec!T40/86400</f>
        <v>0.47473379629629631</v>
      </c>
      <c r="U40" s="107">
        <f>AgeStanSec!U40/86400</f>
        <v>0.52017361111111116</v>
      </c>
      <c r="V40" s="107">
        <f>AgeStanSec!V40/86400</f>
        <v>0.68877314814814816</v>
      </c>
      <c r="W40" s="47"/>
    </row>
    <row r="41" spans="1:23">
      <c r="A41" s="57">
        <v>40</v>
      </c>
      <c r="B41" s="160">
        <f>AgeStanSec!B41/86400</f>
        <v>3.0092592592592593E-3</v>
      </c>
      <c r="C41" s="157">
        <f>AgeStanSec!C41/86400</f>
        <v>1.0254629629629629E-2</v>
      </c>
      <c r="D41" s="108">
        <f>AgeStanSec!D41/86400</f>
        <v>1.2349537037037037E-2</v>
      </c>
      <c r="E41" s="108">
        <f>AgeStanSec!E41/86400</f>
        <v>1.3275462962962963E-2</v>
      </c>
      <c r="F41" s="108">
        <f>AgeStanSec!F41/86400</f>
        <v>1.6574074074074074E-2</v>
      </c>
      <c r="G41" s="108">
        <f>AgeStanSec!G41/86400</f>
        <v>1.6689814814814814E-2</v>
      </c>
      <c r="H41" s="108">
        <f>AgeStanSec!H41/86400</f>
        <v>2.0833333333333332E-2</v>
      </c>
      <c r="I41" s="108">
        <f>AgeStanSec!I41/86400</f>
        <v>2.5138888888888888E-2</v>
      </c>
      <c r="J41" s="108">
        <f>AgeStanSec!J41/86400</f>
        <v>3.1712962962962964E-2</v>
      </c>
      <c r="K41" s="108">
        <f>AgeStanSec!K41/86400</f>
        <v>3.4155092592592591E-2</v>
      </c>
      <c r="L41" s="108">
        <f>AgeStanSec!L41/86400</f>
        <v>4.3043981481481482E-2</v>
      </c>
      <c r="M41" s="108">
        <f>AgeStanSec!M41/86400</f>
        <v>4.5474537037037036E-2</v>
      </c>
      <c r="N41" s="108">
        <f>AgeStanSec!N41/86400</f>
        <v>5.4212962962962963E-2</v>
      </c>
      <c r="O41" s="108">
        <f>AgeStanSec!O41/86400</f>
        <v>6.5601851851851856E-2</v>
      </c>
      <c r="P41" s="108">
        <f>AgeStanSec!P41/86400</f>
        <v>9.3715277777777772E-2</v>
      </c>
      <c r="Q41" s="108">
        <f>AgeStanSec!Q41/86400</f>
        <v>0.11288194444444444</v>
      </c>
      <c r="R41" s="108">
        <f>AgeStanSec!R41/86400</f>
        <v>0.20556712962962964</v>
      </c>
      <c r="S41" s="108">
        <f>AgeStanSec!S41/86400</f>
        <v>0.28358796296296296</v>
      </c>
      <c r="T41" s="108">
        <f>AgeStanSec!T41/86400</f>
        <v>0.47724537037037035</v>
      </c>
      <c r="U41" s="108">
        <f>AgeStanSec!U41/86400</f>
        <v>0.52292824074074074</v>
      </c>
      <c r="V41" s="108">
        <f>AgeStanSec!V41/86400</f>
        <v>0.69243055555555555</v>
      </c>
      <c r="W41" s="47"/>
    </row>
    <row r="42" spans="1:23">
      <c r="A42" s="49">
        <v>41</v>
      </c>
      <c r="B42" s="159">
        <f>AgeStanSec!B42/86400</f>
        <v>3.0208333333333333E-3</v>
      </c>
      <c r="C42" s="156">
        <f>AgeStanSec!C42/86400</f>
        <v>1.0335648148148148E-2</v>
      </c>
      <c r="D42" s="107">
        <f>AgeStanSec!D42/86400</f>
        <v>1.2430555555555556E-2</v>
      </c>
      <c r="E42" s="107">
        <f>AgeStanSec!E42/86400</f>
        <v>1.3368055555555555E-2</v>
      </c>
      <c r="F42" s="107">
        <f>AgeStanSec!F42/86400</f>
        <v>1.667824074074074E-2</v>
      </c>
      <c r="G42" s="107">
        <f>AgeStanSec!G42/86400</f>
        <v>1.6793981481481483E-2</v>
      </c>
      <c r="H42" s="107">
        <f>AgeStanSec!H42/86400</f>
        <v>2.0949074074074075E-2</v>
      </c>
      <c r="I42" s="107">
        <f>AgeStanSec!I42/86400</f>
        <v>2.5289351851851851E-2</v>
      </c>
      <c r="J42" s="107">
        <f>AgeStanSec!J42/86400</f>
        <v>3.1909722222222221E-2</v>
      </c>
      <c r="K42" s="107">
        <f>AgeStanSec!K42/86400</f>
        <v>3.4363425925925929E-2</v>
      </c>
      <c r="L42" s="107">
        <f>AgeStanSec!L42/86400</f>
        <v>4.3321759259259261E-2</v>
      </c>
      <c r="M42" s="107">
        <f>AgeStanSec!M42/86400</f>
        <v>4.5775462962962962E-2</v>
      </c>
      <c r="N42" s="107">
        <f>AgeStanSec!N42/86400</f>
        <v>5.4560185185185184E-2</v>
      </c>
      <c r="O42" s="107">
        <f>AgeStanSec!O42/86400</f>
        <v>6.6018518518518518E-2</v>
      </c>
      <c r="P42" s="107">
        <f>AgeStanSec!P42/86400</f>
        <v>9.4259259259259265E-2</v>
      </c>
      <c r="Q42" s="107">
        <f>AgeStanSec!Q42/86400</f>
        <v>0.1135300925925926</v>
      </c>
      <c r="R42" s="107">
        <f>AgeStanSec!R42/86400</f>
        <v>0.20674768518518519</v>
      </c>
      <c r="S42" s="107">
        <f>AgeStanSec!S42/86400</f>
        <v>0.28521990740740738</v>
      </c>
      <c r="T42" s="107">
        <f>AgeStanSec!T42/86400</f>
        <v>0.47998842592592594</v>
      </c>
      <c r="U42" s="107">
        <f>AgeStanSec!U42/86400</f>
        <v>0.52592592592592591</v>
      </c>
      <c r="V42" s="107">
        <f>AgeStanSec!V42/86400</f>
        <v>0.69640046296296299</v>
      </c>
      <c r="W42" s="47"/>
    </row>
    <row r="43" spans="1:23">
      <c r="A43" s="49">
        <v>42</v>
      </c>
      <c r="B43" s="159">
        <f>AgeStanSec!B43/86400</f>
        <v>3.0439814814814813E-3</v>
      </c>
      <c r="C43" s="156">
        <f>AgeStanSec!C43/86400</f>
        <v>1.0428240740740741E-2</v>
      </c>
      <c r="D43" s="107">
        <f>AgeStanSec!D43/86400</f>
        <v>1.2534722222222221E-2</v>
      </c>
      <c r="E43" s="107">
        <f>AgeStanSec!E43/86400</f>
        <v>1.3472222222222222E-2</v>
      </c>
      <c r="F43" s="107">
        <f>AgeStanSec!F43/86400</f>
        <v>1.6793981481481483E-2</v>
      </c>
      <c r="G43" s="107">
        <f>AgeStanSec!G43/86400</f>
        <v>1.6909722222222222E-2</v>
      </c>
      <c r="H43" s="107">
        <f>AgeStanSec!H43/86400</f>
        <v>2.1064814814814814E-2</v>
      </c>
      <c r="I43" s="107">
        <f>AgeStanSec!I43/86400</f>
        <v>2.5451388888888888E-2</v>
      </c>
      <c r="J43" s="107">
        <f>AgeStanSec!J43/86400</f>
        <v>3.2118055555555552E-2</v>
      </c>
      <c r="K43" s="107">
        <f>AgeStanSec!K43/86400</f>
        <v>3.4606481481481481E-2</v>
      </c>
      <c r="L43" s="107">
        <f>AgeStanSec!L43/86400</f>
        <v>4.3634259259259262E-2</v>
      </c>
      <c r="M43" s="107">
        <f>AgeStanSec!M43/86400</f>
        <v>4.611111111111111E-2</v>
      </c>
      <c r="N43" s="107">
        <f>AgeStanSec!N43/86400</f>
        <v>5.4942129629629632E-2</v>
      </c>
      <c r="O43" s="107">
        <f>AgeStanSec!O43/86400</f>
        <v>6.6458333333333328E-2</v>
      </c>
      <c r="P43" s="107">
        <f>AgeStanSec!P43/86400</f>
        <v>9.4837962962962957E-2</v>
      </c>
      <c r="Q43" s="107">
        <f>AgeStanSec!Q43/86400</f>
        <v>0.11423611111111111</v>
      </c>
      <c r="R43" s="107">
        <f>AgeStanSec!R43/86400</f>
        <v>0.20803240740740742</v>
      </c>
      <c r="S43" s="107">
        <f>AgeStanSec!S43/86400</f>
        <v>0.28699074074074077</v>
      </c>
      <c r="T43" s="107">
        <f>AgeStanSec!T43/86400</f>
        <v>0.48296296296296298</v>
      </c>
      <c r="U43" s="107">
        <f>AgeStanSec!U43/86400</f>
        <v>0.52918981481481486</v>
      </c>
      <c r="V43" s="107">
        <f>AgeStanSec!V43/86400</f>
        <v>0.70071759259259259</v>
      </c>
      <c r="W43" s="47"/>
    </row>
    <row r="44" spans="1:23">
      <c r="A44" s="49">
        <v>43</v>
      </c>
      <c r="B44" s="159">
        <f>AgeStanSec!B44/86400</f>
        <v>3.0555555555555557E-3</v>
      </c>
      <c r="C44" s="156">
        <f>AgeStanSec!C44/86400</f>
        <v>1.0532407407407407E-2</v>
      </c>
      <c r="D44" s="107">
        <f>AgeStanSec!D44/86400</f>
        <v>1.2650462962962962E-2</v>
      </c>
      <c r="E44" s="107">
        <f>AgeStanSec!E44/86400</f>
        <v>1.3599537037037037E-2</v>
      </c>
      <c r="F44" s="107">
        <f>AgeStanSec!F44/86400</f>
        <v>1.6921296296296295E-2</v>
      </c>
      <c r="G44" s="107">
        <f>AgeStanSec!G44/86400</f>
        <v>1.7037037037037038E-2</v>
      </c>
      <c r="H44" s="107">
        <f>AgeStanSec!H44/86400</f>
        <v>2.1203703703703704E-2</v>
      </c>
      <c r="I44" s="107">
        <f>AgeStanSec!I44/86400</f>
        <v>2.5613425925925925E-2</v>
      </c>
      <c r="J44" s="107">
        <f>AgeStanSec!J44/86400</f>
        <v>3.2349537037037038E-2</v>
      </c>
      <c r="K44" s="107">
        <f>AgeStanSec!K44/86400</f>
        <v>3.484953703703704E-2</v>
      </c>
      <c r="L44" s="107">
        <f>AgeStanSec!L44/86400</f>
        <v>4.3969907407407409E-2</v>
      </c>
      <c r="M44" s="107">
        <f>AgeStanSec!M44/86400</f>
        <v>4.6469907407407404E-2</v>
      </c>
      <c r="N44" s="107">
        <f>AgeStanSec!N44/86400</f>
        <v>5.5358796296296295E-2</v>
      </c>
      <c r="O44" s="107">
        <f>AgeStanSec!O44/86400</f>
        <v>6.6932870370370365E-2</v>
      </c>
      <c r="P44" s="107">
        <f>AgeStanSec!P44/86400</f>
        <v>9.5462962962962958E-2</v>
      </c>
      <c r="Q44" s="107">
        <f>AgeStanSec!Q44/86400</f>
        <v>0.11497685185185186</v>
      </c>
      <c r="R44" s="107">
        <f>AgeStanSec!R44/86400</f>
        <v>0.20938657407407407</v>
      </c>
      <c r="S44" s="107">
        <f>AgeStanSec!S44/86400</f>
        <v>0.28887731481481482</v>
      </c>
      <c r="T44" s="107">
        <f>AgeStanSec!T44/86400</f>
        <v>0.48613425925925924</v>
      </c>
      <c r="U44" s="107">
        <f>AgeStanSec!U44/86400</f>
        <v>0.53266203703703707</v>
      </c>
      <c r="V44" s="107">
        <f>AgeStanSec!V44/86400</f>
        <v>0.70531250000000001</v>
      </c>
      <c r="W44" s="47"/>
    </row>
    <row r="45" spans="1:23">
      <c r="A45" s="49">
        <v>44</v>
      </c>
      <c r="B45" s="159">
        <f>AgeStanSec!B45/86400</f>
        <v>3.0787037037037037E-3</v>
      </c>
      <c r="C45" s="156">
        <f>AgeStanSec!C45/86400</f>
        <v>1.0636574074074074E-2</v>
      </c>
      <c r="D45" s="107">
        <f>AgeStanSec!D45/86400</f>
        <v>1.2766203703703703E-2</v>
      </c>
      <c r="E45" s="107">
        <f>AgeStanSec!E45/86400</f>
        <v>1.3715277777777778E-2</v>
      </c>
      <c r="F45" s="107">
        <f>AgeStanSec!F45/86400</f>
        <v>1.7048611111111112E-2</v>
      </c>
      <c r="G45" s="107">
        <f>AgeStanSec!G45/86400</f>
        <v>1.7175925925925924E-2</v>
      </c>
      <c r="H45" s="107">
        <f>AgeStanSec!H45/86400</f>
        <v>2.1342592592592594E-2</v>
      </c>
      <c r="I45" s="107">
        <f>AgeStanSec!I45/86400</f>
        <v>2.5798611111111112E-2</v>
      </c>
      <c r="J45" s="107">
        <f>AgeStanSec!J45/86400</f>
        <v>3.259259259259259E-2</v>
      </c>
      <c r="K45" s="107">
        <f>AgeStanSec!K45/86400</f>
        <v>3.5115740740740739E-2</v>
      </c>
      <c r="L45" s="107">
        <f>AgeStanSec!L45/86400</f>
        <v>4.4328703703703703E-2</v>
      </c>
      <c r="M45" s="107">
        <f>AgeStanSec!M45/86400</f>
        <v>4.6863425925925926E-2</v>
      </c>
      <c r="N45" s="107">
        <f>AgeStanSec!N45/86400</f>
        <v>5.5798611111111111E-2</v>
      </c>
      <c r="O45" s="107">
        <f>AgeStanSec!O45/86400</f>
        <v>6.745370370370371E-2</v>
      </c>
      <c r="P45" s="107">
        <f>AgeStanSec!P45/86400</f>
        <v>9.6134259259259253E-2</v>
      </c>
      <c r="Q45" s="107">
        <f>AgeStanSec!Q45/86400</f>
        <v>0.11578703703703704</v>
      </c>
      <c r="R45" s="107">
        <f>AgeStanSec!R45/86400</f>
        <v>0.21086805555555554</v>
      </c>
      <c r="S45" s="107">
        <f>AgeStanSec!S45/86400</f>
        <v>0.29090277777777779</v>
      </c>
      <c r="T45" s="107">
        <f>AgeStanSec!T45/86400</f>
        <v>0.48954861111111109</v>
      </c>
      <c r="U45" s="107">
        <f>AgeStanSec!U45/86400</f>
        <v>0.53641203703703699</v>
      </c>
      <c r="V45" s="107">
        <f>AgeStanSec!V45/86400</f>
        <v>0.71027777777777779</v>
      </c>
      <c r="W45" s="47"/>
    </row>
    <row r="46" spans="1:23">
      <c r="A46" s="57">
        <v>45</v>
      </c>
      <c r="B46" s="160">
        <f>AgeStanSec!B46/86400</f>
        <v>3.1018518518518517E-3</v>
      </c>
      <c r="C46" s="157">
        <f>AgeStanSec!C46/86400</f>
        <v>1.0752314814814815E-2</v>
      </c>
      <c r="D46" s="108">
        <f>AgeStanSec!D46/86400</f>
        <v>1.2893518518518518E-2</v>
      </c>
      <c r="E46" s="108">
        <f>AgeStanSec!E46/86400</f>
        <v>1.3842592592592592E-2</v>
      </c>
      <c r="F46" s="108">
        <f>AgeStanSec!F46/86400</f>
        <v>1.7187500000000001E-2</v>
      </c>
      <c r="G46" s="108">
        <f>AgeStanSec!G46/86400</f>
        <v>1.7314814814814814E-2</v>
      </c>
      <c r="H46" s="108">
        <f>AgeStanSec!H46/86400</f>
        <v>2.1493055555555557E-2</v>
      </c>
      <c r="I46" s="108">
        <f>AgeStanSec!I46/86400</f>
        <v>2.599537037037037E-2</v>
      </c>
      <c r="J46" s="108">
        <f>AgeStanSec!J46/86400</f>
        <v>3.2858796296296296E-2</v>
      </c>
      <c r="K46" s="108">
        <f>AgeStanSec!K46/86400</f>
        <v>3.5416666666666666E-2</v>
      </c>
      <c r="L46" s="108">
        <f>AgeStanSec!L46/86400</f>
        <v>4.4722222222222219E-2</v>
      </c>
      <c r="M46" s="108">
        <f>AgeStanSec!M46/86400</f>
        <v>4.7280092592592596E-2</v>
      </c>
      <c r="N46" s="108">
        <f>AgeStanSec!N46/86400</f>
        <v>5.6284722222222222E-2</v>
      </c>
      <c r="O46" s="108">
        <f>AgeStanSec!O46/86400</f>
        <v>6.8009259259259255E-2</v>
      </c>
      <c r="P46" s="108">
        <f>AgeStanSec!P46/86400</f>
        <v>9.6863425925925922E-2</v>
      </c>
      <c r="Q46" s="108">
        <f>AgeStanSec!Q46/86400</f>
        <v>0.11667824074074074</v>
      </c>
      <c r="R46" s="108">
        <f>AgeStanSec!R46/86400</f>
        <v>0.21246527777777777</v>
      </c>
      <c r="S46" s="108">
        <f>AgeStanSec!S46/86400</f>
        <v>0.29312500000000002</v>
      </c>
      <c r="T46" s="108">
        <f>AgeStanSec!T46/86400</f>
        <v>0.49327546296296299</v>
      </c>
      <c r="U46" s="108">
        <f>AgeStanSec!U46/86400</f>
        <v>0.54049768518518515</v>
      </c>
      <c r="V46" s="108">
        <f>AgeStanSec!V46/86400</f>
        <v>0.71569444444444441</v>
      </c>
      <c r="W46" s="47"/>
    </row>
    <row r="47" spans="1:23">
      <c r="A47" s="49">
        <v>46</v>
      </c>
      <c r="B47" s="159">
        <f>AgeStanSec!B47/86400</f>
        <v>3.1365740740740742E-3</v>
      </c>
      <c r="C47" s="156">
        <f>AgeStanSec!C47/86400</f>
        <v>1.0868055555555556E-2</v>
      </c>
      <c r="D47" s="107">
        <f>AgeStanSec!D47/86400</f>
        <v>1.3020833333333334E-2</v>
      </c>
      <c r="E47" s="107">
        <f>AgeStanSec!E47/86400</f>
        <v>1.3981481481481482E-2</v>
      </c>
      <c r="F47" s="107">
        <f>AgeStanSec!F47/86400</f>
        <v>1.7337962962962961E-2</v>
      </c>
      <c r="G47" s="107">
        <f>AgeStanSec!G47/86400</f>
        <v>1.7465277777777777E-2</v>
      </c>
      <c r="H47" s="107">
        <f>AgeStanSec!H47/86400</f>
        <v>2.1655092592592594E-2</v>
      </c>
      <c r="I47" s="107">
        <f>AgeStanSec!I47/86400</f>
        <v>2.6203703703703705E-2</v>
      </c>
      <c r="J47" s="107">
        <f>AgeStanSec!J47/86400</f>
        <v>3.3136574074074075E-2</v>
      </c>
      <c r="K47" s="107">
        <f>AgeStanSec!K47/86400</f>
        <v>3.5729166666666666E-2</v>
      </c>
      <c r="L47" s="107">
        <f>AgeStanSec!L47/86400</f>
        <v>4.5138888888888888E-2</v>
      </c>
      <c r="M47" s="107">
        <f>AgeStanSec!M47/86400</f>
        <v>4.7731481481481479E-2</v>
      </c>
      <c r="N47" s="107">
        <f>AgeStanSec!N47/86400</f>
        <v>5.679398148148148E-2</v>
      </c>
      <c r="O47" s="107">
        <f>AgeStanSec!O47/86400</f>
        <v>6.8599537037037042E-2</v>
      </c>
      <c r="P47" s="107">
        <f>AgeStanSec!P47/86400</f>
        <v>9.7638888888888886E-2</v>
      </c>
      <c r="Q47" s="107">
        <f>AgeStanSec!Q47/86400</f>
        <v>0.11760416666666666</v>
      </c>
      <c r="R47" s="107">
        <f>AgeStanSec!R47/86400</f>
        <v>0.21416666666666667</v>
      </c>
      <c r="S47" s="107">
        <f>AgeStanSec!S47/86400</f>
        <v>0.29547453703703702</v>
      </c>
      <c r="T47" s="107">
        <f>AgeStanSec!T47/86400</f>
        <v>0.49723379629629627</v>
      </c>
      <c r="U47" s="107">
        <f>AgeStanSec!U47/86400</f>
        <v>0.5448263888888889</v>
      </c>
      <c r="V47" s="107">
        <f>AgeStanSec!V47/86400</f>
        <v>0.72142361111111108</v>
      </c>
      <c r="W47" s="47"/>
    </row>
    <row r="48" spans="1:23">
      <c r="A48" s="49">
        <v>47</v>
      </c>
      <c r="B48" s="159">
        <f>AgeStanSec!B48/86400</f>
        <v>3.1597222222222222E-3</v>
      </c>
      <c r="C48" s="156">
        <f>AgeStanSec!C48/86400</f>
        <v>1.0983796296296297E-2</v>
      </c>
      <c r="D48" s="107">
        <f>AgeStanSec!D48/86400</f>
        <v>1.3148148148148148E-2</v>
      </c>
      <c r="E48" s="107">
        <f>AgeStanSec!E48/86400</f>
        <v>1.4108796296296296E-2</v>
      </c>
      <c r="F48" s="107">
        <f>AgeStanSec!F48/86400</f>
        <v>1.7488425925925925E-2</v>
      </c>
      <c r="G48" s="107">
        <f>AgeStanSec!G48/86400</f>
        <v>1.7615740740740741E-2</v>
      </c>
      <c r="H48" s="107">
        <f>AgeStanSec!H48/86400</f>
        <v>2.1828703703703704E-2</v>
      </c>
      <c r="I48" s="107">
        <f>AgeStanSec!I48/86400</f>
        <v>2.642361111111111E-2</v>
      </c>
      <c r="J48" s="107">
        <f>AgeStanSec!J48/86400</f>
        <v>3.3437500000000002E-2</v>
      </c>
      <c r="K48" s="107">
        <f>AgeStanSec!K48/86400</f>
        <v>3.605324074074074E-2</v>
      </c>
      <c r="L48" s="107">
        <f>AgeStanSec!L48/86400</f>
        <v>4.5601851851851852E-2</v>
      </c>
      <c r="M48" s="107">
        <f>AgeStanSec!M48/86400</f>
        <v>4.821759259259259E-2</v>
      </c>
      <c r="N48" s="107">
        <f>AgeStanSec!N48/86400</f>
        <v>5.7349537037037039E-2</v>
      </c>
      <c r="O48" s="107">
        <f>AgeStanSec!O48/86400</f>
        <v>6.9236111111111109E-2</v>
      </c>
      <c r="P48" s="107">
        <f>AgeStanSec!P48/86400</f>
        <v>9.8460648148148144E-2</v>
      </c>
      <c r="Q48" s="107">
        <f>AgeStanSec!Q48/86400</f>
        <v>0.11859953703703703</v>
      </c>
      <c r="R48" s="107">
        <f>AgeStanSec!R48/86400</f>
        <v>0.21597222222222223</v>
      </c>
      <c r="S48" s="107">
        <f>AgeStanSec!S48/86400</f>
        <v>0.29795138888888889</v>
      </c>
      <c r="T48" s="107">
        <f>AgeStanSec!T48/86400</f>
        <v>0.50141203703703707</v>
      </c>
      <c r="U48" s="107">
        <f>AgeStanSec!U48/86400</f>
        <v>0.54939814814814814</v>
      </c>
      <c r="V48" s="107">
        <f>AgeStanSec!V48/86400</f>
        <v>0.72748842592592589</v>
      </c>
      <c r="W48" s="47"/>
    </row>
    <row r="49" spans="1:23">
      <c r="A49" s="49">
        <v>48</v>
      </c>
      <c r="B49" s="159">
        <f>AgeStanSec!B49/86400</f>
        <v>3.1944444444444446E-3</v>
      </c>
      <c r="C49" s="156">
        <f>AgeStanSec!C49/86400</f>
        <v>1.1111111111111112E-2</v>
      </c>
      <c r="D49" s="107">
        <f>AgeStanSec!D49/86400</f>
        <v>1.3287037037037036E-2</v>
      </c>
      <c r="E49" s="107">
        <f>AgeStanSec!E49/86400</f>
        <v>1.4247685185185184E-2</v>
      </c>
      <c r="F49" s="107">
        <f>AgeStanSec!F49/86400</f>
        <v>1.7650462962962962E-2</v>
      </c>
      <c r="G49" s="107">
        <f>AgeStanSec!G49/86400</f>
        <v>1.7777777777777778E-2</v>
      </c>
      <c r="H49" s="107">
        <f>AgeStanSec!H49/86400</f>
        <v>2.2002314814814815E-2</v>
      </c>
      <c r="I49" s="107">
        <f>AgeStanSec!I49/86400</f>
        <v>2.6655092592592591E-2</v>
      </c>
      <c r="J49" s="107">
        <f>AgeStanSec!J49/86400</f>
        <v>3.3761574074074076E-2</v>
      </c>
      <c r="K49" s="107">
        <f>AgeStanSec!K49/86400</f>
        <v>3.6412037037037034E-2</v>
      </c>
      <c r="L49" s="107">
        <f>AgeStanSec!L49/86400</f>
        <v>4.6076388888888889E-2</v>
      </c>
      <c r="M49" s="107">
        <f>AgeStanSec!M49/86400</f>
        <v>4.8738425925925928E-2</v>
      </c>
      <c r="N49" s="107">
        <f>AgeStanSec!N49/86400</f>
        <v>5.7951388888888886E-2</v>
      </c>
      <c r="O49" s="107">
        <f>AgeStanSec!O49/86400</f>
        <v>6.9918981481481485E-2</v>
      </c>
      <c r="P49" s="107">
        <f>AgeStanSec!P49/86400</f>
        <v>9.9351851851851858E-2</v>
      </c>
      <c r="Q49" s="107">
        <f>AgeStanSec!Q49/86400</f>
        <v>0.11966435185185186</v>
      </c>
      <c r="R49" s="107">
        <f>AgeStanSec!R49/86400</f>
        <v>0.21791666666666668</v>
      </c>
      <c r="S49" s="107">
        <f>AgeStanSec!S49/86400</f>
        <v>0.30064814814814816</v>
      </c>
      <c r="T49" s="107">
        <f>AgeStanSec!T49/86400</f>
        <v>0.50593750000000004</v>
      </c>
      <c r="U49" s="107">
        <f>AgeStanSec!U49/86400</f>
        <v>0.55436342592592591</v>
      </c>
      <c r="V49" s="107">
        <f>AgeStanSec!V49/86400</f>
        <v>0.73405092592592591</v>
      </c>
      <c r="W49" s="47"/>
    </row>
    <row r="50" spans="1:23">
      <c r="A50" s="49">
        <v>49</v>
      </c>
      <c r="B50" s="159">
        <f>AgeStanSec!B50/86400</f>
        <v>3.2291666666666666E-3</v>
      </c>
      <c r="C50" s="156">
        <f>AgeStanSec!C50/86400</f>
        <v>1.1226851851851852E-2</v>
      </c>
      <c r="D50" s="107">
        <f>AgeStanSec!D50/86400</f>
        <v>1.3425925925925926E-2</v>
      </c>
      <c r="E50" s="107">
        <f>AgeStanSec!E50/86400</f>
        <v>1.4398148148148148E-2</v>
      </c>
      <c r="F50" s="107">
        <f>AgeStanSec!F50/86400</f>
        <v>1.7812499999999998E-2</v>
      </c>
      <c r="G50" s="107">
        <f>AgeStanSec!G50/86400</f>
        <v>1.7939814814814815E-2</v>
      </c>
      <c r="H50" s="107">
        <f>AgeStanSec!H50/86400</f>
        <v>2.2199074074074072E-2</v>
      </c>
      <c r="I50" s="107">
        <f>AgeStanSec!I50/86400</f>
        <v>2.6909722222222224E-2</v>
      </c>
      <c r="J50" s="107">
        <f>AgeStanSec!J50/86400</f>
        <v>3.4108796296296297E-2</v>
      </c>
      <c r="K50" s="107">
        <f>AgeStanSec!K50/86400</f>
        <v>3.6793981481481483E-2</v>
      </c>
      <c r="L50" s="107">
        <f>AgeStanSec!L50/86400</f>
        <v>4.6608796296296294E-2</v>
      </c>
      <c r="M50" s="107">
        <f>AgeStanSec!M50/86400</f>
        <v>4.929398148148148E-2</v>
      </c>
      <c r="N50" s="107">
        <f>AgeStanSec!N50/86400</f>
        <v>5.8576388888888886E-2</v>
      </c>
      <c r="O50" s="107">
        <f>AgeStanSec!O50/86400</f>
        <v>7.0648148148148154E-2</v>
      </c>
      <c r="P50" s="107">
        <f>AgeStanSec!P50/86400</f>
        <v>0.10028935185185185</v>
      </c>
      <c r="Q50" s="107">
        <f>AgeStanSec!Q50/86400</f>
        <v>0.12079861111111111</v>
      </c>
      <c r="R50" s="107">
        <f>AgeStanSec!R50/86400</f>
        <v>0.21997685185185184</v>
      </c>
      <c r="S50" s="107">
        <f>AgeStanSec!S50/86400</f>
        <v>0.30348379629629629</v>
      </c>
      <c r="T50" s="107">
        <f>AgeStanSec!T50/86400</f>
        <v>0.51071759259259264</v>
      </c>
      <c r="U50" s="107">
        <f>AgeStanSec!U50/86400</f>
        <v>0.55959490740740736</v>
      </c>
      <c r="V50" s="107">
        <f>AgeStanSec!V50/86400</f>
        <v>0.74098379629629629</v>
      </c>
      <c r="W50" s="47"/>
    </row>
    <row r="51" spans="1:23">
      <c r="A51" s="57">
        <v>50</v>
      </c>
      <c r="B51" s="160">
        <f>AgeStanSec!B51/86400</f>
        <v>3.2638888888888891E-3</v>
      </c>
      <c r="C51" s="157">
        <f>AgeStanSec!C51/86400</f>
        <v>1.1354166666666667E-2</v>
      </c>
      <c r="D51" s="108">
        <f>AgeStanSec!D51/86400</f>
        <v>1.3564814814814814E-2</v>
      </c>
      <c r="E51" s="108">
        <f>AgeStanSec!E51/86400</f>
        <v>1.4548611111111111E-2</v>
      </c>
      <c r="F51" s="108">
        <f>AgeStanSec!F51/86400</f>
        <v>1.7986111111111112E-2</v>
      </c>
      <c r="G51" s="108">
        <f>AgeStanSec!G51/86400</f>
        <v>1.8113425925925925E-2</v>
      </c>
      <c r="H51" s="108">
        <f>AgeStanSec!H51/86400</f>
        <v>2.2395833333333334E-2</v>
      </c>
      <c r="I51" s="108">
        <f>AgeStanSec!I51/86400</f>
        <v>2.7164351851851853E-2</v>
      </c>
      <c r="J51" s="108">
        <f>AgeStanSec!J51/86400</f>
        <v>3.4467592592592591E-2</v>
      </c>
      <c r="K51" s="108">
        <f>AgeStanSec!K51/86400</f>
        <v>3.7187499999999998E-2</v>
      </c>
      <c r="L51" s="108">
        <f>AgeStanSec!L51/86400</f>
        <v>4.7141203703703706E-2</v>
      </c>
      <c r="M51" s="108">
        <f>AgeStanSec!M51/86400</f>
        <v>4.9872685185185187E-2</v>
      </c>
      <c r="N51" s="108">
        <f>AgeStanSec!N51/86400</f>
        <v>5.9247685185185188E-2</v>
      </c>
      <c r="O51" s="108">
        <f>AgeStanSec!O51/86400</f>
        <v>7.1423611111111104E-2</v>
      </c>
      <c r="P51" s="108">
        <f>AgeStanSec!P51/86400</f>
        <v>0.1012962962962963</v>
      </c>
      <c r="Q51" s="108">
        <f>AgeStanSec!Q51/86400</f>
        <v>0.12200231481481481</v>
      </c>
      <c r="R51" s="108">
        <f>AgeStanSec!R51/86400</f>
        <v>0.22217592592592592</v>
      </c>
      <c r="S51" s="108">
        <f>AgeStanSec!S51/86400</f>
        <v>0.30651620370370369</v>
      </c>
      <c r="T51" s="108">
        <f>AgeStanSec!T51/86400</f>
        <v>0.51582175925925922</v>
      </c>
      <c r="U51" s="108">
        <f>AgeStanSec!U51/86400</f>
        <v>0.56519675925925927</v>
      </c>
      <c r="V51" s="108">
        <f>AgeStanSec!V51/86400</f>
        <v>0.74839120370370371</v>
      </c>
      <c r="W51" s="47"/>
    </row>
    <row r="52" spans="1:23">
      <c r="A52" s="49">
        <v>51</v>
      </c>
      <c r="B52" s="159">
        <f>AgeStanSec!B52/86400</f>
        <v>3.2986111111111111E-3</v>
      </c>
      <c r="C52" s="156">
        <f>AgeStanSec!C52/86400</f>
        <v>1.1481481481481481E-2</v>
      </c>
      <c r="D52" s="107">
        <f>AgeStanSec!D52/86400</f>
        <v>1.3715277777777778E-2</v>
      </c>
      <c r="E52" s="107">
        <f>AgeStanSec!E52/86400</f>
        <v>1.4699074074074074E-2</v>
      </c>
      <c r="F52" s="107">
        <f>AgeStanSec!F52/86400</f>
        <v>1.8171296296296297E-2</v>
      </c>
      <c r="G52" s="107">
        <f>AgeStanSec!G52/86400</f>
        <v>1.8298611111111113E-2</v>
      </c>
      <c r="H52" s="107">
        <f>AgeStanSec!H52/86400</f>
        <v>2.2615740740740742E-2</v>
      </c>
      <c r="I52" s="107">
        <f>AgeStanSec!I52/86400</f>
        <v>2.7442129629629629E-2</v>
      </c>
      <c r="J52" s="107">
        <f>AgeStanSec!J52/86400</f>
        <v>3.4837962962962966E-2</v>
      </c>
      <c r="K52" s="107">
        <f>AgeStanSec!K52/86400</f>
        <v>3.7604166666666668E-2</v>
      </c>
      <c r="L52" s="107">
        <f>AgeStanSec!L52/86400</f>
        <v>4.7696759259259258E-2</v>
      </c>
      <c r="M52" s="107">
        <f>AgeStanSec!M52/86400</f>
        <v>5.047453703703704E-2</v>
      </c>
      <c r="N52" s="107">
        <f>AgeStanSec!N52/86400</f>
        <v>5.9930555555555556E-2</v>
      </c>
      <c r="O52" s="107">
        <f>AgeStanSec!O52/86400</f>
        <v>7.2233796296296296E-2</v>
      </c>
      <c r="P52" s="107">
        <f>AgeStanSec!P52/86400</f>
        <v>0.10236111111111111</v>
      </c>
      <c r="Q52" s="107">
        <f>AgeStanSec!Q52/86400</f>
        <v>0.12328703703703704</v>
      </c>
      <c r="R52" s="107">
        <f>AgeStanSec!R52/86400</f>
        <v>0.22452546296296297</v>
      </c>
      <c r="S52" s="107">
        <f>AgeStanSec!S52/86400</f>
        <v>0.30974537037037037</v>
      </c>
      <c r="T52" s="107">
        <f>AgeStanSec!T52/86400</f>
        <v>0.52126157407407403</v>
      </c>
      <c r="U52" s="107">
        <f>AgeStanSec!U52/86400</f>
        <v>0.57115740740740739</v>
      </c>
      <c r="V52" s="107">
        <f>AgeStanSec!V52/86400</f>
        <v>0.75628472222222221</v>
      </c>
      <c r="W52" s="47"/>
    </row>
    <row r="53" spans="1:23">
      <c r="A53" s="49">
        <v>52</v>
      </c>
      <c r="B53" s="159">
        <f>AgeStanSec!B53/86400</f>
        <v>3.3333333333333335E-3</v>
      </c>
      <c r="C53" s="156">
        <f>AgeStanSec!C53/86400</f>
        <v>1.1620370370370371E-2</v>
      </c>
      <c r="D53" s="107">
        <f>AgeStanSec!D53/86400</f>
        <v>1.3865740740740741E-2</v>
      </c>
      <c r="E53" s="107">
        <f>AgeStanSec!E53/86400</f>
        <v>1.4861111111111111E-2</v>
      </c>
      <c r="F53" s="107">
        <f>AgeStanSec!F53/86400</f>
        <v>1.8368055555555554E-2</v>
      </c>
      <c r="G53" s="107">
        <f>AgeStanSec!G53/86400</f>
        <v>1.849537037037037E-2</v>
      </c>
      <c r="H53" s="107">
        <f>AgeStanSec!H53/86400</f>
        <v>2.2847222222222224E-2</v>
      </c>
      <c r="I53" s="107">
        <f>AgeStanSec!I53/86400</f>
        <v>2.7743055555555556E-2</v>
      </c>
      <c r="J53" s="107">
        <f>AgeStanSec!J53/86400</f>
        <v>3.5231481481481482E-2</v>
      </c>
      <c r="K53" s="107">
        <f>AgeStanSec!K53/86400</f>
        <v>3.8032407407407411E-2</v>
      </c>
      <c r="L53" s="107">
        <f>AgeStanSec!L53/86400</f>
        <v>4.8275462962962964E-2</v>
      </c>
      <c r="M53" s="107">
        <f>AgeStanSec!M53/86400</f>
        <v>5.108796296296296E-2</v>
      </c>
      <c r="N53" s="107">
        <f>AgeStanSec!N53/86400</f>
        <v>6.0648148148148145E-2</v>
      </c>
      <c r="O53" s="107">
        <f>AgeStanSec!O53/86400</f>
        <v>7.3067129629629635E-2</v>
      </c>
      <c r="P53" s="107">
        <f>AgeStanSec!P53/86400</f>
        <v>0.10349537037037038</v>
      </c>
      <c r="Q53" s="107">
        <f>AgeStanSec!Q53/86400</f>
        <v>0.12466435185185185</v>
      </c>
      <c r="R53" s="107">
        <f>AgeStanSec!R53/86400</f>
        <v>0.22702546296296297</v>
      </c>
      <c r="S53" s="107">
        <f>AgeStanSec!S53/86400</f>
        <v>0.31319444444444444</v>
      </c>
      <c r="T53" s="107">
        <f>AgeStanSec!T53/86400</f>
        <v>0.52706018518518516</v>
      </c>
      <c r="U53" s="107">
        <f>AgeStanSec!U53/86400</f>
        <v>0.57751157407407405</v>
      </c>
      <c r="V53" s="107">
        <f>AgeStanSec!V53/86400</f>
        <v>0.76469907407407411</v>
      </c>
      <c r="W53" s="47"/>
    </row>
    <row r="54" spans="1:23">
      <c r="A54" s="49">
        <v>53</v>
      </c>
      <c r="B54" s="159">
        <f>AgeStanSec!B54/86400</f>
        <v>3.3680555555555556E-3</v>
      </c>
      <c r="C54" s="156">
        <f>AgeStanSec!C54/86400</f>
        <v>1.1747685185185186E-2</v>
      </c>
      <c r="D54" s="107">
        <f>AgeStanSec!D54/86400</f>
        <v>1.4016203703703704E-2</v>
      </c>
      <c r="E54" s="107">
        <f>AgeStanSec!E54/86400</f>
        <v>1.5023148148148148E-2</v>
      </c>
      <c r="F54" s="107">
        <f>AgeStanSec!F54/86400</f>
        <v>1.8564814814814815E-2</v>
      </c>
      <c r="G54" s="107">
        <f>AgeStanSec!G54/86400</f>
        <v>1.8692129629629628E-2</v>
      </c>
      <c r="H54" s="107">
        <f>AgeStanSec!H54/86400</f>
        <v>2.3078703703703702E-2</v>
      </c>
      <c r="I54" s="107">
        <f>AgeStanSec!I54/86400</f>
        <v>2.8043981481481482E-2</v>
      </c>
      <c r="J54" s="107">
        <f>AgeStanSec!J54/86400</f>
        <v>3.5636574074074077E-2</v>
      </c>
      <c r="K54" s="107">
        <f>AgeStanSec!K54/86400</f>
        <v>3.847222222222222E-2</v>
      </c>
      <c r="L54" s="107">
        <f>AgeStanSec!L54/86400</f>
        <v>4.8854166666666664E-2</v>
      </c>
      <c r="M54" s="107">
        <f>AgeStanSec!M54/86400</f>
        <v>5.1712962962962961E-2</v>
      </c>
      <c r="N54" s="107">
        <f>AgeStanSec!N54/86400</f>
        <v>6.1377314814814815E-2</v>
      </c>
      <c r="O54" s="107">
        <f>AgeStanSec!O54/86400</f>
        <v>7.3935185185185187E-2</v>
      </c>
      <c r="P54" s="107">
        <f>AgeStanSec!P54/86400</f>
        <v>0.10471064814814815</v>
      </c>
      <c r="Q54" s="107">
        <f>AgeStanSec!Q54/86400</f>
        <v>0.12612268518518518</v>
      </c>
      <c r="R54" s="107">
        <f>AgeStanSec!R54/86400</f>
        <v>0.22967592592592592</v>
      </c>
      <c r="S54" s="107">
        <f>AgeStanSec!S54/86400</f>
        <v>0.31686342592592592</v>
      </c>
      <c r="T54" s="107">
        <f>AgeStanSec!T54/86400</f>
        <v>0.53324074074074079</v>
      </c>
      <c r="U54" s="107">
        <f>AgeStanSec!U54/86400</f>
        <v>0.58428240740740744</v>
      </c>
      <c r="V54" s="107">
        <f>AgeStanSec!V54/86400</f>
        <v>0.77366898148148144</v>
      </c>
      <c r="W54" s="47"/>
    </row>
    <row r="55" spans="1:23">
      <c r="A55" s="49">
        <v>54</v>
      </c>
      <c r="B55" s="159">
        <f>AgeStanSec!B55/86400</f>
        <v>3.4027777777777776E-3</v>
      </c>
      <c r="C55" s="156">
        <f>AgeStanSec!C55/86400</f>
        <v>1.1886574074074074E-2</v>
      </c>
      <c r="D55" s="107">
        <f>AgeStanSec!D55/86400</f>
        <v>1.4178240740740741E-2</v>
      </c>
      <c r="E55" s="107">
        <f>AgeStanSec!E55/86400</f>
        <v>1.5196759259259259E-2</v>
      </c>
      <c r="F55" s="107">
        <f>AgeStanSec!F55/86400</f>
        <v>1.8773148148148146E-2</v>
      </c>
      <c r="G55" s="107">
        <f>AgeStanSec!G55/86400</f>
        <v>1.8900462962962963E-2</v>
      </c>
      <c r="H55" s="107">
        <f>AgeStanSec!H55/86400</f>
        <v>2.3344907407407408E-2</v>
      </c>
      <c r="I55" s="107">
        <f>AgeStanSec!I55/86400</f>
        <v>2.8356481481481483E-2</v>
      </c>
      <c r="J55" s="107">
        <f>AgeStanSec!J55/86400</f>
        <v>3.605324074074074E-2</v>
      </c>
      <c r="K55" s="107">
        <f>AgeStanSec!K55/86400</f>
        <v>3.8935185185185184E-2</v>
      </c>
      <c r="L55" s="107">
        <f>AgeStanSec!L55/86400</f>
        <v>4.9456018518518517E-2</v>
      </c>
      <c r="M55" s="107">
        <f>AgeStanSec!M55/86400</f>
        <v>5.2349537037037035E-2</v>
      </c>
      <c r="N55" s="107">
        <f>AgeStanSec!N55/86400</f>
        <v>6.2141203703703705E-2</v>
      </c>
      <c r="O55" s="107">
        <f>AgeStanSec!O55/86400</f>
        <v>7.4849537037037034E-2</v>
      </c>
      <c r="P55" s="107">
        <f>AgeStanSec!P55/86400</f>
        <v>0.10599537037037036</v>
      </c>
      <c r="Q55" s="107">
        <f>AgeStanSec!Q55/86400</f>
        <v>0.12766203703703705</v>
      </c>
      <c r="R55" s="107">
        <f>AgeStanSec!R55/86400</f>
        <v>0.23248842592592592</v>
      </c>
      <c r="S55" s="107">
        <f>AgeStanSec!S55/86400</f>
        <v>0.32074074074074072</v>
      </c>
      <c r="T55" s="107">
        <f>AgeStanSec!T55/86400</f>
        <v>0.53975694444444444</v>
      </c>
      <c r="U55" s="107">
        <f>AgeStanSec!U55/86400</f>
        <v>0.59141203703703704</v>
      </c>
      <c r="V55" s="107">
        <f>AgeStanSec!V55/86400</f>
        <v>0.78311342592592592</v>
      </c>
      <c r="W55" s="47"/>
    </row>
    <row r="56" spans="1:23">
      <c r="A56" s="57">
        <v>55</v>
      </c>
      <c r="B56" s="160">
        <f>AgeStanSec!B56/86400</f>
        <v>3.449074074074074E-3</v>
      </c>
      <c r="C56" s="157">
        <f>AgeStanSec!C56/86400</f>
        <v>1.2025462962962963E-2</v>
      </c>
      <c r="D56" s="108">
        <f>AgeStanSec!D56/86400</f>
        <v>1.4351851851851852E-2</v>
      </c>
      <c r="E56" s="108">
        <f>AgeStanSec!E56/86400</f>
        <v>1.5381944444444445E-2</v>
      </c>
      <c r="F56" s="108">
        <f>AgeStanSec!F56/86400</f>
        <v>1.8993055555555555E-2</v>
      </c>
      <c r="G56" s="108">
        <f>AgeStanSec!G56/86400</f>
        <v>1.9120370370370371E-2</v>
      </c>
      <c r="H56" s="108">
        <f>AgeStanSec!H56/86400</f>
        <v>2.361111111111111E-2</v>
      </c>
      <c r="I56" s="108">
        <f>AgeStanSec!I56/86400</f>
        <v>2.869212962962963E-2</v>
      </c>
      <c r="J56" s="108">
        <f>AgeStanSec!J56/86400</f>
        <v>3.6493055555555556E-2</v>
      </c>
      <c r="K56" s="108">
        <f>AgeStanSec!K56/86400</f>
        <v>3.9409722222222221E-2</v>
      </c>
      <c r="L56" s="108">
        <f>AgeStanSec!L56/86400</f>
        <v>5.0081018518518518E-2</v>
      </c>
      <c r="M56" s="108">
        <f>AgeStanSec!M56/86400</f>
        <v>5.3009259259259256E-2</v>
      </c>
      <c r="N56" s="108">
        <f>AgeStanSec!N56/86400</f>
        <v>6.2928240740740743E-2</v>
      </c>
      <c r="O56" s="108">
        <f>AgeStanSec!O56/86400</f>
        <v>7.5810185185185189E-2</v>
      </c>
      <c r="P56" s="108">
        <f>AgeStanSec!P56/86400</f>
        <v>0.10734953703703703</v>
      </c>
      <c r="Q56" s="108">
        <f>AgeStanSec!Q56/86400</f>
        <v>0.12930555555555556</v>
      </c>
      <c r="R56" s="108">
        <f>AgeStanSec!R56/86400</f>
        <v>0.23547453703703702</v>
      </c>
      <c r="S56" s="108">
        <f>AgeStanSec!S56/86400</f>
        <v>0.3248611111111111</v>
      </c>
      <c r="T56" s="108">
        <f>AgeStanSec!T56/86400</f>
        <v>0.54668981481481482</v>
      </c>
      <c r="U56" s="108">
        <f>AgeStanSec!U56/86400</f>
        <v>0.59901620370370368</v>
      </c>
      <c r="V56" s="108">
        <f>AgeStanSec!V56/86400</f>
        <v>0.79318287037037039</v>
      </c>
      <c r="W56" s="47"/>
    </row>
    <row r="57" spans="1:23">
      <c r="A57" s="49">
        <v>56</v>
      </c>
      <c r="B57" s="159">
        <f>AgeStanSec!B57/86400</f>
        <v>3.4837962962962965E-3</v>
      </c>
      <c r="C57" s="156">
        <f>AgeStanSec!C57/86400</f>
        <v>1.2175925925925925E-2</v>
      </c>
      <c r="D57" s="107">
        <f>AgeStanSec!D57/86400</f>
        <v>1.4525462962962962E-2</v>
      </c>
      <c r="E57" s="107">
        <f>AgeStanSec!E57/86400</f>
        <v>1.556712962962963E-2</v>
      </c>
      <c r="F57" s="107">
        <f>AgeStanSec!F57/86400</f>
        <v>1.9212962962962963E-2</v>
      </c>
      <c r="G57" s="107">
        <f>AgeStanSec!G57/86400</f>
        <v>1.9351851851851853E-2</v>
      </c>
      <c r="H57" s="107">
        <f>AgeStanSec!H57/86400</f>
        <v>2.388888888888889E-2</v>
      </c>
      <c r="I57" s="107">
        <f>AgeStanSec!I57/86400</f>
        <v>2.9039351851851851E-2</v>
      </c>
      <c r="J57" s="107">
        <f>AgeStanSec!J57/86400</f>
        <v>3.6944444444444446E-2</v>
      </c>
      <c r="K57" s="107">
        <f>AgeStanSec!K57/86400</f>
        <v>3.9895833333333332E-2</v>
      </c>
      <c r="L57" s="107">
        <f>AgeStanSec!L57/86400</f>
        <v>5.0706018518518518E-2</v>
      </c>
      <c r="M57" s="107">
        <f>AgeStanSec!M57/86400</f>
        <v>5.3680555555555558E-2</v>
      </c>
      <c r="N57" s="107">
        <f>AgeStanSec!N57/86400</f>
        <v>6.3738425925925921E-2</v>
      </c>
      <c r="O57" s="107">
        <f>AgeStanSec!O57/86400</f>
        <v>7.678240740740741E-2</v>
      </c>
      <c r="P57" s="107">
        <f>AgeStanSec!P57/86400</f>
        <v>0.10877314814814815</v>
      </c>
      <c r="Q57" s="107">
        <f>AgeStanSec!Q57/86400</f>
        <v>0.13101851851851851</v>
      </c>
      <c r="R57" s="107">
        <f>AgeStanSec!R57/86400</f>
        <v>0.23859953703703704</v>
      </c>
      <c r="S57" s="107">
        <f>AgeStanSec!S57/86400</f>
        <v>0.32916666666666666</v>
      </c>
      <c r="T57" s="107">
        <f>AgeStanSec!T57/86400</f>
        <v>0.55393518518518514</v>
      </c>
      <c r="U57" s="107">
        <f>AgeStanSec!U57/86400</f>
        <v>0.60695601851851855</v>
      </c>
      <c r="V57" s="107">
        <f>AgeStanSec!V57/86400</f>
        <v>0.80369212962962966</v>
      </c>
      <c r="W57" s="47"/>
    </row>
    <row r="58" spans="1:23">
      <c r="A58" s="49">
        <v>57</v>
      </c>
      <c r="B58" s="159">
        <f>AgeStanSec!B58/86400</f>
        <v>3.5300925925925925E-3</v>
      </c>
      <c r="C58" s="156">
        <f>AgeStanSec!C58/86400</f>
        <v>1.2314814814814815E-2</v>
      </c>
      <c r="D58" s="107">
        <f>AgeStanSec!D58/86400</f>
        <v>1.4699074074074074E-2</v>
      </c>
      <c r="E58" s="107">
        <f>AgeStanSec!E58/86400</f>
        <v>1.5752314814814816E-2</v>
      </c>
      <c r="F58" s="107">
        <f>AgeStanSec!F58/86400</f>
        <v>1.9456018518518518E-2</v>
      </c>
      <c r="G58" s="107">
        <f>AgeStanSec!G58/86400</f>
        <v>1.9594907407407408E-2</v>
      </c>
      <c r="H58" s="107">
        <f>AgeStanSec!H58/86400</f>
        <v>2.4189814814814813E-2</v>
      </c>
      <c r="I58" s="107">
        <f>AgeStanSec!I58/86400</f>
        <v>2.9409722222222223E-2</v>
      </c>
      <c r="J58" s="107">
        <f>AgeStanSec!J58/86400</f>
        <v>3.7418981481481484E-2</v>
      </c>
      <c r="K58" s="107">
        <f>AgeStanSec!K58/86400</f>
        <v>4.0416666666666663E-2</v>
      </c>
      <c r="L58" s="107">
        <f>AgeStanSec!L58/86400</f>
        <v>5.136574074074074E-2</v>
      </c>
      <c r="M58" s="107">
        <f>AgeStanSec!M58/86400</f>
        <v>5.4386574074074073E-2</v>
      </c>
      <c r="N58" s="107">
        <f>AgeStanSec!N58/86400</f>
        <v>6.4571759259259259E-2</v>
      </c>
      <c r="O58" s="107">
        <f>AgeStanSec!O58/86400</f>
        <v>7.7800925925925926E-2</v>
      </c>
      <c r="P58" s="107">
        <f>AgeStanSec!P58/86400</f>
        <v>0.11024305555555555</v>
      </c>
      <c r="Q58" s="107">
        <f>AgeStanSec!Q58/86400</f>
        <v>0.13277777777777777</v>
      </c>
      <c r="R58" s="107">
        <f>AgeStanSec!R58/86400</f>
        <v>0.24180555555555555</v>
      </c>
      <c r="S58" s="107">
        <f>AgeStanSec!S58/86400</f>
        <v>0.33358796296296295</v>
      </c>
      <c r="T58" s="107">
        <f>AgeStanSec!T58/86400</f>
        <v>0.56137731481481479</v>
      </c>
      <c r="U58" s="107">
        <f>AgeStanSec!U58/86400</f>
        <v>0.61511574074074071</v>
      </c>
      <c r="V58" s="107">
        <f>AgeStanSec!V58/86400</f>
        <v>0.81450231481481483</v>
      </c>
      <c r="W58" s="47"/>
    </row>
    <row r="59" spans="1:23">
      <c r="A59" s="49">
        <v>58</v>
      </c>
      <c r="B59" s="159">
        <f>AgeStanSec!B59/86400</f>
        <v>3.5648148148148149E-3</v>
      </c>
      <c r="C59" s="156">
        <f>AgeStanSec!C59/86400</f>
        <v>1.2465277777777778E-2</v>
      </c>
      <c r="D59" s="107">
        <f>AgeStanSec!D59/86400</f>
        <v>1.4884259259259259E-2</v>
      </c>
      <c r="E59" s="107">
        <f>AgeStanSec!E59/86400</f>
        <v>1.5949074074074074E-2</v>
      </c>
      <c r="F59" s="107">
        <f>AgeStanSec!F59/86400</f>
        <v>1.9710648148148147E-2</v>
      </c>
      <c r="G59" s="107">
        <f>AgeStanSec!G59/86400</f>
        <v>1.9849537037037037E-2</v>
      </c>
      <c r="H59" s="107">
        <f>AgeStanSec!H59/86400</f>
        <v>2.4502314814814814E-2</v>
      </c>
      <c r="I59" s="107">
        <f>AgeStanSec!I59/86400</f>
        <v>2.9791666666666668E-2</v>
      </c>
      <c r="J59" s="107">
        <f>AgeStanSec!J59/86400</f>
        <v>3.7893518518518521E-2</v>
      </c>
      <c r="K59" s="107">
        <f>AgeStanSec!K59/86400</f>
        <v>4.0937500000000002E-2</v>
      </c>
      <c r="L59" s="107">
        <f>AgeStanSec!L59/86400</f>
        <v>5.2037037037037034E-2</v>
      </c>
      <c r="M59" s="107">
        <f>AgeStanSec!M59/86400</f>
        <v>5.5092592592592596E-2</v>
      </c>
      <c r="N59" s="107">
        <f>AgeStanSec!N59/86400</f>
        <v>6.5416666666666665E-2</v>
      </c>
      <c r="O59" s="107">
        <f>AgeStanSec!O59/86400</f>
        <v>7.8842592592592589E-2</v>
      </c>
      <c r="P59" s="107">
        <f>AgeStanSec!P59/86400</f>
        <v>0.11173611111111111</v>
      </c>
      <c r="Q59" s="107">
        <f>AgeStanSec!Q59/86400</f>
        <v>0.13458333333333333</v>
      </c>
      <c r="R59" s="107">
        <f>AgeStanSec!R59/86400</f>
        <v>0.24509259259259258</v>
      </c>
      <c r="S59" s="107">
        <f>AgeStanSec!S59/86400</f>
        <v>0.33813657407407405</v>
      </c>
      <c r="T59" s="107">
        <f>AgeStanSec!T59/86400</f>
        <v>0.5690277777777778</v>
      </c>
      <c r="U59" s="107">
        <f>AgeStanSec!U59/86400</f>
        <v>0.62349537037037039</v>
      </c>
      <c r="V59" s="107">
        <f>AgeStanSec!V59/86400</f>
        <v>0.82559027777777783</v>
      </c>
      <c r="W59" s="47"/>
    </row>
    <row r="60" spans="1:23">
      <c r="A60" s="49">
        <v>59</v>
      </c>
      <c r="B60" s="159">
        <f>AgeStanSec!B60/86400</f>
        <v>3.6111111111111109E-3</v>
      </c>
      <c r="C60" s="156">
        <f>AgeStanSec!C60/86400</f>
        <v>1.2627314814814815E-2</v>
      </c>
      <c r="D60" s="107">
        <f>AgeStanSec!D60/86400</f>
        <v>1.5069444444444444E-2</v>
      </c>
      <c r="E60" s="107">
        <f>AgeStanSec!E60/86400</f>
        <v>1.6157407407407409E-2</v>
      </c>
      <c r="F60" s="107">
        <f>AgeStanSec!F60/86400</f>
        <v>1.9953703703703703E-2</v>
      </c>
      <c r="G60" s="107">
        <f>AgeStanSec!G60/86400</f>
        <v>2.0092592592592592E-2</v>
      </c>
      <c r="H60" s="107">
        <f>AgeStanSec!H60/86400</f>
        <v>2.4826388888888887E-2</v>
      </c>
      <c r="I60" s="107">
        <f>AgeStanSec!I60/86400</f>
        <v>3.0185185185185186E-2</v>
      </c>
      <c r="J60" s="107">
        <f>AgeStanSec!J60/86400</f>
        <v>3.8402777777777779E-2</v>
      </c>
      <c r="K60" s="107">
        <f>AgeStanSec!K60/86400</f>
        <v>4.1469907407407407E-2</v>
      </c>
      <c r="L60" s="107">
        <f>AgeStanSec!L60/86400</f>
        <v>5.271990740740741E-2</v>
      </c>
      <c r="M60" s="107">
        <f>AgeStanSec!M60/86400</f>
        <v>5.5821759259259258E-2</v>
      </c>
      <c r="N60" s="107">
        <f>AgeStanSec!N60/86400</f>
        <v>6.6296296296296298E-2</v>
      </c>
      <c r="O60" s="107">
        <f>AgeStanSec!O60/86400</f>
        <v>7.9907407407407413E-2</v>
      </c>
      <c r="P60" s="107">
        <f>AgeStanSec!P60/86400</f>
        <v>0.11328703703703703</v>
      </c>
      <c r="Q60" s="107">
        <f>AgeStanSec!Q60/86400</f>
        <v>0.13644675925925925</v>
      </c>
      <c r="R60" s="107">
        <f>AgeStanSec!R60/86400</f>
        <v>0.2484837962962963</v>
      </c>
      <c r="S60" s="107">
        <f>AgeStanSec!S60/86400</f>
        <v>0.34280092592592593</v>
      </c>
      <c r="T60" s="107">
        <f>AgeStanSec!T60/86400</f>
        <v>0.57688657407407407</v>
      </c>
      <c r="U60" s="107">
        <f>AgeStanSec!U60/86400</f>
        <v>0.63210648148148152</v>
      </c>
      <c r="V60" s="107">
        <f>AgeStanSec!V60/86400</f>
        <v>0.83699074074074076</v>
      </c>
      <c r="W60" s="47"/>
    </row>
    <row r="61" spans="1:23">
      <c r="A61" s="57">
        <v>60</v>
      </c>
      <c r="B61" s="160">
        <f>AgeStanSec!B61/86400</f>
        <v>3.6574074074074074E-3</v>
      </c>
      <c r="C61" s="157">
        <f>AgeStanSec!C61/86400</f>
        <v>1.2777777777777779E-2</v>
      </c>
      <c r="D61" s="108">
        <f>AgeStanSec!D61/86400</f>
        <v>1.5266203703703704E-2</v>
      </c>
      <c r="E61" s="108">
        <f>AgeStanSec!E61/86400</f>
        <v>1.636574074074074E-2</v>
      </c>
      <c r="F61" s="108">
        <f>AgeStanSec!F61/86400</f>
        <v>2.0219907407407409E-2</v>
      </c>
      <c r="G61" s="108">
        <f>AgeStanSec!G61/86400</f>
        <v>2.0358796296296295E-2</v>
      </c>
      <c r="H61" s="108">
        <f>AgeStanSec!H61/86400</f>
        <v>2.5150462962962961E-2</v>
      </c>
      <c r="I61" s="108">
        <f>AgeStanSec!I61/86400</f>
        <v>3.0578703703703705E-2</v>
      </c>
      <c r="J61" s="108">
        <f>AgeStanSec!J61/86400</f>
        <v>3.8912037037037037E-2</v>
      </c>
      <c r="K61" s="108">
        <f>AgeStanSec!K61/86400</f>
        <v>4.2025462962962966E-2</v>
      </c>
      <c r="L61" s="108">
        <f>AgeStanSec!L61/86400</f>
        <v>5.3425925925925925E-2</v>
      </c>
      <c r="M61" s="108">
        <f>AgeStanSec!M61/86400</f>
        <v>5.6562500000000002E-2</v>
      </c>
      <c r="N61" s="108">
        <f>AgeStanSec!N61/86400</f>
        <v>6.7187499999999997E-2</v>
      </c>
      <c r="O61" s="108">
        <f>AgeStanSec!O61/86400</f>
        <v>8.099537037037037E-2</v>
      </c>
      <c r="P61" s="108">
        <f>AgeStanSec!P61/86400</f>
        <v>0.11487268518518519</v>
      </c>
      <c r="Q61" s="108">
        <f>AgeStanSec!Q61/86400</f>
        <v>0.13835648148148147</v>
      </c>
      <c r="R61" s="108">
        <f>AgeStanSec!R61/86400</f>
        <v>0.2519675925925926</v>
      </c>
      <c r="S61" s="108">
        <f>AgeStanSec!S61/86400</f>
        <v>0.34760416666666666</v>
      </c>
      <c r="T61" s="108">
        <f>AgeStanSec!T61/86400</f>
        <v>0.58496527777777774</v>
      </c>
      <c r="U61" s="108">
        <f>AgeStanSec!U61/86400</f>
        <v>0.64096064814814813</v>
      </c>
      <c r="V61" s="108">
        <f>AgeStanSec!V61/86400</f>
        <v>0.84871527777777778</v>
      </c>
      <c r="W61" s="47"/>
    </row>
    <row r="62" spans="1:23">
      <c r="A62" s="49">
        <v>61</v>
      </c>
      <c r="B62" s="159">
        <f>AgeStanSec!B62/86400</f>
        <v>3.7037037037037038E-3</v>
      </c>
      <c r="C62" s="156">
        <f>AgeStanSec!C62/86400</f>
        <v>1.2951388888888889E-2</v>
      </c>
      <c r="D62" s="107">
        <f>AgeStanSec!D62/86400</f>
        <v>1.5462962962962963E-2</v>
      </c>
      <c r="E62" s="107">
        <f>AgeStanSec!E62/86400</f>
        <v>1.6574074074074074E-2</v>
      </c>
      <c r="F62" s="107">
        <f>AgeStanSec!F62/86400</f>
        <v>2.0486111111111111E-2</v>
      </c>
      <c r="G62" s="107">
        <f>AgeStanSec!G62/86400</f>
        <v>2.0625000000000001E-2</v>
      </c>
      <c r="H62" s="107">
        <f>AgeStanSec!H62/86400</f>
        <v>2.5486111111111112E-2</v>
      </c>
      <c r="I62" s="107">
        <f>AgeStanSec!I62/86400</f>
        <v>3.0995370370370371E-2</v>
      </c>
      <c r="J62" s="107">
        <f>AgeStanSec!J62/86400</f>
        <v>3.9432870370370368E-2</v>
      </c>
      <c r="K62" s="107">
        <f>AgeStanSec!K62/86400</f>
        <v>4.2592592592592592E-2</v>
      </c>
      <c r="L62" s="107">
        <f>AgeStanSec!L62/86400</f>
        <v>5.4155092592592595E-2</v>
      </c>
      <c r="M62" s="107">
        <f>AgeStanSec!M62/86400</f>
        <v>5.7337962962962966E-2</v>
      </c>
      <c r="N62" s="107">
        <f>AgeStanSec!N62/86400</f>
        <v>6.8113425925925924E-2</v>
      </c>
      <c r="O62" s="107">
        <f>AgeStanSec!O62/86400</f>
        <v>8.2118055555555555E-2</v>
      </c>
      <c r="P62" s="107">
        <f>AgeStanSec!P62/86400</f>
        <v>0.11650462962962962</v>
      </c>
      <c r="Q62" s="107">
        <f>AgeStanSec!Q62/86400</f>
        <v>0.14032407407407407</v>
      </c>
      <c r="R62" s="107">
        <f>AgeStanSec!R62/86400</f>
        <v>0.2555439814814815</v>
      </c>
      <c r="S62" s="107">
        <f>AgeStanSec!S62/86400</f>
        <v>0.3525462962962963</v>
      </c>
      <c r="T62" s="107">
        <f>AgeStanSec!T62/86400</f>
        <v>0.59327546296296296</v>
      </c>
      <c r="U62" s="107">
        <f>AgeStanSec!U62/86400</f>
        <v>0.65005787037037033</v>
      </c>
      <c r="V62" s="107">
        <f>AgeStanSec!V62/86400</f>
        <v>0.86077546296296292</v>
      </c>
      <c r="W62" s="47"/>
    </row>
    <row r="63" spans="1:23">
      <c r="A63" s="49">
        <v>62</v>
      </c>
      <c r="B63" s="159">
        <f>AgeStanSec!B63/86400</f>
        <v>3.7499999999999999E-3</v>
      </c>
      <c r="C63" s="156">
        <f>AgeStanSec!C63/86400</f>
        <v>1.3113425925925926E-2</v>
      </c>
      <c r="D63" s="107">
        <f>AgeStanSec!D63/86400</f>
        <v>1.5659722222222221E-2</v>
      </c>
      <c r="E63" s="107">
        <f>AgeStanSec!E63/86400</f>
        <v>1.6793981481481483E-2</v>
      </c>
      <c r="F63" s="107">
        <f>AgeStanSec!F63/86400</f>
        <v>2.0752314814814814E-2</v>
      </c>
      <c r="G63" s="107">
        <f>AgeStanSec!G63/86400</f>
        <v>2.0902777777777777E-2</v>
      </c>
      <c r="H63" s="107">
        <f>AgeStanSec!H63/86400</f>
        <v>2.5833333333333333E-2</v>
      </c>
      <c r="I63" s="107">
        <f>AgeStanSec!I63/86400</f>
        <v>3.1412037037037037E-2</v>
      </c>
      <c r="J63" s="107">
        <f>AgeStanSec!J63/86400</f>
        <v>3.9976851851851854E-2</v>
      </c>
      <c r="K63" s="107">
        <f>AgeStanSec!K63/86400</f>
        <v>4.3182870370370371E-2</v>
      </c>
      <c r="L63" s="107">
        <f>AgeStanSec!L63/86400</f>
        <v>5.4895833333333331E-2</v>
      </c>
      <c r="M63" s="107">
        <f>AgeStanSec!M63/86400</f>
        <v>5.8125000000000003E-2</v>
      </c>
      <c r="N63" s="107">
        <f>AgeStanSec!N63/86400</f>
        <v>6.9062499999999999E-2</v>
      </c>
      <c r="O63" s="107">
        <f>AgeStanSec!O63/86400</f>
        <v>8.3287037037037034E-2</v>
      </c>
      <c r="P63" s="107">
        <f>AgeStanSec!P63/86400</f>
        <v>0.11818287037037037</v>
      </c>
      <c r="Q63" s="107">
        <f>AgeStanSec!Q63/86400</f>
        <v>0.14234953703703704</v>
      </c>
      <c r="R63" s="107">
        <f>AgeStanSec!R63/86400</f>
        <v>0.25922453703703702</v>
      </c>
      <c r="S63" s="107">
        <f>AgeStanSec!S63/86400</f>
        <v>0.35761574074074076</v>
      </c>
      <c r="T63" s="107">
        <f>AgeStanSec!T63/86400</f>
        <v>0.60181712962962963</v>
      </c>
      <c r="U63" s="107">
        <f>AgeStanSec!U63/86400</f>
        <v>0.65942129629629631</v>
      </c>
      <c r="V63" s="107">
        <f>AgeStanSec!V63/86400</f>
        <v>0.87317129629629631</v>
      </c>
      <c r="W63" s="47"/>
    </row>
    <row r="64" spans="1:23">
      <c r="A64" s="49">
        <v>63</v>
      </c>
      <c r="B64" s="159">
        <f>AgeStanSec!B64/86400</f>
        <v>3.7962962962962963E-3</v>
      </c>
      <c r="C64" s="156">
        <f>AgeStanSec!C64/86400</f>
        <v>1.3287037037037036E-2</v>
      </c>
      <c r="D64" s="107">
        <f>AgeStanSec!D64/86400</f>
        <v>1.5868055555555555E-2</v>
      </c>
      <c r="E64" s="107">
        <f>AgeStanSec!E64/86400</f>
        <v>1.7013888888888887E-2</v>
      </c>
      <c r="F64" s="107">
        <f>AgeStanSec!F64/86400</f>
        <v>2.1041666666666667E-2</v>
      </c>
      <c r="G64" s="107">
        <f>AgeStanSec!G64/86400</f>
        <v>2.119212962962963E-2</v>
      </c>
      <c r="H64" s="107">
        <f>AgeStanSec!H64/86400</f>
        <v>2.6192129629629631E-2</v>
      </c>
      <c r="I64" s="107">
        <f>AgeStanSec!I64/86400</f>
        <v>3.1851851851851853E-2</v>
      </c>
      <c r="J64" s="107">
        <f>AgeStanSec!J64/86400</f>
        <v>4.0532407407407406E-2</v>
      </c>
      <c r="K64" s="107">
        <f>AgeStanSec!K64/86400</f>
        <v>4.3784722222222225E-2</v>
      </c>
      <c r="L64" s="107">
        <f>AgeStanSec!L64/86400</f>
        <v>5.5659722222222222E-2</v>
      </c>
      <c r="M64" s="107">
        <f>AgeStanSec!M64/86400</f>
        <v>5.8935185185185188E-2</v>
      </c>
      <c r="N64" s="107">
        <f>AgeStanSec!N64/86400</f>
        <v>7.0046296296296301E-2</v>
      </c>
      <c r="O64" s="107">
        <f>AgeStanSec!O64/86400</f>
        <v>8.4479166666666661E-2</v>
      </c>
      <c r="P64" s="107">
        <f>AgeStanSec!P64/86400</f>
        <v>0.11990740740740741</v>
      </c>
      <c r="Q64" s="107">
        <f>AgeStanSec!Q64/86400</f>
        <v>0.1444212962962963</v>
      </c>
      <c r="R64" s="107">
        <f>AgeStanSec!R64/86400</f>
        <v>0.26300925925925928</v>
      </c>
      <c r="S64" s="107">
        <f>AgeStanSec!S64/86400</f>
        <v>0.36284722222222221</v>
      </c>
      <c r="T64" s="107">
        <f>AgeStanSec!T64/86400</f>
        <v>0.61061342592592593</v>
      </c>
      <c r="U64" s="107">
        <f>AgeStanSec!U64/86400</f>
        <v>0.6690625</v>
      </c>
      <c r="V64" s="107">
        <f>AgeStanSec!V64/86400</f>
        <v>0.88593750000000004</v>
      </c>
      <c r="W64" s="47"/>
    </row>
    <row r="65" spans="1:23">
      <c r="A65" s="49">
        <v>64</v>
      </c>
      <c r="B65" s="159">
        <f>AgeStanSec!B65/86400</f>
        <v>3.8425925925925928E-3</v>
      </c>
      <c r="C65" s="156">
        <f>AgeStanSec!C65/86400</f>
        <v>1.3460648148148149E-2</v>
      </c>
      <c r="D65" s="107">
        <f>AgeStanSec!D65/86400</f>
        <v>1.607638888888889E-2</v>
      </c>
      <c r="E65" s="107">
        <f>AgeStanSec!E65/86400</f>
        <v>1.7245370370370369E-2</v>
      </c>
      <c r="F65" s="107">
        <f>AgeStanSec!F65/86400</f>
        <v>2.133101851851852E-2</v>
      </c>
      <c r="G65" s="107">
        <f>AgeStanSec!G65/86400</f>
        <v>2.148148148148148E-2</v>
      </c>
      <c r="H65" s="107">
        <f>AgeStanSec!H65/86400</f>
        <v>2.6562499999999999E-2</v>
      </c>
      <c r="I65" s="107">
        <f>AgeStanSec!I65/86400</f>
        <v>3.229166666666667E-2</v>
      </c>
      <c r="J65" s="107">
        <f>AgeStanSec!J65/86400</f>
        <v>4.1099537037037039E-2</v>
      </c>
      <c r="K65" s="107">
        <f>AgeStanSec!K65/86400</f>
        <v>4.4398148148148145E-2</v>
      </c>
      <c r="L65" s="107">
        <f>AgeStanSec!L65/86400</f>
        <v>5.6446759259259259E-2</v>
      </c>
      <c r="M65" s="107">
        <f>AgeStanSec!M65/86400</f>
        <v>5.9768518518518519E-2</v>
      </c>
      <c r="N65" s="107">
        <f>AgeStanSec!N65/86400</f>
        <v>7.104166666666667E-2</v>
      </c>
      <c r="O65" s="107">
        <f>AgeStanSec!O65/86400</f>
        <v>8.5706018518518515E-2</v>
      </c>
      <c r="P65" s="107">
        <f>AgeStanSec!P65/86400</f>
        <v>0.12168981481481482</v>
      </c>
      <c r="Q65" s="107">
        <f>AgeStanSec!Q65/86400</f>
        <v>0.14657407407407408</v>
      </c>
      <c r="R65" s="107">
        <f>AgeStanSec!R65/86400</f>
        <v>0.2669097222222222</v>
      </c>
      <c r="S65" s="107">
        <f>AgeStanSec!S65/86400</f>
        <v>0.36822916666666666</v>
      </c>
      <c r="T65" s="107">
        <f>AgeStanSec!T65/86400</f>
        <v>0.61967592592592591</v>
      </c>
      <c r="U65" s="107">
        <f>AgeStanSec!U65/86400</f>
        <v>0.67899305555555556</v>
      </c>
      <c r="V65" s="107">
        <f>AgeStanSec!V65/86400</f>
        <v>0.89907407407407403</v>
      </c>
      <c r="W65" s="47"/>
    </row>
    <row r="66" spans="1:23">
      <c r="A66" s="57">
        <v>65</v>
      </c>
      <c r="B66" s="160">
        <f>AgeStanSec!B66/86400</f>
        <v>3.8888888888888888E-3</v>
      </c>
      <c r="C66" s="157">
        <f>AgeStanSec!C66/86400</f>
        <v>1.3645833333333333E-2</v>
      </c>
      <c r="D66" s="108">
        <f>AgeStanSec!D66/86400</f>
        <v>1.6296296296296295E-2</v>
      </c>
      <c r="E66" s="108">
        <f>AgeStanSec!E66/86400</f>
        <v>1.7476851851851851E-2</v>
      </c>
      <c r="F66" s="108">
        <f>AgeStanSec!F66/86400</f>
        <v>2.162037037037037E-2</v>
      </c>
      <c r="G66" s="108">
        <f>AgeStanSec!G66/86400</f>
        <v>2.1782407407407407E-2</v>
      </c>
      <c r="H66" s="108">
        <f>AgeStanSec!H66/86400</f>
        <v>2.6932870370370371E-2</v>
      </c>
      <c r="I66" s="108">
        <f>AgeStanSec!I66/86400</f>
        <v>3.2754629629629627E-2</v>
      </c>
      <c r="J66" s="108">
        <f>AgeStanSec!J66/86400</f>
        <v>4.1689814814814811E-2</v>
      </c>
      <c r="K66" s="108">
        <f>AgeStanSec!K66/86400</f>
        <v>4.5034722222222219E-2</v>
      </c>
      <c r="L66" s="108">
        <f>AgeStanSec!L66/86400</f>
        <v>5.7256944444444444E-2</v>
      </c>
      <c r="M66" s="108">
        <f>AgeStanSec!M66/86400</f>
        <v>6.0636574074074072E-2</v>
      </c>
      <c r="N66" s="108">
        <f>AgeStanSec!N66/86400</f>
        <v>7.2083333333333333E-2</v>
      </c>
      <c r="O66" s="108">
        <f>AgeStanSec!O66/86400</f>
        <v>8.6967592592592596E-2</v>
      </c>
      <c r="P66" s="108">
        <f>AgeStanSec!P66/86400</f>
        <v>0.12351851851851851</v>
      </c>
      <c r="Q66" s="108">
        <f>AgeStanSec!Q66/86400</f>
        <v>0.14877314814814815</v>
      </c>
      <c r="R66" s="108">
        <f>AgeStanSec!R66/86400</f>
        <v>0.2709375</v>
      </c>
      <c r="S66" s="108">
        <f>AgeStanSec!S66/86400</f>
        <v>0.37377314814814816</v>
      </c>
      <c r="T66" s="108">
        <f>AgeStanSec!T66/86400</f>
        <v>0.62900462962962966</v>
      </c>
      <c r="U66" s="108">
        <f>AgeStanSec!U66/86400</f>
        <v>0.68921296296296297</v>
      </c>
      <c r="V66" s="108">
        <f>AgeStanSec!V66/86400</f>
        <v>0.9126157407407407</v>
      </c>
      <c r="W66" s="47"/>
    </row>
    <row r="67" spans="1:23">
      <c r="A67" s="49">
        <v>66</v>
      </c>
      <c r="B67" s="159">
        <f>AgeStanSec!B67/86400</f>
        <v>3.9351851851851848E-3</v>
      </c>
      <c r="C67" s="156">
        <f>AgeStanSec!C67/86400</f>
        <v>1.3831018518518519E-2</v>
      </c>
      <c r="D67" s="107">
        <f>AgeStanSec!D67/86400</f>
        <v>1.6527777777777777E-2</v>
      </c>
      <c r="E67" s="107">
        <f>AgeStanSec!E67/86400</f>
        <v>1.7719907407407406E-2</v>
      </c>
      <c r="F67" s="107">
        <f>AgeStanSec!F67/86400</f>
        <v>2.193287037037037E-2</v>
      </c>
      <c r="G67" s="107">
        <f>AgeStanSec!G67/86400</f>
        <v>2.2083333333333333E-2</v>
      </c>
      <c r="H67" s="107">
        <f>AgeStanSec!H67/86400</f>
        <v>2.732638888888889E-2</v>
      </c>
      <c r="I67" s="107">
        <f>AgeStanSec!I67/86400</f>
        <v>3.3229166666666664E-2</v>
      </c>
      <c r="J67" s="107">
        <f>AgeStanSec!J67/86400</f>
        <v>4.2291666666666665E-2</v>
      </c>
      <c r="K67" s="107">
        <f>AgeStanSec!K67/86400</f>
        <v>4.5682870370370374E-2</v>
      </c>
      <c r="L67" s="107">
        <f>AgeStanSec!L67/86400</f>
        <v>5.8101851851851849E-2</v>
      </c>
      <c r="M67" s="107">
        <f>AgeStanSec!M67/86400</f>
        <v>6.1516203703703705E-2</v>
      </c>
      <c r="N67" s="107">
        <f>AgeStanSec!N67/86400</f>
        <v>7.3136574074074076E-2</v>
      </c>
      <c r="O67" s="107">
        <f>AgeStanSec!O67/86400</f>
        <v>8.8263888888888892E-2</v>
      </c>
      <c r="P67" s="107">
        <f>AgeStanSec!P67/86400</f>
        <v>0.12540509259259258</v>
      </c>
      <c r="Q67" s="107">
        <f>AgeStanSec!Q67/86400</f>
        <v>0.15105324074074075</v>
      </c>
      <c r="R67" s="107">
        <f>AgeStanSec!R67/86400</f>
        <v>0.27508101851851852</v>
      </c>
      <c r="S67" s="107">
        <f>AgeStanSec!S67/86400</f>
        <v>0.37949074074074074</v>
      </c>
      <c r="T67" s="107">
        <f>AgeStanSec!T67/86400</f>
        <v>0.63862268518518517</v>
      </c>
      <c r="U67" s="107">
        <f>AgeStanSec!U67/86400</f>
        <v>0.69975694444444447</v>
      </c>
      <c r="V67" s="107">
        <f>AgeStanSec!V67/86400</f>
        <v>0.92657407407407411</v>
      </c>
      <c r="W67" s="47"/>
    </row>
    <row r="68" spans="1:23">
      <c r="A68" s="49">
        <v>67</v>
      </c>
      <c r="B68" s="159">
        <f>AgeStanSec!B68/86400</f>
        <v>3.9930555555555552E-3</v>
      </c>
      <c r="C68" s="156">
        <f>AgeStanSec!C68/86400</f>
        <v>1.4016203703703704E-2</v>
      </c>
      <c r="D68" s="107">
        <f>AgeStanSec!D68/86400</f>
        <v>1.6759259259259258E-2</v>
      </c>
      <c r="E68" s="107">
        <f>AgeStanSec!E68/86400</f>
        <v>1.7974537037037035E-2</v>
      </c>
      <c r="F68" s="107">
        <f>AgeStanSec!F68/86400</f>
        <v>2.224537037037037E-2</v>
      </c>
      <c r="G68" s="107">
        <f>AgeStanSec!G68/86400</f>
        <v>2.2395833333333334E-2</v>
      </c>
      <c r="H68" s="107">
        <f>AgeStanSec!H68/86400</f>
        <v>2.7719907407407408E-2</v>
      </c>
      <c r="I68" s="107">
        <f>AgeStanSec!I68/86400</f>
        <v>3.3715277777777775E-2</v>
      </c>
      <c r="J68" s="107">
        <f>AgeStanSec!J68/86400</f>
        <v>4.2916666666666665E-2</v>
      </c>
      <c r="K68" s="107">
        <f>AgeStanSec!K68/86400</f>
        <v>4.6354166666666669E-2</v>
      </c>
      <c r="L68" s="107">
        <f>AgeStanSec!L68/86400</f>
        <v>5.8958333333333335E-2</v>
      </c>
      <c r="M68" s="107">
        <f>AgeStanSec!M68/86400</f>
        <v>6.2430555555555559E-2</v>
      </c>
      <c r="N68" s="107">
        <f>AgeStanSec!N68/86400</f>
        <v>7.4236111111111114E-2</v>
      </c>
      <c r="O68" s="107">
        <f>AgeStanSec!O68/86400</f>
        <v>8.9594907407407401E-2</v>
      </c>
      <c r="P68" s="107">
        <f>AgeStanSec!P68/86400</f>
        <v>0.12736111111111112</v>
      </c>
      <c r="Q68" s="107">
        <f>AgeStanSec!Q68/86400</f>
        <v>0.15339120370370371</v>
      </c>
      <c r="R68" s="107">
        <f>AgeStanSec!R68/86400</f>
        <v>0.27934027777777776</v>
      </c>
      <c r="S68" s="107">
        <f>AgeStanSec!S68/86400</f>
        <v>0.38538194444444446</v>
      </c>
      <c r="T68" s="107">
        <f>AgeStanSec!T68/86400</f>
        <v>0.64854166666666668</v>
      </c>
      <c r="U68" s="107">
        <f>AgeStanSec!U68/86400</f>
        <v>0.71061342592592591</v>
      </c>
      <c r="V68" s="107">
        <f>AgeStanSec!V68/86400</f>
        <v>0.94096064814814817</v>
      </c>
      <c r="W68" s="47"/>
    </row>
    <row r="69" spans="1:23">
      <c r="A69" s="49">
        <v>68</v>
      </c>
      <c r="B69" s="159">
        <f>AgeStanSec!B69/86400</f>
        <v>4.0509259259259257E-3</v>
      </c>
      <c r="C69" s="156">
        <f>AgeStanSec!C69/86400</f>
        <v>1.4212962962962964E-2</v>
      </c>
      <c r="D69" s="107">
        <f>AgeStanSec!D69/86400</f>
        <v>1.699074074074074E-2</v>
      </c>
      <c r="E69" s="107">
        <f>AgeStanSec!E69/86400</f>
        <v>1.8229166666666668E-2</v>
      </c>
      <c r="F69" s="107">
        <f>AgeStanSec!F69/86400</f>
        <v>2.2569444444444444E-2</v>
      </c>
      <c r="G69" s="107">
        <f>AgeStanSec!G69/86400</f>
        <v>2.2731481481481481E-2</v>
      </c>
      <c r="H69" s="107">
        <f>AgeStanSec!H69/86400</f>
        <v>2.8125000000000001E-2</v>
      </c>
      <c r="I69" s="107">
        <f>AgeStanSec!I69/86400</f>
        <v>3.4212962962962966E-2</v>
      </c>
      <c r="J69" s="107">
        <f>AgeStanSec!J69/86400</f>
        <v>4.355324074074074E-2</v>
      </c>
      <c r="K69" s="107">
        <f>AgeStanSec!K69/86400</f>
        <v>4.704861111111111E-2</v>
      </c>
      <c r="L69" s="107">
        <f>AgeStanSec!L69/86400</f>
        <v>5.9837962962962961E-2</v>
      </c>
      <c r="M69" s="107">
        <f>AgeStanSec!M69/86400</f>
        <v>6.3368055555555552E-2</v>
      </c>
      <c r="N69" s="107">
        <f>AgeStanSec!N69/86400</f>
        <v>7.5358796296296299E-2</v>
      </c>
      <c r="O69" s="107">
        <f>AgeStanSec!O69/86400</f>
        <v>9.0983796296296299E-2</v>
      </c>
      <c r="P69" s="107">
        <f>AgeStanSec!P69/86400</f>
        <v>0.12936342592592592</v>
      </c>
      <c r="Q69" s="107">
        <f>AgeStanSec!Q69/86400</f>
        <v>0.15581018518518519</v>
      </c>
      <c r="R69" s="107">
        <f>AgeStanSec!R69/86400</f>
        <v>0.28375</v>
      </c>
      <c r="S69" s="107">
        <f>AgeStanSec!S69/86400</f>
        <v>0.39145833333333335</v>
      </c>
      <c r="T69" s="107">
        <f>AgeStanSec!T69/86400</f>
        <v>0.65877314814814814</v>
      </c>
      <c r="U69" s="107">
        <f>AgeStanSec!U69/86400</f>
        <v>0.72182870370370367</v>
      </c>
      <c r="V69" s="107">
        <f>AgeStanSec!V69/86400</f>
        <v>0.95579861111111108</v>
      </c>
      <c r="W69" s="47"/>
    </row>
    <row r="70" spans="1:23">
      <c r="A70" s="49">
        <v>69</v>
      </c>
      <c r="B70" s="159">
        <f>AgeStanSec!B70/86400</f>
        <v>4.0972222222222226E-3</v>
      </c>
      <c r="C70" s="156">
        <f>AgeStanSec!C70/86400</f>
        <v>1.4409722222222223E-2</v>
      </c>
      <c r="D70" s="107">
        <f>AgeStanSec!D70/86400</f>
        <v>1.7245370370370369E-2</v>
      </c>
      <c r="E70" s="107">
        <f>AgeStanSec!E70/86400</f>
        <v>1.849537037037037E-2</v>
      </c>
      <c r="F70" s="107">
        <f>AgeStanSec!F70/86400</f>
        <v>2.2905092592592591E-2</v>
      </c>
      <c r="G70" s="107">
        <f>AgeStanSec!G70/86400</f>
        <v>2.3067129629629628E-2</v>
      </c>
      <c r="H70" s="107">
        <f>AgeStanSec!H70/86400</f>
        <v>2.855324074074074E-2</v>
      </c>
      <c r="I70" s="107">
        <f>AgeStanSec!I70/86400</f>
        <v>3.4733796296296297E-2</v>
      </c>
      <c r="J70" s="107">
        <f>AgeStanSec!J70/86400</f>
        <v>4.4212962962962961E-2</v>
      </c>
      <c r="K70" s="107">
        <f>AgeStanSec!K70/86400</f>
        <v>4.7754629629629633E-2</v>
      </c>
      <c r="L70" s="107">
        <f>AgeStanSec!L70/86400</f>
        <v>6.0752314814814815E-2</v>
      </c>
      <c r="M70" s="107">
        <f>AgeStanSec!M70/86400</f>
        <v>6.4340277777777774E-2</v>
      </c>
      <c r="N70" s="107">
        <f>AgeStanSec!N70/86400</f>
        <v>7.6539351851851858E-2</v>
      </c>
      <c r="O70" s="107">
        <f>AgeStanSec!O70/86400</f>
        <v>9.240740740740741E-2</v>
      </c>
      <c r="P70" s="107">
        <f>AgeStanSec!P70/86400</f>
        <v>0.13143518518518518</v>
      </c>
      <c r="Q70" s="107">
        <f>AgeStanSec!Q70/86400</f>
        <v>0.15831018518518519</v>
      </c>
      <c r="R70" s="107">
        <f>AgeStanSec!R70/86400</f>
        <v>0.2882986111111111</v>
      </c>
      <c r="S70" s="107">
        <f>AgeStanSec!S70/86400</f>
        <v>0.39773148148148146</v>
      </c>
      <c r="T70" s="107">
        <f>AgeStanSec!T70/86400</f>
        <v>0.66932870370370368</v>
      </c>
      <c r="U70" s="107">
        <f>AgeStanSec!U70/86400</f>
        <v>0.7333912037037037</v>
      </c>
      <c r="V70" s="107">
        <f>AgeStanSec!V70/86400</f>
        <v>0.97111111111111115</v>
      </c>
      <c r="W70" s="47"/>
    </row>
    <row r="71" spans="1:23">
      <c r="A71" s="57">
        <v>70</v>
      </c>
      <c r="B71" s="160">
        <f>AgeStanSec!B71/86400</f>
        <v>4.1550925925925922E-3</v>
      </c>
      <c r="C71" s="157">
        <f>AgeStanSec!C71/86400</f>
        <v>1.4618055555555556E-2</v>
      </c>
      <c r="D71" s="108">
        <f>AgeStanSec!D71/86400</f>
        <v>1.7488425925925925E-2</v>
      </c>
      <c r="E71" s="108">
        <f>AgeStanSec!E71/86400</f>
        <v>1.8761574074074073E-2</v>
      </c>
      <c r="F71" s="108">
        <f>AgeStanSec!F71/86400</f>
        <v>2.3240740740740742E-2</v>
      </c>
      <c r="G71" s="108">
        <f>AgeStanSec!G71/86400</f>
        <v>2.3402777777777779E-2</v>
      </c>
      <c r="H71" s="108">
        <f>AgeStanSec!H71/86400</f>
        <v>2.8981481481481483E-2</v>
      </c>
      <c r="I71" s="108">
        <f>AgeStanSec!I71/86400</f>
        <v>3.5254629629629629E-2</v>
      </c>
      <c r="J71" s="108">
        <f>AgeStanSec!J71/86400</f>
        <v>4.4895833333333336E-2</v>
      </c>
      <c r="K71" s="108">
        <f>AgeStanSec!K71/86400</f>
        <v>4.8495370370370369E-2</v>
      </c>
      <c r="L71" s="108">
        <f>AgeStanSec!L71/86400</f>
        <v>6.1689814814814815E-2</v>
      </c>
      <c r="M71" s="108">
        <f>AgeStanSec!M71/86400</f>
        <v>6.5324074074074076E-2</v>
      </c>
      <c r="N71" s="108">
        <f>AgeStanSec!N71/86400</f>
        <v>7.7719907407407404E-2</v>
      </c>
      <c r="O71" s="108">
        <f>AgeStanSec!O71/86400</f>
        <v>9.3865740740740736E-2</v>
      </c>
      <c r="P71" s="108">
        <f>AgeStanSec!P71/86400</f>
        <v>0.1335763888888889</v>
      </c>
      <c r="Q71" s="108">
        <f>AgeStanSec!Q71/86400</f>
        <v>0.16089120370370372</v>
      </c>
      <c r="R71" s="108">
        <f>AgeStanSec!R71/86400</f>
        <v>0.29299768518518521</v>
      </c>
      <c r="S71" s="108">
        <f>AgeStanSec!S71/86400</f>
        <v>0.40421296296296294</v>
      </c>
      <c r="T71" s="108">
        <f>AgeStanSec!T71/86400</f>
        <v>0.68021990740740745</v>
      </c>
      <c r="U71" s="108">
        <f>AgeStanSec!U71/86400</f>
        <v>0.74533564814814812</v>
      </c>
      <c r="V71" s="108"/>
      <c r="W71" s="47"/>
    </row>
    <row r="72" spans="1:23">
      <c r="A72" s="49">
        <v>71</v>
      </c>
      <c r="B72" s="159">
        <f>AgeStanSec!B72/86400</f>
        <v>4.2129629629629626E-3</v>
      </c>
      <c r="C72" s="156">
        <f>AgeStanSec!C72/86400</f>
        <v>1.4837962962962963E-2</v>
      </c>
      <c r="D72" s="107">
        <f>AgeStanSec!D72/86400</f>
        <v>1.7754629629629631E-2</v>
      </c>
      <c r="E72" s="107">
        <f>AgeStanSec!E72/86400</f>
        <v>1.9050925925925926E-2</v>
      </c>
      <c r="F72" s="107">
        <f>AgeStanSec!F72/86400</f>
        <v>2.3599537037037037E-2</v>
      </c>
      <c r="G72" s="107">
        <f>AgeStanSec!G72/86400</f>
        <v>2.3761574074074074E-2</v>
      </c>
      <c r="H72" s="107">
        <f>AgeStanSec!H72/86400</f>
        <v>2.943287037037037E-2</v>
      </c>
      <c r="I72" s="107">
        <f>AgeStanSec!I72/86400</f>
        <v>3.5810185185185188E-2</v>
      </c>
      <c r="J72" s="107">
        <f>AgeStanSec!J72/86400</f>
        <v>4.5590277777777778E-2</v>
      </c>
      <c r="K72" s="107">
        <f>AgeStanSec!K72/86400</f>
        <v>4.925925925925926E-2</v>
      </c>
      <c r="L72" s="107">
        <f>AgeStanSec!L72/86400</f>
        <v>6.2662037037037044E-2</v>
      </c>
      <c r="M72" s="107">
        <f>AgeStanSec!M72/86400</f>
        <v>6.6354166666666672E-2</v>
      </c>
      <c r="N72" s="107">
        <f>AgeStanSec!N72/86400</f>
        <v>7.8969907407407405E-2</v>
      </c>
      <c r="O72" s="107">
        <f>AgeStanSec!O72/86400</f>
        <v>9.538194444444445E-2</v>
      </c>
      <c r="P72" s="107">
        <f>AgeStanSec!P72/86400</f>
        <v>0.13578703703703704</v>
      </c>
      <c r="Q72" s="107">
        <f>AgeStanSec!Q72/86400</f>
        <v>0.16355324074074074</v>
      </c>
      <c r="R72" s="107">
        <f>AgeStanSec!R72/86400</f>
        <v>0.29784722222222221</v>
      </c>
      <c r="S72" s="107">
        <f>AgeStanSec!S72/86400</f>
        <v>0.41090277777777778</v>
      </c>
      <c r="T72" s="107">
        <f>AgeStanSec!T72/86400</f>
        <v>0.69148148148148147</v>
      </c>
      <c r="U72" s="107">
        <f>AgeStanSec!U72/86400</f>
        <v>0.75767361111111109</v>
      </c>
      <c r="V72" s="107"/>
      <c r="W72" s="47"/>
    </row>
    <row r="73" spans="1:23">
      <c r="A73" s="49">
        <v>72</v>
      </c>
      <c r="B73" s="159">
        <f>AgeStanSec!B73/86400</f>
        <v>4.2708333333333331E-3</v>
      </c>
      <c r="C73" s="156">
        <f>AgeStanSec!C73/86400</f>
        <v>1.5057870370370371E-2</v>
      </c>
      <c r="D73" s="107">
        <f>AgeStanSec!D73/86400</f>
        <v>1.8020833333333333E-2</v>
      </c>
      <c r="E73" s="107">
        <f>AgeStanSec!E73/86400</f>
        <v>1.9328703703703702E-2</v>
      </c>
      <c r="F73" s="107">
        <f>AgeStanSec!F73/86400</f>
        <v>2.3958333333333335E-2</v>
      </c>
      <c r="G73" s="107">
        <f>AgeStanSec!G73/86400</f>
        <v>2.4131944444444445E-2</v>
      </c>
      <c r="H73" s="107">
        <f>AgeStanSec!H73/86400</f>
        <v>2.9895833333333333E-2</v>
      </c>
      <c r="I73" s="107">
        <f>AgeStanSec!I73/86400</f>
        <v>3.636574074074074E-2</v>
      </c>
      <c r="J73" s="107">
        <f>AgeStanSec!J73/86400</f>
        <v>4.6319444444444448E-2</v>
      </c>
      <c r="K73" s="107">
        <f>AgeStanSec!K73/86400</f>
        <v>5.0034722222222223E-2</v>
      </c>
      <c r="L73" s="107">
        <f>AgeStanSec!L73/86400</f>
        <v>6.3657407407407413E-2</v>
      </c>
      <c r="M73" s="107">
        <f>AgeStanSec!M73/86400</f>
        <v>6.7418981481481483E-2</v>
      </c>
      <c r="N73" s="107">
        <f>AgeStanSec!N73/86400</f>
        <v>8.0254629629629634E-2</v>
      </c>
      <c r="O73" s="107">
        <f>AgeStanSec!O73/86400</f>
        <v>9.6956018518518525E-2</v>
      </c>
      <c r="P73" s="107">
        <f>AgeStanSec!P73/86400</f>
        <v>0.1380787037037037</v>
      </c>
      <c r="Q73" s="107">
        <f>AgeStanSec!Q73/86400</f>
        <v>0.16630787037037037</v>
      </c>
      <c r="R73" s="107">
        <f>AgeStanSec!R73/86400</f>
        <v>0.30285879629629631</v>
      </c>
      <c r="S73" s="107">
        <f>AgeStanSec!S73/86400</f>
        <v>0.41781249999999998</v>
      </c>
      <c r="T73" s="107">
        <f>AgeStanSec!T73/86400</f>
        <v>0.703125</v>
      </c>
      <c r="U73" s="107">
        <f>AgeStanSec!U73/86400</f>
        <v>0.77042824074074079</v>
      </c>
      <c r="V73" s="107"/>
      <c r="W73" s="47"/>
    </row>
    <row r="74" spans="1:23">
      <c r="A74" s="49">
        <v>73</v>
      </c>
      <c r="B74" s="159">
        <f>AgeStanSec!B74/86400</f>
        <v>4.340277777777778E-3</v>
      </c>
      <c r="C74" s="156">
        <f>AgeStanSec!C74/86400</f>
        <v>1.5277777777777777E-2</v>
      </c>
      <c r="D74" s="107">
        <f>AgeStanSec!D74/86400</f>
        <v>1.8287037037037036E-2</v>
      </c>
      <c r="E74" s="107">
        <f>AgeStanSec!E74/86400</f>
        <v>1.9629629629629629E-2</v>
      </c>
      <c r="F74" s="107">
        <f>AgeStanSec!F74/86400</f>
        <v>2.4328703703703703E-2</v>
      </c>
      <c r="G74" s="107">
        <f>AgeStanSec!G74/86400</f>
        <v>2.4502314814814814E-2</v>
      </c>
      <c r="H74" s="107">
        <f>AgeStanSec!H74/86400</f>
        <v>3.037037037037037E-2</v>
      </c>
      <c r="I74" s="107">
        <f>AgeStanSec!I74/86400</f>
        <v>3.695601851851852E-2</v>
      </c>
      <c r="J74" s="107">
        <f>AgeStanSec!J74/86400</f>
        <v>4.7060185185185184E-2</v>
      </c>
      <c r="K74" s="107">
        <f>AgeStanSec!K74/86400</f>
        <v>5.0844907407407408E-2</v>
      </c>
      <c r="L74" s="107">
        <f>AgeStanSec!L74/86400</f>
        <v>6.4687499999999995E-2</v>
      </c>
      <c r="M74" s="107">
        <f>AgeStanSec!M74/86400</f>
        <v>6.851851851851852E-2</v>
      </c>
      <c r="N74" s="107">
        <f>AgeStanSec!N74/86400</f>
        <v>8.1574074074074077E-2</v>
      </c>
      <c r="O74" s="107">
        <f>AgeStanSec!O74/86400</f>
        <v>9.8576388888888894E-2</v>
      </c>
      <c r="P74" s="107">
        <f>AgeStanSec!P74/86400</f>
        <v>0.14043981481481482</v>
      </c>
      <c r="Q74" s="107">
        <f>AgeStanSec!Q74/86400</f>
        <v>0.16915509259259259</v>
      </c>
      <c r="R74" s="107">
        <f>AgeStanSec!R74/86400</f>
        <v>0.30804398148148149</v>
      </c>
      <c r="S74" s="107">
        <f>AgeStanSec!S74/86400</f>
        <v>0.42497685185185186</v>
      </c>
      <c r="T74" s="107">
        <f>AgeStanSec!T74/86400</f>
        <v>0.71516203703703707</v>
      </c>
      <c r="U74" s="107">
        <f>AgeStanSec!U74/86400</f>
        <v>0.78361111111111115</v>
      </c>
      <c r="V74" s="107"/>
      <c r="W74" s="47"/>
    </row>
    <row r="75" spans="1:23">
      <c r="A75" s="49">
        <v>74</v>
      </c>
      <c r="B75" s="159">
        <f>AgeStanSec!B75/86400</f>
        <v>4.3981481481481484E-3</v>
      </c>
      <c r="C75" s="156">
        <f>AgeStanSec!C75/86400</f>
        <v>1.5509259259259259E-2</v>
      </c>
      <c r="D75" s="107">
        <f>AgeStanSec!D75/86400</f>
        <v>1.8576388888888889E-2</v>
      </c>
      <c r="E75" s="107">
        <f>AgeStanSec!E75/86400</f>
        <v>1.9942129629629629E-2</v>
      </c>
      <c r="F75" s="107">
        <f>AgeStanSec!F75/86400</f>
        <v>2.4722222222222222E-2</v>
      </c>
      <c r="G75" s="107">
        <f>AgeStanSec!G75/86400</f>
        <v>2.4895833333333332E-2</v>
      </c>
      <c r="H75" s="107">
        <f>AgeStanSec!H75/86400</f>
        <v>3.0868055555555555E-2</v>
      </c>
      <c r="I75" s="107">
        <f>AgeStanSec!I75/86400</f>
        <v>3.7557870370370373E-2</v>
      </c>
      <c r="J75" s="107">
        <f>AgeStanSec!J75/86400</f>
        <v>4.7824074074074074E-2</v>
      </c>
      <c r="K75" s="107">
        <f>AgeStanSec!K75/86400</f>
        <v>5.167824074074074E-2</v>
      </c>
      <c r="L75" s="107">
        <f>AgeStanSec!L75/86400</f>
        <v>6.5752314814814819E-2</v>
      </c>
      <c r="M75" s="107">
        <f>AgeStanSec!M75/86400</f>
        <v>6.9641203703703705E-2</v>
      </c>
      <c r="N75" s="107">
        <f>AgeStanSec!N75/86400</f>
        <v>8.2939814814814813E-2</v>
      </c>
      <c r="O75" s="107">
        <f>AgeStanSec!O75/86400</f>
        <v>0.10025462962962962</v>
      </c>
      <c r="P75" s="107">
        <f>AgeStanSec!P75/86400</f>
        <v>0.14288194444444444</v>
      </c>
      <c r="Q75" s="107">
        <f>AgeStanSec!Q75/86400</f>
        <v>0.1720949074074074</v>
      </c>
      <c r="R75" s="107">
        <f>AgeStanSec!R75/86400</f>
        <v>0.31340277777777775</v>
      </c>
      <c r="S75" s="107">
        <f>AgeStanSec!S75/86400</f>
        <v>0.43237268518518518</v>
      </c>
      <c r="T75" s="107">
        <f>AgeStanSec!T75/86400</f>
        <v>0.72761574074074076</v>
      </c>
      <c r="U75" s="107">
        <f>AgeStanSec!U75/86400</f>
        <v>0.79726851851851854</v>
      </c>
      <c r="V75" s="107"/>
      <c r="W75" s="47"/>
    </row>
    <row r="76" spans="1:23">
      <c r="A76" s="57">
        <v>75</v>
      </c>
      <c r="B76" s="160">
        <f>AgeStanSec!B76/86400</f>
        <v>4.4675925925925924E-3</v>
      </c>
      <c r="C76" s="157">
        <f>AgeStanSec!C76/86400</f>
        <v>1.5752314814814816E-2</v>
      </c>
      <c r="D76" s="108">
        <f>AgeStanSec!D76/86400</f>
        <v>1.8865740740740742E-2</v>
      </c>
      <c r="E76" s="108">
        <f>AgeStanSec!E76/86400</f>
        <v>2.0254629629629629E-2</v>
      </c>
      <c r="F76" s="108">
        <f>AgeStanSec!F76/86400</f>
        <v>2.5115740740740741E-2</v>
      </c>
      <c r="G76" s="108">
        <f>AgeStanSec!G76/86400</f>
        <v>2.5300925925925925E-2</v>
      </c>
      <c r="H76" s="108">
        <f>AgeStanSec!H76/86400</f>
        <v>3.1377314814814816E-2</v>
      </c>
      <c r="I76" s="108">
        <f>AgeStanSec!I76/86400</f>
        <v>3.8182870370370367E-2</v>
      </c>
      <c r="J76" s="108">
        <f>AgeStanSec!J76/86400</f>
        <v>4.8634259259259259E-2</v>
      </c>
      <c r="K76" s="108">
        <f>AgeStanSec!K76/86400</f>
        <v>5.2546296296296299E-2</v>
      </c>
      <c r="L76" s="108">
        <f>AgeStanSec!L76/86400</f>
        <v>6.6875000000000004E-2</v>
      </c>
      <c r="M76" s="108">
        <f>AgeStanSec!M76/86400</f>
        <v>7.0810185185185184E-2</v>
      </c>
      <c r="N76" s="108">
        <f>AgeStanSec!N76/86400</f>
        <v>8.4340277777777778E-2</v>
      </c>
      <c r="O76" s="108">
        <f>AgeStanSec!O76/86400</f>
        <v>0.10199074074074074</v>
      </c>
      <c r="P76" s="108">
        <f>AgeStanSec!P76/86400</f>
        <v>0.14541666666666667</v>
      </c>
      <c r="Q76" s="108">
        <f>AgeStanSec!Q76/86400</f>
        <v>0.17515046296296297</v>
      </c>
      <c r="R76" s="108">
        <f>AgeStanSec!R76/86400</f>
        <v>0.31895833333333334</v>
      </c>
      <c r="S76" s="108">
        <f>AgeStanSec!S76/86400</f>
        <v>0.44003472222222223</v>
      </c>
      <c r="T76" s="108">
        <f>AgeStanSec!T76/86400</f>
        <v>0.74052083333333329</v>
      </c>
      <c r="U76" s="108">
        <f>AgeStanSec!U76/86400</f>
        <v>0.81140046296296298</v>
      </c>
      <c r="V76" s="108"/>
      <c r="W76" s="47"/>
    </row>
    <row r="77" spans="1:23">
      <c r="A77" s="49">
        <v>76</v>
      </c>
      <c r="B77" s="159">
        <f>AgeStanSec!B77/86400</f>
        <v>4.5370370370370373E-3</v>
      </c>
      <c r="C77" s="156">
        <f>AgeStanSec!C77/86400</f>
        <v>1.6006944444444445E-2</v>
      </c>
      <c r="D77" s="107">
        <f>AgeStanSec!D77/86400</f>
        <v>1.9178240740740742E-2</v>
      </c>
      <c r="E77" s="107">
        <f>AgeStanSec!E77/86400</f>
        <v>2.0578703703703703E-2</v>
      </c>
      <c r="F77" s="107">
        <f>AgeStanSec!F77/86400</f>
        <v>2.5532407407407406E-2</v>
      </c>
      <c r="G77" s="107">
        <f>AgeStanSec!G77/86400</f>
        <v>2.5717592592592594E-2</v>
      </c>
      <c r="H77" s="107">
        <f>AgeStanSec!H77/86400</f>
        <v>3.1898148148148148E-2</v>
      </c>
      <c r="I77" s="107">
        <f>AgeStanSec!I77/86400</f>
        <v>3.8831018518518522E-2</v>
      </c>
      <c r="J77" s="107">
        <f>AgeStanSec!J77/86400</f>
        <v>4.9456018518518517E-2</v>
      </c>
      <c r="K77" s="107">
        <f>AgeStanSec!K77/86400</f>
        <v>5.3449074074074072E-2</v>
      </c>
      <c r="L77" s="107">
        <f>AgeStanSec!L77/86400</f>
        <v>6.8032407407407403E-2</v>
      </c>
      <c r="M77" s="107">
        <f>AgeStanSec!M77/86400</f>
        <v>7.2048611111111105E-2</v>
      </c>
      <c r="N77" s="107">
        <f>AgeStanSec!N77/86400</f>
        <v>8.5833333333333331E-2</v>
      </c>
      <c r="O77" s="107">
        <f>AgeStanSec!O77/86400</f>
        <v>0.1037962962962963</v>
      </c>
      <c r="P77" s="107">
        <f>AgeStanSec!P77/86400</f>
        <v>0.14806712962962962</v>
      </c>
      <c r="Q77" s="107">
        <f>AgeStanSec!Q77/86400</f>
        <v>0.17834490740740741</v>
      </c>
      <c r="R77" s="107">
        <f>AgeStanSec!R77/86400</f>
        <v>0.32476851851851851</v>
      </c>
      <c r="S77" s="107">
        <f>AgeStanSec!S77/86400</f>
        <v>0.44805555555555554</v>
      </c>
      <c r="T77" s="107">
        <f>AgeStanSec!T77/86400</f>
        <v>0.75400462962962966</v>
      </c>
      <c r="U77" s="107">
        <f>AgeStanSec!U77/86400</f>
        <v>0.82618055555555558</v>
      </c>
      <c r="V77" s="107"/>
      <c r="W77" s="47"/>
    </row>
    <row r="78" spans="1:23">
      <c r="A78" s="49">
        <v>77</v>
      </c>
      <c r="B78" s="159">
        <f>AgeStanSec!B78/86400</f>
        <v>4.6064814814814814E-3</v>
      </c>
      <c r="C78" s="156">
        <f>AgeStanSec!C78/86400</f>
        <v>1.6261574074074074E-2</v>
      </c>
      <c r="D78" s="107">
        <f>AgeStanSec!D78/86400</f>
        <v>1.9490740740740739E-2</v>
      </c>
      <c r="E78" s="107">
        <f>AgeStanSec!E78/86400</f>
        <v>2.0914351851851851E-2</v>
      </c>
      <c r="F78" s="107">
        <f>AgeStanSec!F78/86400</f>
        <v>2.5960648148148149E-2</v>
      </c>
      <c r="G78" s="107">
        <f>AgeStanSec!G78/86400</f>
        <v>2.6145833333333333E-2</v>
      </c>
      <c r="H78" s="107">
        <f>AgeStanSec!H78/86400</f>
        <v>3.2442129629629626E-2</v>
      </c>
      <c r="I78" s="107">
        <f>AgeStanSec!I78/86400</f>
        <v>3.951388888888889E-2</v>
      </c>
      <c r="J78" s="107">
        <f>AgeStanSec!J78/86400</f>
        <v>5.0358796296296297E-2</v>
      </c>
      <c r="K78" s="107">
        <f>AgeStanSec!K78/86400</f>
        <v>5.4432870370370368E-2</v>
      </c>
      <c r="L78" s="107">
        <f>AgeStanSec!L78/86400</f>
        <v>6.9328703703703698E-2</v>
      </c>
      <c r="M78" s="107">
        <f>AgeStanSec!M78/86400</f>
        <v>7.3437500000000003E-2</v>
      </c>
      <c r="N78" s="107">
        <f>AgeStanSec!N78/86400</f>
        <v>8.7499999999999994E-2</v>
      </c>
      <c r="O78" s="107">
        <f>AgeStanSec!O78/86400</f>
        <v>0.10585648148148148</v>
      </c>
      <c r="P78" s="107">
        <f>AgeStanSec!P78/86400</f>
        <v>0.15106481481481482</v>
      </c>
      <c r="Q78" s="107">
        <f>AgeStanSec!Q78/86400</f>
        <v>0.18195601851851853</v>
      </c>
      <c r="R78" s="107">
        <f>AgeStanSec!R78/86400</f>
        <v>0.33135416666666667</v>
      </c>
      <c r="S78" s="107">
        <f>AgeStanSec!S78/86400</f>
        <v>0.45712962962962961</v>
      </c>
      <c r="T78" s="107">
        <f>AgeStanSec!T78/86400</f>
        <v>0.76928240740740739</v>
      </c>
      <c r="U78" s="107">
        <f>AgeStanSec!U78/86400</f>
        <v>0.84291666666666665</v>
      </c>
      <c r="V78" s="107"/>
      <c r="W78" s="47"/>
    </row>
    <row r="79" spans="1:23">
      <c r="A79" s="49">
        <v>78</v>
      </c>
      <c r="B79" s="159">
        <f>AgeStanSec!B79/86400</f>
        <v>4.6759259259259263E-3</v>
      </c>
      <c r="C79" s="156">
        <f>AgeStanSec!C79/86400</f>
        <v>1.653935185185185E-2</v>
      </c>
      <c r="D79" s="107">
        <f>AgeStanSec!D79/86400</f>
        <v>1.982638888888889E-2</v>
      </c>
      <c r="E79" s="107">
        <f>AgeStanSec!E79/86400</f>
        <v>2.1284722222222222E-2</v>
      </c>
      <c r="F79" s="107">
        <f>AgeStanSec!F79/86400</f>
        <v>2.6435185185185187E-2</v>
      </c>
      <c r="G79" s="107">
        <f>AgeStanSec!G79/86400</f>
        <v>2.6631944444444444E-2</v>
      </c>
      <c r="H79" s="107">
        <f>AgeStanSec!H79/86400</f>
        <v>3.3055555555555553E-2</v>
      </c>
      <c r="I79" s="107">
        <f>AgeStanSec!I79/86400</f>
        <v>4.027777777777778E-2</v>
      </c>
      <c r="J79" s="107">
        <f>AgeStanSec!J79/86400</f>
        <v>5.1377314814814813E-2</v>
      </c>
      <c r="K79" s="107">
        <f>AgeStanSec!K79/86400</f>
        <v>5.5532407407407405E-2</v>
      </c>
      <c r="L79" s="107">
        <f>AgeStanSec!L79/86400</f>
        <v>7.0775462962962957E-2</v>
      </c>
      <c r="M79" s="107">
        <f>AgeStanSec!M79/86400</f>
        <v>7.4988425925925931E-2</v>
      </c>
      <c r="N79" s="107">
        <f>AgeStanSec!N79/86400</f>
        <v>8.9386574074074077E-2</v>
      </c>
      <c r="O79" s="107">
        <f>AgeStanSec!O79/86400</f>
        <v>0.10815972222222223</v>
      </c>
      <c r="P79" s="107">
        <f>AgeStanSec!P79/86400</f>
        <v>0.15447916666666667</v>
      </c>
      <c r="Q79" s="107">
        <f>AgeStanSec!Q79/86400</f>
        <v>0.18606481481481482</v>
      </c>
      <c r="R79" s="107">
        <f>AgeStanSec!R79/86400</f>
        <v>0.33884259259259258</v>
      </c>
      <c r="S79" s="107">
        <f>AgeStanSec!S79/86400</f>
        <v>0.4674652777777778</v>
      </c>
      <c r="T79" s="107">
        <f>AgeStanSec!T79/86400</f>
        <v>0.78666666666666663</v>
      </c>
      <c r="U79" s="107"/>
      <c r="V79" s="107"/>
      <c r="W79" s="47"/>
    </row>
    <row r="80" spans="1:23">
      <c r="A80" s="49">
        <v>79</v>
      </c>
      <c r="B80" s="159">
        <f>AgeStanSec!B80/86400</f>
        <v>4.7453703703703703E-3</v>
      </c>
      <c r="C80" s="156">
        <f>AgeStanSec!C80/86400</f>
        <v>1.6840277777777777E-2</v>
      </c>
      <c r="D80" s="107">
        <f>AgeStanSec!D80/86400</f>
        <v>2.0208333333333332E-2</v>
      </c>
      <c r="E80" s="107">
        <f>AgeStanSec!E80/86400</f>
        <v>2.1701388888888888E-2</v>
      </c>
      <c r="F80" s="107">
        <f>AgeStanSec!F80/86400</f>
        <v>2.6967592592592592E-2</v>
      </c>
      <c r="G80" s="107">
        <f>AgeStanSec!G80/86400</f>
        <v>2.7164351851851853E-2</v>
      </c>
      <c r="H80" s="107">
        <f>AgeStanSec!H80/86400</f>
        <v>3.3750000000000002E-2</v>
      </c>
      <c r="I80" s="107">
        <f>AgeStanSec!I80/86400</f>
        <v>4.1134259259259259E-2</v>
      </c>
      <c r="J80" s="107">
        <f>AgeStanSec!J80/86400</f>
        <v>5.2499999999999998E-2</v>
      </c>
      <c r="K80" s="107">
        <f>AgeStanSec!K80/86400</f>
        <v>5.6759259259259259E-2</v>
      </c>
      <c r="L80" s="107">
        <f>AgeStanSec!L80/86400</f>
        <v>7.2384259259259259E-2</v>
      </c>
      <c r="M80" s="107">
        <f>AgeStanSec!M80/86400</f>
        <v>7.6701388888888888E-2</v>
      </c>
      <c r="N80" s="107">
        <f>AgeStanSec!N80/86400</f>
        <v>9.1481481481481483E-2</v>
      </c>
      <c r="O80" s="107">
        <f>AgeStanSec!O80/86400</f>
        <v>0.11076388888888888</v>
      </c>
      <c r="P80" s="107">
        <f>AgeStanSec!P80/86400</f>
        <v>0.15835648148148149</v>
      </c>
      <c r="Q80" s="107">
        <f>AgeStanSec!Q80/86400</f>
        <v>0.19072916666666667</v>
      </c>
      <c r="R80" s="107">
        <f>AgeStanSec!R80/86400</f>
        <v>0.34734953703703703</v>
      </c>
      <c r="S80" s="107">
        <f>AgeStanSec!S80/86400</f>
        <v>0.47918981481481482</v>
      </c>
      <c r="T80" s="107">
        <f>AgeStanSec!T80/86400</f>
        <v>0.80641203703703701</v>
      </c>
      <c r="U80" s="107"/>
      <c r="V80" s="107"/>
      <c r="W80" s="47"/>
    </row>
    <row r="81" spans="1:23">
      <c r="A81" s="57">
        <v>80</v>
      </c>
      <c r="B81" s="160">
        <f>AgeStanSec!B81/86400</f>
        <v>4.8263888888888887E-3</v>
      </c>
      <c r="C81" s="157">
        <f>AgeStanSec!C81/86400</f>
        <v>1.7187500000000001E-2</v>
      </c>
      <c r="D81" s="108">
        <f>AgeStanSec!D81/86400</f>
        <v>2.0625000000000001E-2</v>
      </c>
      <c r="E81" s="108">
        <f>AgeStanSec!E81/86400</f>
        <v>2.2164351851851852E-2</v>
      </c>
      <c r="F81" s="108">
        <f>AgeStanSec!F81/86400</f>
        <v>2.7569444444444445E-2</v>
      </c>
      <c r="G81" s="108">
        <f>AgeStanSec!G81/86400</f>
        <v>2.7766203703703703E-2</v>
      </c>
      <c r="H81" s="108">
        <f>AgeStanSec!H81/86400</f>
        <v>3.4525462962962966E-2</v>
      </c>
      <c r="I81" s="108">
        <f>AgeStanSec!I81/86400</f>
        <v>4.1909722222222223E-2</v>
      </c>
      <c r="J81" s="108">
        <f>AgeStanSec!J81/86400</f>
        <v>5.3761574074074073E-2</v>
      </c>
      <c r="K81" s="108">
        <f>AgeStanSec!K81/86400</f>
        <v>5.8136574074074077E-2</v>
      </c>
      <c r="L81" s="108">
        <f>AgeStanSec!L81/86400</f>
        <v>7.4166666666666672E-2</v>
      </c>
      <c r="M81" s="108">
        <f>AgeStanSec!M81/86400</f>
        <v>7.8611111111111118E-2</v>
      </c>
      <c r="N81" s="108">
        <f>AgeStanSec!N81/86400</f>
        <v>9.3807870370370375E-2</v>
      </c>
      <c r="O81" s="108">
        <f>AgeStanSec!O81/86400</f>
        <v>0.11368055555555556</v>
      </c>
      <c r="P81" s="108">
        <f>AgeStanSec!P81/86400</f>
        <v>0.16275462962962964</v>
      </c>
      <c r="Q81" s="108">
        <f>AgeStanSec!Q81/86400</f>
        <v>0.1960300925925926</v>
      </c>
      <c r="R81" s="108">
        <f>AgeStanSec!R81/86400</f>
        <v>0.35699074074074072</v>
      </c>
      <c r="S81" s="108">
        <f>AgeStanSec!S81/86400</f>
        <v>0.49249999999999999</v>
      </c>
      <c r="T81" s="108">
        <f>AgeStanSec!T81/86400</f>
        <v>0.8288078703703704</v>
      </c>
      <c r="U81" s="108"/>
      <c r="V81" s="108"/>
      <c r="W81" s="47"/>
    </row>
    <row r="82" spans="1:23">
      <c r="A82" s="49">
        <v>81</v>
      </c>
      <c r="B82" s="159">
        <f>AgeStanSec!B82/86400</f>
        <v>4.9189814814814816E-3</v>
      </c>
      <c r="C82" s="156">
        <f>AgeStanSec!C82/86400</f>
        <v>1.7569444444444443E-2</v>
      </c>
      <c r="D82" s="107">
        <f>AgeStanSec!D82/86400</f>
        <v>2.1111111111111112E-2</v>
      </c>
      <c r="E82" s="107">
        <f>AgeStanSec!E82/86400</f>
        <v>2.2685185185185187E-2</v>
      </c>
      <c r="F82" s="107">
        <f>AgeStanSec!F82/86400</f>
        <v>2.824074074074074E-2</v>
      </c>
      <c r="G82" s="107">
        <f>AgeStanSec!G82/86400</f>
        <v>2.8437500000000001E-2</v>
      </c>
      <c r="H82" s="107">
        <f>AgeStanSec!H82/86400</f>
        <v>3.5405092592592592E-2</v>
      </c>
      <c r="I82" s="107">
        <f>AgeStanSec!I82/86400</f>
        <v>4.3182870370370371E-2</v>
      </c>
      <c r="J82" s="107">
        <f>AgeStanSec!J82/86400</f>
        <v>5.5173611111111111E-2</v>
      </c>
      <c r="K82" s="107">
        <f>AgeStanSec!K82/86400</f>
        <v>5.9675925925925924E-2</v>
      </c>
      <c r="L82" s="107">
        <f>AgeStanSec!L82/86400</f>
        <v>7.6180555555555557E-2</v>
      </c>
      <c r="M82" s="107">
        <f>AgeStanSec!M82/86400</f>
        <v>8.0740740740740738E-2</v>
      </c>
      <c r="N82" s="107">
        <f>AgeStanSec!N82/86400</f>
        <v>9.644675925925926E-2</v>
      </c>
      <c r="O82" s="107">
        <f>AgeStanSec!O82/86400</f>
        <v>0.1169675925925926</v>
      </c>
      <c r="P82" s="107">
        <f>AgeStanSec!P82/86400</f>
        <v>0.16774305555555555</v>
      </c>
      <c r="Q82" s="107">
        <f>AgeStanSec!Q82/86400</f>
        <v>0.20204861111111111</v>
      </c>
      <c r="R82" s="107">
        <f>AgeStanSec!R82/86400</f>
        <v>0.3679398148148148</v>
      </c>
      <c r="S82" s="107">
        <f>AgeStanSec!S82/86400</f>
        <v>0.50761574074074078</v>
      </c>
      <c r="T82" s="107"/>
      <c r="U82" s="107"/>
      <c r="V82" s="107"/>
      <c r="W82" s="47"/>
    </row>
    <row r="83" spans="1:23">
      <c r="A83" s="49">
        <v>82</v>
      </c>
      <c r="B83" s="159">
        <f>AgeStanSec!B83/86400</f>
        <v>5.0347222222222225E-3</v>
      </c>
      <c r="C83" s="156">
        <f>AgeStanSec!C83/86400</f>
        <v>1.7997685185185186E-2</v>
      </c>
      <c r="D83" s="107">
        <f>AgeStanSec!D83/86400</f>
        <v>2.1643518518518517E-2</v>
      </c>
      <c r="E83" s="107">
        <f>AgeStanSec!E83/86400</f>
        <v>2.326388888888889E-2</v>
      </c>
      <c r="F83" s="107">
        <f>AgeStanSec!F83/86400</f>
        <v>2.8993055555555557E-2</v>
      </c>
      <c r="G83" s="107">
        <f>AgeStanSec!G83/86400</f>
        <v>2.9212962962962961E-2</v>
      </c>
      <c r="H83" s="107">
        <f>AgeStanSec!H83/86400</f>
        <v>3.6388888888888887E-2</v>
      </c>
      <c r="I83" s="107">
        <f>AgeStanSec!I83/86400</f>
        <v>4.4409722222222225E-2</v>
      </c>
      <c r="J83" s="107">
        <f>AgeStanSec!J83/86400</f>
        <v>5.6759259259259259E-2</v>
      </c>
      <c r="K83" s="107">
        <f>AgeStanSec!K83/86400</f>
        <v>6.1388888888888889E-2</v>
      </c>
      <c r="L83" s="107">
        <f>AgeStanSec!L83/86400</f>
        <v>7.840277777777778E-2</v>
      </c>
      <c r="M83" s="107">
        <f>AgeStanSec!M83/86400</f>
        <v>8.3113425925925924E-2</v>
      </c>
      <c r="N83" s="107">
        <f>AgeStanSec!N83/86400</f>
        <v>9.9375000000000005E-2</v>
      </c>
      <c r="O83" s="107">
        <f>AgeStanSec!O83/86400</f>
        <v>0.12065972222222222</v>
      </c>
      <c r="P83" s="107">
        <f>AgeStanSec!P83/86400</f>
        <v>0.17342592592592593</v>
      </c>
      <c r="Q83" s="107">
        <f>AgeStanSec!Q83/86400</f>
        <v>0.20887731481481481</v>
      </c>
      <c r="R83" s="107">
        <f>AgeStanSec!R83/86400</f>
        <v>0.38039351851851849</v>
      </c>
      <c r="S83" s="107">
        <f>AgeStanSec!S83/86400</f>
        <v>0.52478009259259262</v>
      </c>
      <c r="T83" s="107"/>
      <c r="U83" s="107"/>
      <c r="V83" s="107"/>
      <c r="W83" s="47"/>
    </row>
    <row r="84" spans="1:23">
      <c r="A84" s="49">
        <v>83</v>
      </c>
      <c r="B84" s="159">
        <f>AgeStanSec!B84/86400</f>
        <v>5.1504629629629626E-3</v>
      </c>
      <c r="C84" s="156">
        <f>AgeStanSec!C84/86400</f>
        <v>1.8472222222222223E-2</v>
      </c>
      <c r="D84" s="107">
        <f>AgeStanSec!D84/86400</f>
        <v>2.2233796296296297E-2</v>
      </c>
      <c r="E84" s="107">
        <f>AgeStanSec!E84/86400</f>
        <v>2.3912037037037037E-2</v>
      </c>
      <c r="F84" s="107">
        <f>AgeStanSec!F84/86400</f>
        <v>2.9849537037037036E-2</v>
      </c>
      <c r="G84" s="107">
        <f>AgeStanSec!G84/86400</f>
        <v>3.0069444444444444E-2</v>
      </c>
      <c r="H84" s="107">
        <f>AgeStanSec!H84/86400</f>
        <v>3.7511574074074072E-2</v>
      </c>
      <c r="I84" s="107">
        <f>AgeStanSec!I84/86400</f>
        <v>4.5787037037037036E-2</v>
      </c>
      <c r="J84" s="107">
        <f>AgeStanSec!J84/86400</f>
        <v>5.8541666666666665E-2</v>
      </c>
      <c r="K84" s="107">
        <f>AgeStanSec!K84/86400</f>
        <v>6.3321759259259258E-2</v>
      </c>
      <c r="L84" s="107">
        <f>AgeStanSec!L84/86400</f>
        <v>8.0891203703703701E-2</v>
      </c>
      <c r="M84" s="107">
        <f>AgeStanSec!M84/86400</f>
        <v>8.5752314814814809E-2</v>
      </c>
      <c r="N84" s="107">
        <f>AgeStanSec!N84/86400</f>
        <v>0.10266203703703704</v>
      </c>
      <c r="O84" s="107">
        <f>AgeStanSec!O84/86400</f>
        <v>0.12483796296296296</v>
      </c>
      <c r="P84" s="107">
        <f>AgeStanSec!P84/86400</f>
        <v>0.17988425925925927</v>
      </c>
      <c r="Q84" s="107">
        <f>AgeStanSec!Q84/86400</f>
        <v>0.21666666666666667</v>
      </c>
      <c r="R84" s="107">
        <f>AgeStanSec!R84/86400</f>
        <v>0.39457175925925925</v>
      </c>
      <c r="S84" s="107">
        <f>AgeStanSec!S84/86400</f>
        <v>0.54434027777777783</v>
      </c>
      <c r="T84" s="107"/>
      <c r="U84" s="107"/>
      <c r="V84" s="107"/>
      <c r="W84" s="47"/>
    </row>
    <row r="85" spans="1:23">
      <c r="A85" s="49">
        <v>84</v>
      </c>
      <c r="B85" s="159">
        <f>AgeStanSec!B85/86400</f>
        <v>5.2893518518518515E-3</v>
      </c>
      <c r="C85" s="156">
        <f>AgeStanSec!C85/86400</f>
        <v>1.8993055555555555E-2</v>
      </c>
      <c r="D85" s="107">
        <f>AgeStanSec!D85/86400</f>
        <v>2.2905092592592591E-2</v>
      </c>
      <c r="E85" s="107">
        <f>AgeStanSec!E85/86400</f>
        <v>2.4641203703703703E-2</v>
      </c>
      <c r="F85" s="107">
        <f>AgeStanSec!F85/86400</f>
        <v>3.0810185185185184E-2</v>
      </c>
      <c r="G85" s="107">
        <f>AgeStanSec!G85/86400</f>
        <v>3.1041666666666665E-2</v>
      </c>
      <c r="H85" s="107">
        <f>AgeStanSec!H85/86400</f>
        <v>3.878472222222222E-2</v>
      </c>
      <c r="I85" s="107">
        <f>AgeStanSec!I85/86400</f>
        <v>4.7349537037037037E-2</v>
      </c>
      <c r="J85" s="107">
        <f>AgeStanSec!J85/86400</f>
        <v>6.0543981481481483E-2</v>
      </c>
      <c r="K85" s="107">
        <f>AgeStanSec!K85/86400</f>
        <v>6.5497685185185187E-2</v>
      </c>
      <c r="L85" s="107">
        <f>AgeStanSec!L85/86400</f>
        <v>8.369212962962963E-2</v>
      </c>
      <c r="M85" s="107">
        <f>AgeStanSec!M85/86400</f>
        <v>8.8715277777777782E-2</v>
      </c>
      <c r="N85" s="107">
        <f>AgeStanSec!N85/86400</f>
        <v>0.10637731481481481</v>
      </c>
      <c r="O85" s="107">
        <f>AgeStanSec!O85/86400</f>
        <v>0.1295486111111111</v>
      </c>
      <c r="P85" s="107">
        <f>AgeStanSec!P85/86400</f>
        <v>0.1872800925925926</v>
      </c>
      <c r="Q85" s="107">
        <f>AgeStanSec!Q85/86400</f>
        <v>0.22556712962962963</v>
      </c>
      <c r="R85" s="107">
        <f>AgeStanSec!R85/86400</f>
        <v>0.41078703703703706</v>
      </c>
      <c r="S85" s="107">
        <f>AgeStanSec!S85/86400</f>
        <v>0.56671296296296292</v>
      </c>
      <c r="T85" s="107"/>
      <c r="U85" s="107"/>
      <c r="V85" s="107"/>
      <c r="W85" s="47"/>
    </row>
    <row r="86" spans="1:23">
      <c r="A86" s="57">
        <v>85</v>
      </c>
      <c r="B86" s="160">
        <f>AgeStanSec!B86/86400</f>
        <v>5.4398148148148149E-3</v>
      </c>
      <c r="C86" s="157">
        <f>AgeStanSec!C86/86400</f>
        <v>1.9583333333333335E-2</v>
      </c>
      <c r="D86" s="108">
        <f>AgeStanSec!D86/86400</f>
        <v>2.3645833333333335E-2</v>
      </c>
      <c r="E86" s="108">
        <f>AgeStanSec!E86/86400</f>
        <v>2.5462962962962962E-2</v>
      </c>
      <c r="F86" s="108">
        <f>AgeStanSec!F86/86400</f>
        <v>3.1898148148148148E-2</v>
      </c>
      <c r="G86" s="108">
        <f>AgeStanSec!G86/86400</f>
        <v>3.2129629629629633E-2</v>
      </c>
      <c r="H86" s="108">
        <f>AgeStanSec!H86/86400</f>
        <v>4.0231481481481479E-2</v>
      </c>
      <c r="I86" s="108">
        <f>AgeStanSec!I86/86400</f>
        <v>4.912037037037037E-2</v>
      </c>
      <c r="J86" s="108">
        <f>AgeStanSec!J86/86400</f>
        <v>6.2812499999999993E-2</v>
      </c>
      <c r="K86" s="108">
        <f>AgeStanSec!K86/86400</f>
        <v>6.7962962962962961E-2</v>
      </c>
      <c r="L86" s="108">
        <f>AgeStanSec!L86/86400</f>
        <v>8.684027777777778E-2</v>
      </c>
      <c r="M86" s="108">
        <f>AgeStanSec!M86/86400</f>
        <v>9.2060185185185189E-2</v>
      </c>
      <c r="N86" s="108">
        <f>AgeStanSec!N86/86400</f>
        <v>0.11060185185185185</v>
      </c>
      <c r="O86" s="108">
        <f>AgeStanSec!O86/86400</f>
        <v>0.13495370370370371</v>
      </c>
      <c r="P86" s="108">
        <f>AgeStanSec!P86/86400</f>
        <v>0.19577546296296297</v>
      </c>
      <c r="Q86" s="108">
        <f>AgeStanSec!Q86/86400</f>
        <v>0.23579861111111111</v>
      </c>
      <c r="R86" s="108">
        <f>AgeStanSec!R86/86400</f>
        <v>0.42940972222222223</v>
      </c>
      <c r="S86" s="108">
        <f>AgeStanSec!S86/86400</f>
        <v>0.59241898148148153</v>
      </c>
      <c r="T86" s="108"/>
      <c r="U86" s="108"/>
      <c r="V86" s="108"/>
      <c r="W86" s="47"/>
    </row>
    <row r="87" spans="1:23">
      <c r="A87" s="49">
        <v>86</v>
      </c>
      <c r="B87" s="159">
        <f>AgeStanSec!B87/86400</f>
        <v>5.6018518518518518E-3</v>
      </c>
      <c r="C87" s="156">
        <f>AgeStanSec!C87/86400</f>
        <v>2.0254629629629629E-2</v>
      </c>
      <c r="D87" s="107">
        <f>AgeStanSec!D87/86400</f>
        <v>2.4502314814814814E-2</v>
      </c>
      <c r="E87" s="107">
        <f>AgeStanSec!E87/86400</f>
        <v>2.6400462962962962E-2</v>
      </c>
      <c r="F87" s="107">
        <f>AgeStanSec!F87/86400</f>
        <v>3.3125000000000002E-2</v>
      </c>
      <c r="G87" s="107">
        <f>AgeStanSec!G87/86400</f>
        <v>3.3379629629629627E-2</v>
      </c>
      <c r="H87" s="107">
        <f>AgeStanSec!H87/86400</f>
        <v>4.1875000000000002E-2</v>
      </c>
      <c r="I87" s="107">
        <f>AgeStanSec!I87/86400</f>
        <v>5.1122685185185188E-2</v>
      </c>
      <c r="J87" s="107">
        <f>AgeStanSec!J87/86400</f>
        <v>6.5381944444444451E-2</v>
      </c>
      <c r="K87" s="107">
        <f>AgeStanSec!K87/86400</f>
        <v>7.0729166666666662E-2</v>
      </c>
      <c r="L87" s="107">
        <f>AgeStanSec!L87/86400</f>
        <v>9.0393518518518512E-2</v>
      </c>
      <c r="M87" s="107">
        <f>AgeStanSec!M87/86400</f>
        <v>9.5821759259259259E-2</v>
      </c>
      <c r="N87" s="107">
        <f>AgeStanSec!N87/86400</f>
        <v>0.11535879629629629</v>
      </c>
      <c r="O87" s="107">
        <f>AgeStanSec!O87/86400</f>
        <v>0.14108796296296297</v>
      </c>
      <c r="P87" s="107">
        <f>AgeStanSec!P87/86400</f>
        <v>0.20559027777777777</v>
      </c>
      <c r="Q87" s="107">
        <f>AgeStanSec!Q87/86400</f>
        <v>0.24761574074074075</v>
      </c>
      <c r="R87" s="107">
        <f>AgeStanSec!R87/86400</f>
        <v>0.45093749999999999</v>
      </c>
      <c r="S87" s="107">
        <f>AgeStanSec!S87/86400</f>
        <v>0.62210648148148151</v>
      </c>
      <c r="T87" s="107"/>
      <c r="U87" s="107"/>
      <c r="V87" s="107"/>
      <c r="W87" s="47"/>
    </row>
    <row r="88" spans="1:23">
      <c r="A88" s="49">
        <v>87</v>
      </c>
      <c r="B88" s="159">
        <f>AgeStanSec!B88/86400</f>
        <v>5.7986111111111112E-3</v>
      </c>
      <c r="C88" s="156">
        <f>AgeStanSec!C88/86400</f>
        <v>2.1006944444444446E-2</v>
      </c>
      <c r="D88" s="107">
        <f>AgeStanSec!D88/86400</f>
        <v>2.5451388888888888E-2</v>
      </c>
      <c r="E88" s="107">
        <f>AgeStanSec!E88/86400</f>
        <v>2.7442129629629629E-2</v>
      </c>
      <c r="F88" s="107">
        <f>AgeStanSec!F88/86400</f>
        <v>3.4525462962962966E-2</v>
      </c>
      <c r="G88" s="107">
        <f>AgeStanSec!G88/86400</f>
        <v>3.4791666666666665E-2</v>
      </c>
      <c r="H88" s="107">
        <f>AgeStanSec!H88/86400</f>
        <v>4.3749999999999997E-2</v>
      </c>
      <c r="I88" s="107">
        <f>AgeStanSec!I88/86400</f>
        <v>5.3414351851851852E-2</v>
      </c>
      <c r="J88" s="107">
        <f>AgeStanSec!J88/86400</f>
        <v>6.8298611111111115E-2</v>
      </c>
      <c r="K88" s="107">
        <f>AgeStanSec!K88/86400</f>
        <v>7.3888888888888893E-2</v>
      </c>
      <c r="L88" s="107">
        <f>AgeStanSec!L88/86400</f>
        <v>9.4398148148148148E-2</v>
      </c>
      <c r="M88" s="107">
        <f>AgeStanSec!M88/86400</f>
        <v>0.10008101851851851</v>
      </c>
      <c r="N88" s="107">
        <f>AgeStanSec!N88/86400</f>
        <v>0.12078703703703704</v>
      </c>
      <c r="O88" s="107">
        <f>AgeStanSec!O88/86400</f>
        <v>0.14813657407407407</v>
      </c>
      <c r="P88" s="107">
        <f>AgeStanSec!P88/86400</f>
        <v>0.21700231481481483</v>
      </c>
      <c r="Q88" s="107">
        <f>AgeStanSec!Q88/86400</f>
        <v>0.2613773148148148</v>
      </c>
      <c r="R88" s="107">
        <f>AgeStanSec!R88/86400</f>
        <v>0.47599537037037037</v>
      </c>
      <c r="S88" s="107">
        <f>AgeStanSec!S88/86400</f>
        <v>0.65666666666666662</v>
      </c>
      <c r="T88" s="107"/>
      <c r="U88" s="107"/>
      <c r="V88" s="107"/>
      <c r="W88" s="47"/>
    </row>
    <row r="89" spans="1:23">
      <c r="A89" s="49">
        <v>88</v>
      </c>
      <c r="B89" s="159">
        <f>AgeStanSec!B89/86400</f>
        <v>6.0069444444444441E-3</v>
      </c>
      <c r="C89" s="156">
        <f>AgeStanSec!C89/86400</f>
        <v>2.1840277777777778E-2</v>
      </c>
      <c r="D89" s="107">
        <f>AgeStanSec!D89/86400</f>
        <v>2.6527777777777779E-2</v>
      </c>
      <c r="E89" s="107">
        <f>AgeStanSec!E89/86400</f>
        <v>2.8634259259259259E-2</v>
      </c>
      <c r="F89" s="107">
        <f>AgeStanSec!F89/86400</f>
        <v>3.6122685185185188E-2</v>
      </c>
      <c r="G89" s="107">
        <f>AgeStanSec!G89/86400</f>
        <v>3.6400462962962961E-2</v>
      </c>
      <c r="H89" s="107">
        <f>AgeStanSec!H89/86400</f>
        <v>4.5914351851851852E-2</v>
      </c>
      <c r="I89" s="107">
        <f>AgeStanSec!I89/86400</f>
        <v>5.6041666666666663E-2</v>
      </c>
      <c r="J89" s="107">
        <f>AgeStanSec!J89/86400</f>
        <v>7.1643518518518523E-2</v>
      </c>
      <c r="K89" s="107">
        <f>AgeStanSec!K89/86400</f>
        <v>7.751157407407408E-2</v>
      </c>
      <c r="L89" s="107">
        <f>AgeStanSec!L89/86400</f>
        <v>9.9016203703703703E-2</v>
      </c>
      <c r="M89" s="107">
        <f>AgeStanSec!M89/86400</f>
        <v>0.10496527777777778</v>
      </c>
      <c r="N89" s="107">
        <f>AgeStanSec!N89/86400</f>
        <v>0.12706018518518519</v>
      </c>
      <c r="O89" s="107">
        <f>AgeStanSec!O89/86400</f>
        <v>0.15628472222222223</v>
      </c>
      <c r="P89" s="107">
        <f>AgeStanSec!P89/86400</f>
        <v>0.23041666666666666</v>
      </c>
      <c r="Q89" s="107">
        <f>AgeStanSec!Q89/86400</f>
        <v>0.2775347222222222</v>
      </c>
      <c r="R89" s="107">
        <f>AgeStanSec!R89/86400</f>
        <v>0.50540509259259259</v>
      </c>
      <c r="S89" s="107">
        <f>AgeStanSec!S89/86400</f>
        <v>0.69725694444444442</v>
      </c>
      <c r="T89" s="107"/>
      <c r="U89" s="107"/>
      <c r="V89" s="107"/>
      <c r="W89" s="47"/>
    </row>
    <row r="90" spans="1:23">
      <c r="A90" s="49">
        <v>89</v>
      </c>
      <c r="B90" s="159">
        <f>AgeStanSec!B90/86400</f>
        <v>6.2615740740740739E-3</v>
      </c>
      <c r="C90" s="156">
        <f>AgeStanSec!C90/86400</f>
        <v>2.2800925925925926E-2</v>
      </c>
      <c r="D90" s="107">
        <f>AgeStanSec!D90/86400</f>
        <v>2.7766203703703703E-2</v>
      </c>
      <c r="E90" s="107">
        <f>AgeStanSec!E90/86400</f>
        <v>0.03</v>
      </c>
      <c r="F90" s="107">
        <f>AgeStanSec!F90/86400</f>
        <v>3.7974537037037036E-2</v>
      </c>
      <c r="G90" s="107">
        <f>AgeStanSec!G90/86400</f>
        <v>3.8252314814814815E-2</v>
      </c>
      <c r="H90" s="107">
        <f>AgeStanSec!H90/86400</f>
        <v>4.8425925925925928E-2</v>
      </c>
      <c r="I90" s="107">
        <f>AgeStanSec!I90/86400</f>
        <v>5.9085648148148151E-2</v>
      </c>
      <c r="J90" s="107">
        <f>AgeStanSec!J90/86400</f>
        <v>7.5520833333333329E-2</v>
      </c>
      <c r="K90" s="107">
        <f>AgeStanSec!K90/86400</f>
        <v>8.1678240740740746E-2</v>
      </c>
      <c r="L90" s="107">
        <f>AgeStanSec!L90/86400</f>
        <v>0.10429398148148149</v>
      </c>
      <c r="M90" s="107">
        <f>AgeStanSec!M90/86400</f>
        <v>0.11055555555555556</v>
      </c>
      <c r="N90" s="107">
        <f>AgeStanSec!N90/86400</f>
        <v>0.13427083333333334</v>
      </c>
      <c r="O90" s="107">
        <f>AgeStanSec!O90/86400</f>
        <v>0.16582175925925927</v>
      </c>
      <c r="P90" s="107">
        <f>AgeStanSec!P90/86400</f>
        <v>0.24633101851851852</v>
      </c>
      <c r="Q90" s="107">
        <f>AgeStanSec!Q90/86400</f>
        <v>0.29670138888888886</v>
      </c>
      <c r="R90" s="107">
        <f>AgeStanSec!R90/86400</f>
        <v>0.54031249999999997</v>
      </c>
      <c r="S90" s="107">
        <f>AgeStanSec!S90/86400</f>
        <v>0.74540509259259258</v>
      </c>
      <c r="T90" s="107"/>
      <c r="U90" s="107"/>
      <c r="V90" s="107"/>
      <c r="W90" s="47"/>
    </row>
    <row r="91" spans="1:23">
      <c r="A91" s="57">
        <v>90</v>
      </c>
      <c r="B91" s="160">
        <f>AgeStanSec!B91/86400</f>
        <v>6.5393518518518517E-3</v>
      </c>
      <c r="C91" s="157">
        <f>AgeStanSec!C91/86400</f>
        <v>2.3877314814814816E-2</v>
      </c>
      <c r="D91" s="108">
        <f>AgeStanSec!D91/86400</f>
        <v>2.9178240740740741E-2</v>
      </c>
      <c r="E91" s="108">
        <f>AgeStanSec!E91/86400</f>
        <v>3.15625E-2</v>
      </c>
      <c r="F91" s="108">
        <f>AgeStanSec!F91/86400</f>
        <v>4.0092592592592589E-2</v>
      </c>
      <c r="G91" s="108">
        <f>AgeStanSec!G91/86400</f>
        <v>4.040509259259259E-2</v>
      </c>
      <c r="H91" s="108">
        <f>AgeStanSec!H91/86400</f>
        <v>5.1354166666666666E-2</v>
      </c>
      <c r="I91" s="108">
        <f>AgeStanSec!I91/86400</f>
        <v>6.2638888888888883E-2</v>
      </c>
      <c r="J91" s="108">
        <f>AgeStanSec!J91/86400</f>
        <v>7.9988425925925921E-2</v>
      </c>
      <c r="K91" s="108">
        <f>AgeStanSec!K91/86400</f>
        <v>8.6504629629629626E-2</v>
      </c>
      <c r="L91" s="108">
        <f>AgeStanSec!L91/86400</f>
        <v>0.11041666666666666</v>
      </c>
      <c r="M91" s="108">
        <f>AgeStanSec!M91/86400</f>
        <v>0.11701388888888889</v>
      </c>
      <c r="N91" s="108">
        <f>AgeStanSec!N91/86400</f>
        <v>0.14269675925925926</v>
      </c>
      <c r="O91" s="108">
        <f>AgeStanSec!O91/86400</f>
        <v>0.17708333333333334</v>
      </c>
      <c r="P91" s="108">
        <f>AgeStanSec!P91/86400</f>
        <v>0.26546296296296296</v>
      </c>
      <c r="Q91" s="108">
        <f>AgeStanSec!Q91/86400</f>
        <v>0.31974537037037037</v>
      </c>
      <c r="R91" s="108">
        <f>AgeStanSec!R91/86400</f>
        <v>0.58228009259259261</v>
      </c>
      <c r="S91" s="108">
        <f>AgeStanSec!S91/86400</f>
        <v>0.80331018518518515</v>
      </c>
      <c r="T91" s="108"/>
      <c r="U91" s="108"/>
      <c r="V91" s="108"/>
      <c r="W91" s="47"/>
    </row>
    <row r="92" spans="1:23">
      <c r="A92" s="49">
        <v>91</v>
      </c>
      <c r="B92" s="159">
        <f>AgeStanSec!B92/86400</f>
        <v>6.8634259259259256E-3</v>
      </c>
      <c r="C92" s="156">
        <f>AgeStanSec!C92/86400</f>
        <v>2.5127314814814814E-2</v>
      </c>
      <c r="D92" s="107">
        <f>AgeStanSec!D92/86400</f>
        <v>3.0810185185185184E-2</v>
      </c>
      <c r="E92" s="107">
        <f>AgeStanSec!E92/86400</f>
        <v>3.3379629629629627E-2</v>
      </c>
      <c r="F92" s="107">
        <f>AgeStanSec!F92/86400</f>
        <v>4.2592592592592592E-2</v>
      </c>
      <c r="G92" s="107">
        <f>AgeStanSec!G92/86400</f>
        <v>4.2939814814814813E-2</v>
      </c>
      <c r="H92" s="107">
        <f>AgeStanSec!H92/86400</f>
        <v>5.482638888888889E-2</v>
      </c>
      <c r="I92" s="107">
        <f>AgeStanSec!I92/86400</f>
        <v>6.6817129629629629E-2</v>
      </c>
      <c r="J92" s="107">
        <f>AgeStanSec!J92/86400</f>
        <v>8.5277777777777772E-2</v>
      </c>
      <c r="K92" s="107">
        <f>AgeStanSec!K92/86400</f>
        <v>9.2199074074074072E-2</v>
      </c>
      <c r="L92" s="107">
        <f>AgeStanSec!L92/86400</f>
        <v>0.11758101851851852</v>
      </c>
      <c r="M92" s="107">
        <f>AgeStanSec!M92/86400</f>
        <v>0.1245949074074074</v>
      </c>
      <c r="N92" s="107">
        <f>AgeStanSec!N92/86400</f>
        <v>0.15269675925925927</v>
      </c>
      <c r="O92" s="107">
        <f>AgeStanSec!O92/86400</f>
        <v>0.19050925925925927</v>
      </c>
      <c r="P92" s="107">
        <f>AgeStanSec!P92/86400</f>
        <v>0.2888310185185185</v>
      </c>
      <c r="Q92" s="107">
        <f>AgeStanSec!Q92/86400</f>
        <v>0.34789351851851852</v>
      </c>
      <c r="R92" s="107">
        <f>AgeStanSec!R92/86400</f>
        <v>0.63354166666666667</v>
      </c>
      <c r="S92" s="107">
        <f>AgeStanSec!S92/86400</f>
        <v>0.8740162037037037</v>
      </c>
      <c r="T92" s="107"/>
      <c r="U92" s="107"/>
      <c r="V92" s="107"/>
      <c r="W92" s="47"/>
    </row>
    <row r="93" spans="1:23">
      <c r="A93" s="49">
        <v>92</v>
      </c>
      <c r="B93" s="159">
        <f>AgeStanSec!B93/86400</f>
        <v>7.2337962962962963E-3</v>
      </c>
      <c r="C93" s="156">
        <f>AgeStanSec!C93/86400</f>
        <v>2.6562499999999999E-2</v>
      </c>
      <c r="D93" s="107">
        <f>AgeStanSec!D93/86400</f>
        <v>3.2708333333333332E-2</v>
      </c>
      <c r="E93" s="107">
        <f>AgeStanSec!E93/86400</f>
        <v>3.5497685185185188E-2</v>
      </c>
      <c r="F93" s="107">
        <f>AgeStanSec!F93/86400</f>
        <v>4.5543981481481484E-2</v>
      </c>
      <c r="G93" s="107">
        <f>AgeStanSec!G93/86400</f>
        <v>4.5914351851851852E-2</v>
      </c>
      <c r="H93" s="107">
        <f>AgeStanSec!H93/86400</f>
        <v>5.8958333333333335E-2</v>
      </c>
      <c r="I93" s="107">
        <f>AgeStanSec!I93/86400</f>
        <v>7.1805555555555553E-2</v>
      </c>
      <c r="J93" s="107">
        <f>AgeStanSec!J93/86400</f>
        <v>9.1539351851851858E-2</v>
      </c>
      <c r="K93" s="107">
        <f>AgeStanSec!K93/86400</f>
        <v>9.8935185185185182E-2</v>
      </c>
      <c r="L93" s="107">
        <f>AgeStanSec!L93/86400</f>
        <v>0.12605324074074073</v>
      </c>
      <c r="M93" s="107">
        <f>AgeStanSec!M93/86400</f>
        <v>0.13350694444444444</v>
      </c>
      <c r="N93" s="107">
        <f>AgeStanSec!N93/86400</f>
        <v>0.16461805555555556</v>
      </c>
      <c r="O93" s="107">
        <f>AgeStanSec!O93/86400</f>
        <v>0.20674768518518519</v>
      </c>
      <c r="P93" s="107">
        <f>AgeStanSec!P93/86400</f>
        <v>0.31793981481481481</v>
      </c>
      <c r="Q93" s="107">
        <f>AgeStanSec!Q93/86400</f>
        <v>0.38295138888888891</v>
      </c>
      <c r="R93" s="107">
        <f>AgeStanSec!R93/86400</f>
        <v>0.69738425925925929</v>
      </c>
      <c r="S93" s="107"/>
      <c r="T93" s="107"/>
      <c r="U93" s="107"/>
      <c r="V93" s="107"/>
      <c r="W93" s="47"/>
    </row>
    <row r="94" spans="1:23">
      <c r="A94" s="49">
        <v>93</v>
      </c>
      <c r="B94" s="159">
        <f>AgeStanSec!B94/86400</f>
        <v>7.6620370370370366E-3</v>
      </c>
      <c r="C94" s="156">
        <f>AgeStanSec!C94/86400</f>
        <v>2.8252314814814813E-2</v>
      </c>
      <c r="D94" s="107">
        <f>AgeStanSec!D94/86400</f>
        <v>3.4953703703703702E-2</v>
      </c>
      <c r="E94" s="107">
        <f>AgeStanSec!E94/86400</f>
        <v>3.8009259259259257E-2</v>
      </c>
      <c r="F94" s="107">
        <f>AgeStanSec!F94/86400</f>
        <v>4.9085648148148149E-2</v>
      </c>
      <c r="G94" s="107">
        <f>AgeStanSec!G94/86400</f>
        <v>4.9490740740740738E-2</v>
      </c>
      <c r="H94" s="107">
        <f>AgeStanSec!H94/86400</f>
        <v>6.3993055555555553E-2</v>
      </c>
      <c r="I94" s="107">
        <f>AgeStanSec!I94/86400</f>
        <v>7.7835648148148154E-2</v>
      </c>
      <c r="J94" s="107">
        <f>AgeStanSec!J94/86400</f>
        <v>9.9085648148148145E-2</v>
      </c>
      <c r="K94" s="107">
        <f>AgeStanSec!K94/86400</f>
        <v>0.10704861111111111</v>
      </c>
      <c r="L94" s="107">
        <f>AgeStanSec!L94/86400</f>
        <v>0.13614583333333333</v>
      </c>
      <c r="M94" s="107">
        <f>AgeStanSec!M94/86400</f>
        <v>0.14417824074074073</v>
      </c>
      <c r="N94" s="107">
        <f>AgeStanSec!N94/86400</f>
        <v>0.17903935185185185</v>
      </c>
      <c r="O94" s="107">
        <f>AgeStanSec!O94/86400</f>
        <v>0.22681712962962963</v>
      </c>
      <c r="P94" s="107">
        <f>AgeStanSec!P94/86400</f>
        <v>0.35510416666666667</v>
      </c>
      <c r="Q94" s="107">
        <f>AgeStanSec!Q94/86400</f>
        <v>0.42770833333333336</v>
      </c>
      <c r="R94" s="107">
        <f>AgeStanSec!R94/86400</f>
        <v>0.77888888888888885</v>
      </c>
      <c r="S94" s="107"/>
      <c r="T94" s="107"/>
      <c r="U94" s="107"/>
      <c r="V94" s="107"/>
      <c r="W94" s="47"/>
    </row>
    <row r="95" spans="1:23">
      <c r="A95" s="49">
        <v>94</v>
      </c>
      <c r="B95" s="159">
        <f>AgeStanSec!B95/86400</f>
        <v>8.1712962962962963E-3</v>
      </c>
      <c r="C95" s="156">
        <f>AgeStanSec!C95/86400</f>
        <v>3.0231481481481481E-2</v>
      </c>
      <c r="D95" s="107">
        <f>AgeStanSec!D95/86400</f>
        <v>3.7627314814814815E-2</v>
      </c>
      <c r="E95" s="107">
        <f>AgeStanSec!E95/86400</f>
        <v>4.1006944444444443E-2</v>
      </c>
      <c r="F95" s="107">
        <f>AgeStanSec!F95/86400</f>
        <v>5.3391203703703705E-2</v>
      </c>
      <c r="G95" s="107">
        <f>AgeStanSec!G95/86400</f>
        <v>5.3831018518518521E-2</v>
      </c>
      <c r="H95" s="107">
        <f>AgeStanSec!H95/86400</f>
        <v>7.0196759259259264E-2</v>
      </c>
      <c r="I95" s="107">
        <f>AgeStanSec!I95/86400</f>
        <v>8.5266203703703705E-2</v>
      </c>
      <c r="J95" s="107">
        <f>AgeStanSec!J95/86400</f>
        <v>0.10832175925925926</v>
      </c>
      <c r="K95" s="107">
        <f>AgeStanSec!K95/86400</f>
        <v>0.11693287037037037</v>
      </c>
      <c r="L95" s="107">
        <f>AgeStanSec!L95/86400</f>
        <v>0.14847222222222223</v>
      </c>
      <c r="M95" s="107">
        <f>AgeStanSec!M95/86400</f>
        <v>0.15715277777777778</v>
      </c>
      <c r="N95" s="107">
        <f>AgeStanSec!N95/86400</f>
        <v>0.19690972222222222</v>
      </c>
      <c r="O95" s="107">
        <f>AgeStanSec!O95/86400</f>
        <v>0.25221064814814814</v>
      </c>
      <c r="P95" s="107">
        <f>AgeStanSec!P95/86400</f>
        <v>0.40408564814814812</v>
      </c>
      <c r="Q95" s="107">
        <f>AgeStanSec!Q95/86400</f>
        <v>0.48670138888888886</v>
      </c>
      <c r="R95" s="107">
        <f>AgeStanSec!R95/86400</f>
        <v>0.88633101851851848</v>
      </c>
      <c r="S95" s="107"/>
      <c r="T95" s="107"/>
      <c r="U95" s="107"/>
      <c r="V95" s="107"/>
      <c r="W95" s="47"/>
    </row>
    <row r="96" spans="1:23">
      <c r="A96" s="57">
        <v>95</v>
      </c>
      <c r="B96" s="160">
        <f>AgeStanSec!B96/86400</f>
        <v>8.773148148148148E-3</v>
      </c>
      <c r="C96" s="157">
        <f>AgeStanSec!C96/86400</f>
        <v>3.259259259259259E-2</v>
      </c>
      <c r="D96" s="108">
        <f>AgeStanSec!D96/86400</f>
        <v>4.0879629629629627E-2</v>
      </c>
      <c r="E96" s="108">
        <f>AgeStanSec!E96/86400</f>
        <v>4.4664351851851851E-2</v>
      </c>
      <c r="F96" s="108">
        <f>AgeStanSec!F96/86400</f>
        <v>5.872685185185185E-2</v>
      </c>
      <c r="G96" s="108">
        <f>AgeStanSec!G96/86400</f>
        <v>5.9236111111111114E-2</v>
      </c>
      <c r="H96" s="108">
        <f>AgeStanSec!H96/86400</f>
        <v>7.8067129629629625E-2</v>
      </c>
      <c r="I96" s="108">
        <f>AgeStanSec!I96/86400</f>
        <v>9.4629629629629633E-2</v>
      </c>
      <c r="J96" s="108">
        <f>AgeStanSec!J96/86400</f>
        <v>0.11994212962962963</v>
      </c>
      <c r="K96" s="108">
        <f>AgeStanSec!K96/86400</f>
        <v>0.12935185185185186</v>
      </c>
      <c r="L96" s="108">
        <f>AgeStanSec!L96/86400</f>
        <v>0.16383101851851853</v>
      </c>
      <c r="M96" s="108">
        <f>AgeStanSec!M96/86400</f>
        <v>0.17331018518518518</v>
      </c>
      <c r="N96" s="108">
        <f>AgeStanSec!N96/86400</f>
        <v>0.21966435185185185</v>
      </c>
      <c r="O96" s="108">
        <f>AgeStanSec!O96/86400</f>
        <v>0.28516203703703702</v>
      </c>
      <c r="P96" s="108">
        <f>AgeStanSec!P96/86400</f>
        <v>0.47142361111111108</v>
      </c>
      <c r="Q96" s="108">
        <f>AgeStanSec!Q96/86400</f>
        <v>0.56782407407407409</v>
      </c>
      <c r="R96" s="108">
        <f>AgeStanSec!R96/86400</f>
        <v>1.0340509259259258</v>
      </c>
      <c r="S96" s="108"/>
      <c r="T96" s="108"/>
      <c r="U96" s="108"/>
      <c r="V96" s="108"/>
      <c r="W96" s="47"/>
    </row>
    <row r="97" spans="1:23">
      <c r="A97" s="49">
        <v>96</v>
      </c>
      <c r="B97" s="159">
        <f>AgeStanSec!B97/86400</f>
        <v>9.5138888888888894E-3</v>
      </c>
      <c r="C97" s="156">
        <f>AgeStanSec!C97/86400</f>
        <v>3.5474537037037034E-2</v>
      </c>
      <c r="D97" s="107">
        <f>AgeStanSec!D97/86400</f>
        <v>4.4884259259259263E-2</v>
      </c>
      <c r="E97" s="107">
        <f>AgeStanSec!E97/86400</f>
        <v>4.9236111111111112E-2</v>
      </c>
      <c r="F97" s="107">
        <f>AgeStanSec!F97/86400</f>
        <v>6.5486111111111106E-2</v>
      </c>
      <c r="G97" s="107">
        <f>AgeStanSec!G97/86400</f>
        <v>6.609953703703704E-2</v>
      </c>
      <c r="H97" s="107">
        <f>AgeStanSec!H97/86400</f>
        <v>8.8310185185185186E-2</v>
      </c>
      <c r="I97" s="107">
        <f>AgeStanSec!I97/86400</f>
        <v>0.10672453703703703</v>
      </c>
      <c r="J97" s="107">
        <f>AgeStanSec!J97/86400</f>
        <v>0.1348148148148148</v>
      </c>
      <c r="K97" s="107">
        <f>AgeStanSec!K97/86400</f>
        <v>0.14528935185185185</v>
      </c>
      <c r="L97" s="107">
        <f>AgeStanSec!L97/86400</f>
        <v>0.18332175925925925</v>
      </c>
      <c r="M97" s="107">
        <f>AgeStanSec!M97/86400</f>
        <v>0.19377314814814814</v>
      </c>
      <c r="N97" s="107">
        <f>AgeStanSec!N97/86400</f>
        <v>0.24931712962962962</v>
      </c>
      <c r="O97" s="107">
        <f>AgeStanSec!O97/86400</f>
        <v>0.32973379629629629</v>
      </c>
      <c r="P97" s="107">
        <f>AgeStanSec!P97/86400</f>
        <v>0.56964120370370375</v>
      </c>
      <c r="Q97" s="107">
        <f>AgeStanSec!Q97/86400</f>
        <v>0.68611111111111112</v>
      </c>
      <c r="R97" s="107"/>
      <c r="S97" s="107"/>
      <c r="T97" s="107"/>
      <c r="U97" s="107"/>
      <c r="V97" s="107"/>
      <c r="W97" s="47"/>
    </row>
    <row r="98" spans="1:23">
      <c r="A98" s="49">
        <v>97</v>
      </c>
      <c r="B98" s="159">
        <f>AgeStanSec!B98/86400</f>
        <v>1.0405092592592593E-2</v>
      </c>
      <c r="C98" s="156">
        <f>AgeStanSec!C98/86400</f>
        <v>3.9027777777777779E-2</v>
      </c>
      <c r="D98" s="107">
        <f>AgeStanSec!D98/86400</f>
        <v>4.9918981481481481E-2</v>
      </c>
      <c r="E98" s="107">
        <f>AgeStanSec!E98/86400</f>
        <v>5.5023148148148147E-2</v>
      </c>
      <c r="F98" s="107">
        <f>AgeStanSec!F98/86400</f>
        <v>7.436342592592593E-2</v>
      </c>
      <c r="G98" s="107">
        <f>AgeStanSec!G98/86400</f>
        <v>7.5081018518518519E-2</v>
      </c>
      <c r="H98" s="107">
        <f>AgeStanSec!H98/86400</f>
        <v>0.1021875</v>
      </c>
      <c r="I98" s="107">
        <f>AgeStanSec!I98/86400</f>
        <v>0.12299768518518518</v>
      </c>
      <c r="J98" s="107">
        <f>AgeStanSec!J98/86400</f>
        <v>0.15461805555555555</v>
      </c>
      <c r="K98" s="107">
        <f>AgeStanSec!K98/86400</f>
        <v>0.16638888888888889</v>
      </c>
      <c r="L98" s="107">
        <f>AgeStanSec!L98/86400</f>
        <v>0.20900462962962962</v>
      </c>
      <c r="M98" s="107">
        <f>AgeStanSec!M98/86400</f>
        <v>0.22060185185185185</v>
      </c>
      <c r="N98" s="107">
        <f>AgeStanSec!N98/86400</f>
        <v>0.2895138888888889</v>
      </c>
      <c r="O98" s="107">
        <f>AgeStanSec!O98/86400</f>
        <v>0.39300925925925928</v>
      </c>
      <c r="P98" s="107">
        <f>AgeStanSec!P98/86400</f>
        <v>0.72591435185185182</v>
      </c>
      <c r="Q98" s="107">
        <f>AgeStanSec!Q98/86400</f>
        <v>0.87434027777777779</v>
      </c>
      <c r="R98" s="107"/>
      <c r="S98" s="107"/>
      <c r="T98" s="107"/>
      <c r="U98" s="107"/>
      <c r="V98" s="107"/>
      <c r="W98" s="47"/>
    </row>
    <row r="99" spans="1:23">
      <c r="A99" s="49">
        <v>98</v>
      </c>
      <c r="B99" s="159">
        <f>AgeStanSec!B99/86400</f>
        <v>1.1539351851851851E-2</v>
      </c>
      <c r="C99" s="156">
        <f>AgeStanSec!C99/86400</f>
        <v>4.3506944444444445E-2</v>
      </c>
      <c r="D99" s="107">
        <f>AgeStanSec!D99/86400</f>
        <v>5.6469907407407406E-2</v>
      </c>
      <c r="E99" s="107">
        <f>AgeStanSec!E99/86400</f>
        <v>6.2615740740740736E-2</v>
      </c>
      <c r="F99" s="107">
        <f>AgeStanSec!F99/86400</f>
        <v>8.6446759259259265E-2</v>
      </c>
      <c r="G99" s="107">
        <f>AgeStanSec!G99/86400</f>
        <v>8.7314814814814817E-2</v>
      </c>
      <c r="H99" s="107">
        <f>AgeStanSec!H99/86400</f>
        <v>0.12195601851851852</v>
      </c>
      <c r="I99" s="107">
        <f>AgeStanSec!I99/86400</f>
        <v>0.14600694444444445</v>
      </c>
      <c r="J99" s="107">
        <f>AgeStanSec!J99/86400</f>
        <v>0.18221064814814814</v>
      </c>
      <c r="K99" s="107">
        <f>AgeStanSec!K99/86400</f>
        <v>0.19568287037037038</v>
      </c>
      <c r="L99" s="107">
        <f>AgeStanSec!L99/86400</f>
        <v>0.2442013888888889</v>
      </c>
      <c r="M99" s="107">
        <f>AgeStanSec!M99/86400</f>
        <v>0.25741898148148146</v>
      </c>
      <c r="N99" s="107">
        <f>AgeStanSec!N99/86400</f>
        <v>0.34745370370370371</v>
      </c>
      <c r="O99" s="107">
        <f>AgeStanSec!O99/86400</f>
        <v>0.49012731481481481</v>
      </c>
      <c r="P99" s="107">
        <f>AgeStanSec!P99/86400</f>
        <v>1.0126967592592593</v>
      </c>
      <c r="Q99" s="107">
        <f>AgeStanSec!Q99/86400</f>
        <v>1.2197569444444445</v>
      </c>
      <c r="R99" s="107"/>
      <c r="S99" s="107"/>
      <c r="T99" s="107"/>
      <c r="U99" s="107"/>
      <c r="V99" s="107"/>
      <c r="W99" s="47"/>
    </row>
    <row r="100" spans="1:23">
      <c r="A100" s="49">
        <v>99</v>
      </c>
      <c r="B100" s="159">
        <f>AgeStanSec!B100/86400</f>
        <v>1.2997685185185185E-2</v>
      </c>
      <c r="C100" s="156">
        <f>AgeStanSec!C100/86400</f>
        <v>4.9363425925925929E-2</v>
      </c>
      <c r="D100" s="107">
        <f>AgeStanSec!D100/86400</f>
        <v>6.5277777777777782E-2</v>
      </c>
      <c r="E100" s="107">
        <f>AgeStanSec!E100/86400</f>
        <v>7.2986111111111113E-2</v>
      </c>
      <c r="F100" s="107">
        <f>AgeStanSec!F100/86400</f>
        <v>0.10380787037037037</v>
      </c>
      <c r="G100" s="107">
        <f>AgeStanSec!G100/86400</f>
        <v>0.10497685185185185</v>
      </c>
      <c r="H100" s="107">
        <f>AgeStanSec!H100/86400</f>
        <v>0.15238425925925925</v>
      </c>
      <c r="I100" s="107">
        <f>AgeStanSec!I100/86400</f>
        <v>0.18081018518518518</v>
      </c>
      <c r="J100" s="107">
        <f>AgeStanSec!J100/86400</f>
        <v>0.22324074074074074</v>
      </c>
      <c r="K100" s="107">
        <f>AgeStanSec!K100/86400</f>
        <v>0.23890046296296297</v>
      </c>
      <c r="L100" s="107">
        <f>AgeStanSec!L100/86400</f>
        <v>0.29534722222222221</v>
      </c>
      <c r="M100" s="107">
        <f>AgeStanSec!M100/86400</f>
        <v>0.31050925925925926</v>
      </c>
      <c r="N100" s="107">
        <f>AgeStanSec!N100/86400</f>
        <v>0.43730324074074073</v>
      </c>
      <c r="O100" s="107">
        <f>AgeStanSec!O100/86400</f>
        <v>0.65707175925925931</v>
      </c>
      <c r="P100" s="107"/>
      <c r="Q100" s="107"/>
      <c r="R100" s="107"/>
      <c r="S100" s="107"/>
      <c r="T100" s="107"/>
      <c r="U100" s="107"/>
      <c r="V100" s="107"/>
      <c r="W100" s="47"/>
    </row>
    <row r="101" spans="1:23" ht="15.75" thickBot="1">
      <c r="A101" s="57">
        <v>100</v>
      </c>
      <c r="B101" s="161">
        <f>AgeStanSec!B101/86400</f>
        <v>1.4953703703703703E-2</v>
      </c>
      <c r="C101" s="157">
        <f>AgeStanSec!C101/86400</f>
        <v>5.7303240740740738E-2</v>
      </c>
      <c r="D101" s="108">
        <f>AgeStanSec!D101/86400</f>
        <v>7.7812500000000007E-2</v>
      </c>
      <c r="E101" s="108">
        <f>AgeStanSec!E101/86400</f>
        <v>8.8043981481481487E-2</v>
      </c>
      <c r="F101" s="108">
        <f>AgeStanSec!F101/86400</f>
        <v>0.13108796296296296</v>
      </c>
      <c r="G101" s="108">
        <f>AgeStanSec!G101/86400</f>
        <v>0.13269675925925925</v>
      </c>
      <c r="H101" s="108">
        <f>AgeStanSec!H101/86400</f>
        <v>0.20531250000000001</v>
      </c>
      <c r="I101" s="108">
        <f>AgeStanSec!I101/86400</f>
        <v>0.23976851851851852</v>
      </c>
      <c r="J101" s="108">
        <f>AgeStanSec!J101/86400</f>
        <v>0.29090277777777779</v>
      </c>
      <c r="K101" s="108">
        <f>AgeStanSec!K101/86400</f>
        <v>0.30951388888888887</v>
      </c>
      <c r="L101" s="108">
        <f>AgeStanSec!L101/86400</f>
        <v>0.37631944444444443</v>
      </c>
      <c r="M101" s="108">
        <f>AgeStanSec!M101/86400</f>
        <v>0.39401620370370372</v>
      </c>
      <c r="N101" s="108">
        <f>AgeStanSec!N101/86400</f>
        <v>0.59591435185185182</v>
      </c>
      <c r="O101" s="108">
        <f>AgeStanSec!O101/86400</f>
        <v>1.0125</v>
      </c>
      <c r="P101" s="108"/>
      <c r="Q101" s="108"/>
      <c r="R101" s="108"/>
      <c r="S101" s="108"/>
      <c r="T101" s="108"/>
      <c r="U101" s="108"/>
      <c r="V101" s="108"/>
    </row>
    <row r="102" spans="1:23" ht="15.75">
      <c r="A102" s="162" t="s">
        <v>1803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3">
      <c r="A103" s="163" t="s">
        <v>960</v>
      </c>
    </row>
    <row r="104" spans="1:23" ht="15.75">
      <c r="A104" s="164" t="s">
        <v>2384</v>
      </c>
    </row>
    <row r="105" spans="1:23" ht="15.75">
      <c r="A105" s="164" t="s">
        <v>1802</v>
      </c>
    </row>
    <row r="106" spans="1:23" ht="15.75">
      <c r="A106" s="164" t="s">
        <v>956</v>
      </c>
    </row>
    <row r="107" spans="1:23" ht="15.75">
      <c r="A107" s="164"/>
    </row>
    <row r="108" spans="1:23" ht="15.75">
      <c r="A108" s="164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D25" sqref="D25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4" t="s">
        <v>143</v>
      </c>
    </row>
    <row r="2" spans="1:22">
      <c r="A2" s="45" t="s">
        <v>70</v>
      </c>
      <c r="B2" s="46" t="s">
        <v>126</v>
      </c>
      <c r="C2" s="46" t="s">
        <v>127</v>
      </c>
      <c r="D2" s="46" t="s">
        <v>128</v>
      </c>
      <c r="E2" s="46" t="s">
        <v>129</v>
      </c>
      <c r="F2" s="46" t="s">
        <v>130</v>
      </c>
      <c r="G2" s="46" t="s">
        <v>131</v>
      </c>
      <c r="H2" s="46" t="s">
        <v>132</v>
      </c>
      <c r="I2" s="46" t="s">
        <v>133</v>
      </c>
      <c r="J2" s="46" t="s">
        <v>134</v>
      </c>
      <c r="K2" s="46" t="s">
        <v>135</v>
      </c>
      <c r="L2" s="46" t="s">
        <v>9</v>
      </c>
      <c r="M2" s="46" t="s">
        <v>136</v>
      </c>
      <c r="N2" s="46" t="s">
        <v>137</v>
      </c>
      <c r="O2" s="46" t="s">
        <v>10</v>
      </c>
      <c r="P2" s="46" t="s">
        <v>98</v>
      </c>
      <c r="Q2" s="46" t="s">
        <v>138</v>
      </c>
      <c r="R2" s="46" t="s">
        <v>139</v>
      </c>
      <c r="S2" s="46" t="s">
        <v>140</v>
      </c>
      <c r="T2" s="46" t="s">
        <v>141</v>
      </c>
      <c r="U2" s="46" t="s">
        <v>142</v>
      </c>
      <c r="V2" s="47"/>
    </row>
    <row r="3" spans="1:22">
      <c r="A3" s="45" t="s">
        <v>0</v>
      </c>
      <c r="B3" s="63">
        <f>Parameters!B13</f>
        <v>5</v>
      </c>
      <c r="C3" s="64">
        <f>Parameters!B14</f>
        <v>6</v>
      </c>
      <c r="D3" s="63">
        <f>Parameters!B15</f>
        <v>6.4373760000000004</v>
      </c>
      <c r="E3" s="63">
        <f>Parameters!B16</f>
        <v>8</v>
      </c>
      <c r="F3" s="64">
        <f>Parameters!B17</f>
        <v>8.0467200000000005</v>
      </c>
      <c r="G3" s="63">
        <f>Parameters!B18</f>
        <v>10</v>
      </c>
      <c r="H3" s="63">
        <f>Parameters!B19</f>
        <v>12</v>
      </c>
      <c r="I3" s="63">
        <f>Parameters!B20</f>
        <v>15</v>
      </c>
      <c r="J3" s="63">
        <f>Parameters!B21</f>
        <v>16.093440000000001</v>
      </c>
      <c r="K3" s="63">
        <f>Parameters!B22</f>
        <v>20</v>
      </c>
      <c r="L3" s="63">
        <f>Parameters!B23</f>
        <v>21.0975</v>
      </c>
      <c r="M3" s="63">
        <f>Parameters!B24</f>
        <v>25</v>
      </c>
      <c r="N3" s="63">
        <f>Parameters!B25</f>
        <v>30</v>
      </c>
      <c r="O3" s="63">
        <f>Parameters!B26</f>
        <v>42.195</v>
      </c>
      <c r="P3" s="63">
        <f>Parameters!$B27</f>
        <v>50</v>
      </c>
      <c r="Q3" s="63">
        <f>Parameters!$B28</f>
        <v>80.467200000000005</v>
      </c>
      <c r="R3" s="63">
        <f>Parameters!$B29</f>
        <v>100</v>
      </c>
      <c r="S3" s="63">
        <f>Parameters!$B30</f>
        <v>150</v>
      </c>
      <c r="T3" s="63">
        <f>Parameters!$B31</f>
        <v>160.93440000000001</v>
      </c>
      <c r="U3" s="63">
        <f>Parameters!$B32</f>
        <v>200</v>
      </c>
      <c r="V3" s="47"/>
    </row>
    <row r="4" spans="1:22">
      <c r="A4" s="49" t="s">
        <v>124</v>
      </c>
      <c r="B4" s="50">
        <f>'5K'!$E$5</f>
        <v>853</v>
      </c>
      <c r="C4" s="50">
        <f>'6K'!$E$5</f>
        <v>1026</v>
      </c>
      <c r="D4" s="50">
        <f>'8K'!$E$5</f>
        <v>1375</v>
      </c>
      <c r="E4" s="50">
        <f>'8K'!$E$5</f>
        <v>1375</v>
      </c>
      <c r="F4" s="50">
        <f>'5MI'!$E$5</f>
        <v>1385</v>
      </c>
      <c r="G4" s="50">
        <f>'10K'!$E$5</f>
        <v>1726.0000000000002</v>
      </c>
      <c r="H4" s="50">
        <f>'12K'!$E$5</f>
        <v>2084</v>
      </c>
      <c r="I4" s="50">
        <f>'15K'!$E$5</f>
        <v>2629</v>
      </c>
      <c r="J4" s="50">
        <f>'10MI'!$E$5</f>
        <v>2832</v>
      </c>
      <c r="K4" s="50">
        <f>'20K'!$E$5</f>
        <v>3570</v>
      </c>
      <c r="L4" s="50">
        <f>H.Marathon!$E$5</f>
        <v>3772</v>
      </c>
      <c r="M4" s="50">
        <f>'25K'!$E$5</f>
        <v>4500</v>
      </c>
      <c r="N4" s="50">
        <f>'30K'!$E$5</f>
        <v>5450.0000000000009</v>
      </c>
      <c r="O4" s="50">
        <f>Marathon!$E$5</f>
        <v>7796</v>
      </c>
      <c r="P4" s="50">
        <f>Parameters!$H27</f>
        <v>9390</v>
      </c>
      <c r="Q4" s="50">
        <f>Parameters!$H28</f>
        <v>17100</v>
      </c>
      <c r="R4" s="50">
        <f>Parameters!$H29</f>
        <v>23590.999999999996</v>
      </c>
      <c r="S4" s="50">
        <f>Parameters!$H30</f>
        <v>39700</v>
      </c>
      <c r="T4" s="50">
        <f>Parameters!$H31</f>
        <v>43500</v>
      </c>
      <c r="U4" s="50">
        <f>Parameters!$H32</f>
        <v>57600</v>
      </c>
      <c r="V4" s="47"/>
    </row>
    <row r="5" spans="1:22">
      <c r="A5" s="49" t="s">
        <v>125</v>
      </c>
      <c r="B5" s="51">
        <f t="shared" ref="B5:U5" si="0">B4/86400</f>
        <v>9.8726851851851857E-3</v>
      </c>
      <c r="C5" s="51">
        <f t="shared" si="0"/>
        <v>1.1875E-2</v>
      </c>
      <c r="D5" s="51">
        <f t="shared" si="0"/>
        <v>1.5914351851851853E-2</v>
      </c>
      <c r="E5" s="51">
        <f t="shared" si="0"/>
        <v>1.5914351851851853E-2</v>
      </c>
      <c r="F5" s="51">
        <f t="shared" si="0"/>
        <v>1.6030092592592592E-2</v>
      </c>
      <c r="G5" s="51">
        <f t="shared" si="0"/>
        <v>1.9976851851851853E-2</v>
      </c>
      <c r="H5" s="51">
        <f t="shared" si="0"/>
        <v>2.4120370370370372E-2</v>
      </c>
      <c r="I5" s="51">
        <f t="shared" si="0"/>
        <v>3.0428240740740742E-2</v>
      </c>
      <c r="J5" s="51">
        <f t="shared" si="0"/>
        <v>3.2777777777777781E-2</v>
      </c>
      <c r="K5" s="51">
        <f t="shared" si="0"/>
        <v>4.1319444444444443E-2</v>
      </c>
      <c r="L5" s="51">
        <f t="shared" si="0"/>
        <v>4.3657407407407409E-2</v>
      </c>
      <c r="M5" s="51">
        <f t="shared" si="0"/>
        <v>5.2083333333333336E-2</v>
      </c>
      <c r="N5" s="51">
        <f t="shared" si="0"/>
        <v>6.307870370370372E-2</v>
      </c>
      <c r="O5" s="51">
        <f t="shared" si="0"/>
        <v>9.0231481481481482E-2</v>
      </c>
      <c r="P5" s="51">
        <f t="shared" si="0"/>
        <v>0.10868055555555556</v>
      </c>
      <c r="Q5" s="51">
        <f t="shared" si="0"/>
        <v>0.19791666666666666</v>
      </c>
      <c r="R5" s="51">
        <f t="shared" si="0"/>
        <v>0.27304398148148146</v>
      </c>
      <c r="S5" s="51">
        <f t="shared" si="0"/>
        <v>0.45949074074074076</v>
      </c>
      <c r="T5" s="52">
        <f t="shared" si="0"/>
        <v>0.50347222222222221</v>
      </c>
      <c r="U5" s="52">
        <f t="shared" si="0"/>
        <v>0.66666666666666663</v>
      </c>
      <c r="V5" s="65"/>
    </row>
    <row r="6" spans="1:22">
      <c r="A6" s="66">
        <v>5</v>
      </c>
      <c r="B6" s="67">
        <f>AgeStanSec!C6/B$3</f>
        <v>238.6</v>
      </c>
      <c r="C6" s="67">
        <f>AgeStanSec!D6/C$3</f>
        <v>246.33333333333334</v>
      </c>
      <c r="D6" s="67">
        <f>AgeStanSec!E6/D$3</f>
        <v>239.53859460749223</v>
      </c>
      <c r="E6" s="67">
        <f>AgeStanSec!F6/E$3</f>
        <v>240.25</v>
      </c>
      <c r="F6" s="67">
        <f>AgeStanSec!G6/F$3</f>
        <v>240.59492563429569</v>
      </c>
      <c r="G6" s="67">
        <f>AgeStanSec!H6/G$3</f>
        <v>241.3</v>
      </c>
      <c r="H6" s="67">
        <f>AgeStanSec!I6/H$3</f>
        <v>242.75</v>
      </c>
      <c r="I6" s="67">
        <f>AgeStanSec!J6/I$3</f>
        <v>245</v>
      </c>
      <c r="J6" s="67">
        <f>AgeStanSec!K6/J$3</f>
        <v>246.0008550067605</v>
      </c>
      <c r="K6" s="67">
        <f>AgeStanSec!L6/K$3</f>
        <v>249.55</v>
      </c>
      <c r="L6" s="67">
        <f>AgeStanSec!M6/L$3</f>
        <v>249.93482640123239</v>
      </c>
      <c r="M6" s="67">
        <f>AgeStanSec!N6/M$3</f>
        <v>251.64</v>
      </c>
      <c r="N6" s="67">
        <f>AgeStanSec!O6/N$3</f>
        <v>253.96666666666667</v>
      </c>
      <c r="O6" s="67">
        <f>AgeStanSec!P6/O$3</f>
        <v>258.30074653394951</v>
      </c>
      <c r="P6" s="67">
        <f>AgeStanSec!Q6/P$3</f>
        <v>262.54000000000002</v>
      </c>
      <c r="Q6" s="67">
        <f>AgeStanSec!R6/Q$3</f>
        <v>297.08999443251412</v>
      </c>
      <c r="R6" s="67">
        <f>AgeStanSec!S6/R$3</f>
        <v>329.81</v>
      </c>
      <c r="S6" s="67">
        <f>AgeStanSec!T6/S$3</f>
        <v>370.00666666666666</v>
      </c>
      <c r="T6" s="67">
        <f>AgeStanSec!U6/T$3</f>
        <v>377.88067684721227</v>
      </c>
      <c r="U6" s="67">
        <f>AgeStanSec!V6/U$3</f>
        <v>402.63</v>
      </c>
      <c r="V6" s="47"/>
    </row>
    <row r="7" spans="1:22">
      <c r="A7" s="68">
        <v>6</v>
      </c>
      <c r="B7" s="69">
        <f>AgeStanSec!C7/B$3</f>
        <v>229.4</v>
      </c>
      <c r="C7" s="69">
        <f>AgeStanSec!D7/C$3</f>
        <v>236</v>
      </c>
      <c r="D7" s="69">
        <f>AgeStanSec!E7/D$3</f>
        <v>238.91722341525491</v>
      </c>
      <c r="E7" s="69">
        <f>AgeStanSec!F7/E$3</f>
        <v>247.5</v>
      </c>
      <c r="F7" s="69">
        <f>AgeStanSec!G7/F$3</f>
        <v>248.05137994114369</v>
      </c>
      <c r="G7" s="69">
        <f>AgeStanSec!H7/G$3</f>
        <v>257.2</v>
      </c>
      <c r="H7" s="69">
        <f>AgeStanSec!I7/H$3</f>
        <v>265.16666666666669</v>
      </c>
      <c r="I7" s="69">
        <f>AgeStanSec!J7/I$3</f>
        <v>275.86666666666667</v>
      </c>
      <c r="J7" s="69">
        <f>AgeStanSec!K7/J$3</f>
        <v>279.74131074524774</v>
      </c>
      <c r="K7" s="69">
        <f>AgeStanSec!L7/K$3</f>
        <v>292.64999999999998</v>
      </c>
      <c r="L7" s="69">
        <f>AgeStanSec!M7/L$3</f>
        <v>295.43784808626611</v>
      </c>
      <c r="M7" s="69">
        <f>AgeStanSec!N7/M$3</f>
        <v>299.60000000000002</v>
      </c>
      <c r="N7" s="69">
        <f>AgeStanSec!O7/N$3</f>
        <v>304.7</v>
      </c>
      <c r="O7" s="69">
        <f>AgeStanSec!P7/O$3</f>
        <v>314.53963739779596</v>
      </c>
      <c r="P7" s="69">
        <f>AgeStanSec!Q7/P$3</f>
        <v>319.72000000000003</v>
      </c>
      <c r="Q7" s="69">
        <f>AgeStanSec!R7/Q$3</f>
        <v>361.77473554442054</v>
      </c>
      <c r="R7" s="69">
        <f>AgeStanSec!S7/R$3</f>
        <v>401.62</v>
      </c>
      <c r="S7" s="69">
        <f>AgeStanSec!T7/S$3</f>
        <v>450.57333333333332</v>
      </c>
      <c r="T7" s="69">
        <f>AgeStanSec!U7/T$3</f>
        <v>460.15643641135762</v>
      </c>
      <c r="U7" s="69">
        <f>AgeStanSec!V7/U$3</f>
        <v>490.29500000000002</v>
      </c>
      <c r="V7" s="47"/>
    </row>
    <row r="8" spans="1:22">
      <c r="A8" s="68">
        <v>7</v>
      </c>
      <c r="B8" s="69">
        <f>AgeStanSec!C8/B$3</f>
        <v>221.6</v>
      </c>
      <c r="C8" s="69">
        <f>AgeStanSec!D8/C$3</f>
        <v>227.16666666666666</v>
      </c>
      <c r="D8" s="69">
        <f>AgeStanSec!E8/D$3</f>
        <v>229.59665553169489</v>
      </c>
      <c r="E8" s="69">
        <f>AgeStanSec!F8/E$3</f>
        <v>236.625</v>
      </c>
      <c r="F8" s="69">
        <f>AgeStanSec!G8/F$3</f>
        <v>237.2395211962141</v>
      </c>
      <c r="G8" s="69">
        <f>AgeStanSec!H8/G$3</f>
        <v>244.6</v>
      </c>
      <c r="H8" s="69">
        <f>AgeStanSec!I8/H$3</f>
        <v>251.41666666666666</v>
      </c>
      <c r="I8" s="69">
        <f>AgeStanSec!J8/I$3</f>
        <v>260.60000000000002</v>
      </c>
      <c r="J8" s="69">
        <f>AgeStanSec!K8/J$3</f>
        <v>263.89634534319572</v>
      </c>
      <c r="K8" s="69">
        <f>AgeStanSec!L8/K$3</f>
        <v>275</v>
      </c>
      <c r="L8" s="69">
        <f>AgeStanSec!M8/L$3</f>
        <v>277.28403839317457</v>
      </c>
      <c r="M8" s="69">
        <f>AgeStanSec!N8/M$3</f>
        <v>280.64</v>
      </c>
      <c r="N8" s="69">
        <f>AgeStanSec!O8/N$3</f>
        <v>284.83333333333331</v>
      </c>
      <c r="O8" s="69">
        <f>AgeStanSec!P8/O$3</f>
        <v>292.7598056641782</v>
      </c>
      <c r="P8" s="69">
        <f>AgeStanSec!Q8/P$3</f>
        <v>297.58</v>
      </c>
      <c r="Q8" s="69">
        <f>AgeStanSec!R8/Q$3</f>
        <v>336.73347649725599</v>
      </c>
      <c r="R8" s="69">
        <f>AgeStanSec!S8/R$3</f>
        <v>373.81</v>
      </c>
      <c r="S8" s="69">
        <f>AgeStanSec!T8/S$3</f>
        <v>419.37333333333333</v>
      </c>
      <c r="T8" s="69">
        <f>AgeStanSec!U8/T$3</f>
        <v>428.29252167342713</v>
      </c>
      <c r="U8" s="69">
        <f>AgeStanSec!V8/U$3</f>
        <v>456.34500000000003</v>
      </c>
      <c r="V8" s="47"/>
    </row>
    <row r="9" spans="1:22">
      <c r="A9" s="68">
        <v>8</v>
      </c>
      <c r="B9" s="69">
        <f>AgeStanSec!C9/B$3</f>
        <v>214.6</v>
      </c>
      <c r="C9" s="69">
        <f>AgeStanSec!D9/C$3</f>
        <v>219.16666666666666</v>
      </c>
      <c r="D9" s="69">
        <f>AgeStanSec!E9/D$3</f>
        <v>221.36348723455021</v>
      </c>
      <c r="E9" s="69">
        <f>AgeStanSec!F9/E$3</f>
        <v>227.25</v>
      </c>
      <c r="F9" s="69">
        <f>AgeStanSec!G9/F$3</f>
        <v>227.67040483575914</v>
      </c>
      <c r="G9" s="69">
        <f>AgeStanSec!H9/G$3</f>
        <v>233.8</v>
      </c>
      <c r="H9" s="69">
        <f>AgeStanSec!I9/H$3</f>
        <v>239.66666666666666</v>
      </c>
      <c r="I9" s="69">
        <f>AgeStanSec!J9/I$3</f>
        <v>247.6</v>
      </c>
      <c r="J9" s="69">
        <f>AgeStanSec!K9/J$3</f>
        <v>250.47472759086929</v>
      </c>
      <c r="K9" s="69">
        <f>AgeStanSec!L9/K$3</f>
        <v>260.10000000000002</v>
      </c>
      <c r="L9" s="69">
        <f>AgeStanSec!M9/L$3</f>
        <v>262.02156653631948</v>
      </c>
      <c r="M9" s="69">
        <f>AgeStanSec!N9/M$3</f>
        <v>264.83999999999997</v>
      </c>
      <c r="N9" s="69">
        <f>AgeStanSec!O9/N$3</f>
        <v>268.33333333333331</v>
      </c>
      <c r="O9" s="69">
        <f>AgeStanSec!P9/O$3</f>
        <v>275.03258679938381</v>
      </c>
      <c r="P9" s="69">
        <f>AgeStanSec!Q9/P$3</f>
        <v>279.54000000000002</v>
      </c>
      <c r="Q9" s="69">
        <f>AgeStanSec!R9/Q$3</f>
        <v>316.32764654418196</v>
      </c>
      <c r="R9" s="69">
        <f>AgeStanSec!S9/R$3</f>
        <v>351.16</v>
      </c>
      <c r="S9" s="69">
        <f>AgeStanSec!T9/S$3</f>
        <v>393.96666666666664</v>
      </c>
      <c r="T9" s="69">
        <f>AgeStanSec!U9/T$3</f>
        <v>402.34406068559611</v>
      </c>
      <c r="U9" s="69">
        <f>AgeStanSec!V9/U$3</f>
        <v>428.7</v>
      </c>
      <c r="V9" s="47"/>
    </row>
    <row r="10" spans="1:22">
      <c r="A10" s="68">
        <v>9</v>
      </c>
      <c r="B10" s="69">
        <f>AgeStanSec!C10/B$3</f>
        <v>208.4</v>
      </c>
      <c r="C10" s="69">
        <f>AgeStanSec!D10/C$3</f>
        <v>212.33333333333334</v>
      </c>
      <c r="D10" s="69">
        <f>AgeStanSec!E10/D$3</f>
        <v>214.06237572576154</v>
      </c>
      <c r="E10" s="69">
        <f>AgeStanSec!F10/E$3</f>
        <v>219</v>
      </c>
      <c r="F10" s="69">
        <f>AgeStanSec!G10/F$3</f>
        <v>219.34403085977888</v>
      </c>
      <c r="G10" s="69">
        <f>AgeStanSec!H10/G$3</f>
        <v>224.5</v>
      </c>
      <c r="H10" s="69">
        <f>AgeStanSec!I10/H$3</f>
        <v>229.66666666666666</v>
      </c>
      <c r="I10" s="69">
        <f>AgeStanSec!J10/I$3</f>
        <v>236.46666666666667</v>
      </c>
      <c r="J10" s="69">
        <f>AgeStanSec!K10/J$3</f>
        <v>238.97936053447862</v>
      </c>
      <c r="K10" s="69">
        <f>AgeStanSec!L10/K$3</f>
        <v>247.45</v>
      </c>
      <c r="L10" s="69">
        <f>AgeStanSec!M10/L$3</f>
        <v>249.081644744638</v>
      </c>
      <c r="M10" s="69">
        <f>AgeStanSec!N10/M$3</f>
        <v>251.52</v>
      </c>
      <c r="N10" s="69">
        <f>AgeStanSec!O10/N$3</f>
        <v>254.6</v>
      </c>
      <c r="O10" s="69">
        <f>AgeStanSec!P10/O$3</f>
        <v>260.4810996563574</v>
      </c>
      <c r="P10" s="69">
        <f>AgeStanSec!Q10/P$3</f>
        <v>264.76</v>
      </c>
      <c r="Q10" s="69">
        <f>AgeStanSec!R10/Q$3</f>
        <v>299.60033404915293</v>
      </c>
      <c r="R10" s="69">
        <f>AgeStanSec!S10/R$3</f>
        <v>332.6</v>
      </c>
      <c r="S10" s="69">
        <f>AgeStanSec!T10/S$3</f>
        <v>373.14</v>
      </c>
      <c r="T10" s="69">
        <f>AgeStanSec!U10/T$3</f>
        <v>381.07452477531217</v>
      </c>
      <c r="U10" s="69">
        <f>AgeStanSec!V10/U$3</f>
        <v>406.03500000000003</v>
      </c>
      <c r="V10" s="47"/>
    </row>
    <row r="11" spans="1:22">
      <c r="A11" s="70">
        <v>10</v>
      </c>
      <c r="B11" s="71">
        <f>AgeStanSec!C11/B$3</f>
        <v>202.8</v>
      </c>
      <c r="C11" s="71">
        <f>AgeStanSec!D11/C$3</f>
        <v>206.16666666666666</v>
      </c>
      <c r="D11" s="71">
        <f>AgeStanSec!E11/D$3</f>
        <v>207.69332100532887</v>
      </c>
      <c r="E11" s="71">
        <f>AgeStanSec!F11/E$3</f>
        <v>211.75</v>
      </c>
      <c r="F11" s="71">
        <f>AgeStanSec!G11/F$3</f>
        <v>212.13612502982579</v>
      </c>
      <c r="G11" s="71">
        <f>AgeStanSec!H11/G$3</f>
        <v>216.4</v>
      </c>
      <c r="H11" s="71">
        <f>AgeStanSec!I11/H$3</f>
        <v>220.83333333333334</v>
      </c>
      <c r="I11" s="71">
        <f>AgeStanSec!J11/I$3</f>
        <v>226.86666666666667</v>
      </c>
      <c r="J11" s="71">
        <f>AgeStanSec!K11/J$3</f>
        <v>229.09955857790501</v>
      </c>
      <c r="K11" s="71">
        <f>AgeStanSec!L11/K$3</f>
        <v>236.55</v>
      </c>
      <c r="L11" s="71">
        <f>AgeStanSec!M11/L$3</f>
        <v>237.99028320891099</v>
      </c>
      <c r="M11" s="71">
        <f>AgeStanSec!N11/M$3</f>
        <v>240.16</v>
      </c>
      <c r="N11" s="71">
        <f>AgeStanSec!O11/N$3</f>
        <v>243.03333333333333</v>
      </c>
      <c r="O11" s="71">
        <f>AgeStanSec!P11/O$3</f>
        <v>248.3943595212703</v>
      </c>
      <c r="P11" s="71">
        <f>AgeStanSec!Q11/P$3</f>
        <v>252.48</v>
      </c>
      <c r="Q11" s="71">
        <f>AgeStanSec!R11/Q$3</f>
        <v>285.70647419072611</v>
      </c>
      <c r="R11" s="71">
        <f>AgeStanSec!S11/R$3</f>
        <v>317.17</v>
      </c>
      <c r="S11" s="71">
        <f>AgeStanSec!T11/S$3</f>
        <v>355.83333333333331</v>
      </c>
      <c r="T11" s="71">
        <f>AgeStanSec!U11/T$3</f>
        <v>363.39651435616003</v>
      </c>
      <c r="U11" s="71">
        <f>AgeStanSec!V11/U$3</f>
        <v>387.2</v>
      </c>
      <c r="V11" s="47"/>
    </row>
    <row r="12" spans="1:22">
      <c r="A12" s="68">
        <v>11</v>
      </c>
      <c r="B12" s="69">
        <f>AgeStanSec!C12/B$3</f>
        <v>198</v>
      </c>
      <c r="C12" s="69">
        <f>AgeStanSec!D12/C$3</f>
        <v>200.66666666666666</v>
      </c>
      <c r="D12" s="69">
        <f>AgeStanSec!E12/D$3</f>
        <v>201.94563747713352</v>
      </c>
      <c r="E12" s="69">
        <f>AgeStanSec!F12/E$3</f>
        <v>205.375</v>
      </c>
      <c r="F12" s="69">
        <f>AgeStanSec!G12/F$3</f>
        <v>205.79813886900499</v>
      </c>
      <c r="G12" s="69">
        <f>AgeStanSec!H12/G$3</f>
        <v>209.3</v>
      </c>
      <c r="H12" s="69">
        <f>AgeStanSec!I12/H$3</f>
        <v>213.25</v>
      </c>
      <c r="I12" s="69">
        <f>AgeStanSec!J12/I$3</f>
        <v>218.53333333333333</v>
      </c>
      <c r="J12" s="69">
        <f>AgeStanSec!K12/J$3</f>
        <v>220.52463612502982</v>
      </c>
      <c r="K12" s="69">
        <f>AgeStanSec!L12/K$3</f>
        <v>227.2</v>
      </c>
      <c r="L12" s="69">
        <f>AgeStanSec!M12/L$3</f>
        <v>228.41568906268515</v>
      </c>
      <c r="M12" s="69">
        <f>AgeStanSec!N12/M$3</f>
        <v>230.52</v>
      </c>
      <c r="N12" s="69">
        <f>AgeStanSec!O12/N$3</f>
        <v>233.26666666666668</v>
      </c>
      <c r="O12" s="69">
        <f>AgeStanSec!P12/O$3</f>
        <v>238.36947505628629</v>
      </c>
      <c r="P12" s="69">
        <f>AgeStanSec!Q12/P$3</f>
        <v>242.3</v>
      </c>
      <c r="Q12" s="69">
        <f>AgeStanSec!R12/Q$3</f>
        <v>274.17382486280121</v>
      </c>
      <c r="R12" s="69">
        <f>AgeStanSec!S12/R$3</f>
        <v>304.36</v>
      </c>
      <c r="S12" s="69">
        <f>AgeStanSec!T12/S$3</f>
        <v>341.46</v>
      </c>
      <c r="T12" s="69">
        <f>AgeStanSec!U12/T$3</f>
        <v>348.72594050743652</v>
      </c>
      <c r="U12" s="69">
        <f>AgeStanSec!V12/U$3</f>
        <v>371.565</v>
      </c>
      <c r="V12" s="47"/>
    </row>
    <row r="13" spans="1:22">
      <c r="A13" s="68">
        <v>12</v>
      </c>
      <c r="B13" s="69">
        <f>AgeStanSec!C13/B$3</f>
        <v>193.6</v>
      </c>
      <c r="C13" s="69">
        <f>AgeStanSec!D13/C$3</f>
        <v>196</v>
      </c>
      <c r="D13" s="69">
        <f>AgeStanSec!E13/D$3</f>
        <v>196.97466793923485</v>
      </c>
      <c r="E13" s="69">
        <f>AgeStanSec!F13/E$3</f>
        <v>199.875</v>
      </c>
      <c r="F13" s="69">
        <f>AgeStanSec!G13/F$3</f>
        <v>200.205798138869</v>
      </c>
      <c r="G13" s="69">
        <f>AgeStanSec!H13/G$3</f>
        <v>203</v>
      </c>
      <c r="H13" s="69">
        <f>AgeStanSec!I13/H$3</f>
        <v>206.58333333333334</v>
      </c>
      <c r="I13" s="69">
        <f>AgeStanSec!J13/I$3</f>
        <v>211.26666666666668</v>
      </c>
      <c r="J13" s="69">
        <f>AgeStanSec!K13/J$3</f>
        <v>213.06818181818181</v>
      </c>
      <c r="K13" s="69">
        <f>AgeStanSec!L13/K$3</f>
        <v>219.05</v>
      </c>
      <c r="L13" s="69">
        <f>AgeStanSec!M13/L$3</f>
        <v>220.16826638227278</v>
      </c>
      <c r="M13" s="69">
        <f>AgeStanSec!N13/M$3</f>
        <v>222.24</v>
      </c>
      <c r="N13" s="69">
        <f>AgeStanSec!O13/N$3</f>
        <v>224.93333333333334</v>
      </c>
      <c r="O13" s="69">
        <f>AgeStanSec!P13/O$3</f>
        <v>229.97985543310818</v>
      </c>
      <c r="P13" s="69">
        <f>AgeStanSec!Q13/P$3</f>
        <v>233.76</v>
      </c>
      <c r="Q13" s="69">
        <f>AgeStanSec!R13/Q$3</f>
        <v>264.51771653543307</v>
      </c>
      <c r="R13" s="69">
        <f>AgeStanSec!S13/R$3</f>
        <v>293.64</v>
      </c>
      <c r="S13" s="69">
        <f>AgeStanSec!T13/S$3</f>
        <v>329.43333333333334</v>
      </c>
      <c r="T13" s="69">
        <f>AgeStanSec!U13/T$3</f>
        <v>336.44143203690447</v>
      </c>
      <c r="U13" s="69">
        <f>AgeStanSec!V13/U$3</f>
        <v>358.47500000000002</v>
      </c>
      <c r="V13" s="47"/>
    </row>
    <row r="14" spans="1:22">
      <c r="A14" s="68">
        <v>13</v>
      </c>
      <c r="B14" s="69">
        <f>AgeStanSec!C14/B$3</f>
        <v>189.8</v>
      </c>
      <c r="C14" s="69">
        <f>AgeStanSec!D14/C$3</f>
        <v>191.66666666666666</v>
      </c>
      <c r="D14" s="69">
        <f>AgeStanSec!E14/D$3</f>
        <v>192.62506959357353</v>
      </c>
      <c r="E14" s="69">
        <f>AgeStanSec!F14/E$3</f>
        <v>195</v>
      </c>
      <c r="F14" s="69">
        <f>AgeStanSec!G14/F$3</f>
        <v>195.23482860097033</v>
      </c>
      <c r="G14" s="69">
        <f>AgeStanSec!H14/G$3</f>
        <v>197.6</v>
      </c>
      <c r="H14" s="69">
        <f>AgeStanSec!I14/H$3</f>
        <v>200.75</v>
      </c>
      <c r="I14" s="69">
        <f>AgeStanSec!J14/I$3</f>
        <v>205</v>
      </c>
      <c r="J14" s="69">
        <f>AgeStanSec!K14/J$3</f>
        <v>206.60592141891354</v>
      </c>
      <c r="K14" s="69">
        <f>AgeStanSec!L14/K$3</f>
        <v>212.05</v>
      </c>
      <c r="L14" s="69">
        <f>AgeStanSec!M14/L$3</f>
        <v>213.01102026306435</v>
      </c>
      <c r="M14" s="69">
        <f>AgeStanSec!N14/M$3</f>
        <v>215.12</v>
      </c>
      <c r="N14" s="69">
        <f>AgeStanSec!O14/N$3</f>
        <v>217.86666666666667</v>
      </c>
      <c r="O14" s="69">
        <f>AgeStanSec!P14/O$3</f>
        <v>223.01220523758738</v>
      </c>
      <c r="P14" s="69">
        <f>AgeStanSec!Q14/P$3</f>
        <v>226.68</v>
      </c>
      <c r="Q14" s="69">
        <f>AgeStanSec!R14/Q$3</f>
        <v>256.50202815557145</v>
      </c>
      <c r="R14" s="69">
        <f>AgeStanSec!S14/R$3</f>
        <v>284.74</v>
      </c>
      <c r="S14" s="69">
        <f>AgeStanSec!T14/S$3</f>
        <v>319.45333333333332</v>
      </c>
      <c r="T14" s="69">
        <f>AgeStanSec!U14/T$3</f>
        <v>326.2509444842122</v>
      </c>
      <c r="U14" s="69">
        <f>AgeStanSec!V14/U$3</f>
        <v>347.61500000000001</v>
      </c>
      <c r="V14" s="47"/>
    </row>
    <row r="15" spans="1:22">
      <c r="A15" s="68">
        <v>14</v>
      </c>
      <c r="B15" s="69">
        <f>AgeStanSec!C15/B$3</f>
        <v>186.4</v>
      </c>
      <c r="C15" s="69">
        <f>AgeStanSec!D15/C$3</f>
        <v>188</v>
      </c>
      <c r="D15" s="69">
        <f>AgeStanSec!E15/D$3</f>
        <v>188.74149964209019</v>
      </c>
      <c r="E15" s="69">
        <f>AgeStanSec!F15/E$3</f>
        <v>190.625</v>
      </c>
      <c r="F15" s="69">
        <f>AgeStanSec!G15/F$3</f>
        <v>191.00950449375645</v>
      </c>
      <c r="G15" s="69">
        <f>AgeStanSec!H15/G$3</f>
        <v>192.8</v>
      </c>
      <c r="H15" s="69">
        <f>AgeStanSec!I15/H$3</f>
        <v>195.66666666666666</v>
      </c>
      <c r="I15" s="69">
        <f>AgeStanSec!J15/I$3</f>
        <v>199.46666666666667</v>
      </c>
      <c r="J15" s="69">
        <f>AgeStanSec!K15/J$3</f>
        <v>200.95144356955379</v>
      </c>
      <c r="K15" s="69">
        <f>AgeStanSec!L15/K$3</f>
        <v>205.9</v>
      </c>
      <c r="L15" s="69">
        <f>AgeStanSec!M15/L$3</f>
        <v>206.7543547813722</v>
      </c>
      <c r="M15" s="69">
        <f>AgeStanSec!N15/M$3</f>
        <v>209</v>
      </c>
      <c r="N15" s="69">
        <f>AgeStanSec!O15/N$3</f>
        <v>211.86666666666667</v>
      </c>
      <c r="O15" s="69">
        <f>AgeStanSec!P15/O$3</f>
        <v>217.20583007465339</v>
      </c>
      <c r="P15" s="69">
        <f>AgeStanSec!Q15/P$3</f>
        <v>220.78</v>
      </c>
      <c r="Q15" s="69">
        <f>AgeStanSec!R15/Q$3</f>
        <v>249.82850155094249</v>
      </c>
      <c r="R15" s="69">
        <f>AgeStanSec!S15/R$3</f>
        <v>277.35000000000002</v>
      </c>
      <c r="S15" s="69">
        <f>AgeStanSec!T15/S$3</f>
        <v>311.15333333333331</v>
      </c>
      <c r="T15" s="69">
        <f>AgeStanSec!U15/T$3</f>
        <v>317.76922771017257</v>
      </c>
      <c r="U15" s="69">
        <f>AgeStanSec!V15/U$3</f>
        <v>338.58499999999998</v>
      </c>
      <c r="V15" s="47"/>
    </row>
    <row r="16" spans="1:22">
      <c r="A16" s="70">
        <v>15</v>
      </c>
      <c r="B16" s="71">
        <f>AgeStanSec!C16/B$3</f>
        <v>183.4</v>
      </c>
      <c r="C16" s="71">
        <f>AgeStanSec!D16/C$3</f>
        <v>184.66666666666666</v>
      </c>
      <c r="D16" s="71">
        <f>AgeStanSec!E16/D$3</f>
        <v>185.32395808478483</v>
      </c>
      <c r="E16" s="71">
        <f>AgeStanSec!F16/E$3</f>
        <v>186.875</v>
      </c>
      <c r="F16" s="71">
        <f>AgeStanSec!G16/F$3</f>
        <v>187.15700310188498</v>
      </c>
      <c r="G16" s="71">
        <f>AgeStanSec!H16/G$3</f>
        <v>188.6</v>
      </c>
      <c r="H16" s="71">
        <f>AgeStanSec!I16/H$3</f>
        <v>191.16666666666666</v>
      </c>
      <c r="I16" s="71">
        <f>AgeStanSec!J16/I$3</f>
        <v>194.66666666666666</v>
      </c>
      <c r="J16" s="71">
        <f>AgeStanSec!K16/J$3</f>
        <v>196.04261115087886</v>
      </c>
      <c r="K16" s="71">
        <f>AgeStanSec!L16/K$3</f>
        <v>200.6</v>
      </c>
      <c r="L16" s="71">
        <f>AgeStanSec!M16/L$3</f>
        <v>201.35087095627443</v>
      </c>
      <c r="M16" s="71">
        <f>AgeStanSec!N16/M$3</f>
        <v>203.76</v>
      </c>
      <c r="N16" s="71">
        <f>AgeStanSec!O16/N$3</f>
        <v>206.76666666666668</v>
      </c>
      <c r="O16" s="71">
        <f>AgeStanSec!P16/O$3</f>
        <v>212.48963147292332</v>
      </c>
      <c r="P16" s="71">
        <f>AgeStanSec!Q16/P$3</f>
        <v>215.98</v>
      </c>
      <c r="Q16" s="71">
        <f>AgeStanSec!R16/Q$3</f>
        <v>244.39771733078817</v>
      </c>
      <c r="R16" s="71">
        <f>AgeStanSec!S16/R$3</f>
        <v>271.32</v>
      </c>
      <c r="S16" s="71">
        <f>AgeStanSec!T16/S$3</f>
        <v>304.38666666666666</v>
      </c>
      <c r="T16" s="71">
        <f>AgeStanSec!U16/T$3</f>
        <v>310.8657937644158</v>
      </c>
      <c r="U16" s="71">
        <f>AgeStanSec!V16/U$3</f>
        <v>331.22500000000002</v>
      </c>
      <c r="V16" s="47"/>
    </row>
    <row r="17" spans="1:22">
      <c r="A17" s="68">
        <v>16</v>
      </c>
      <c r="B17" s="69">
        <f>AgeStanSec!C17/B$3</f>
        <v>180.8</v>
      </c>
      <c r="C17" s="69">
        <f>AgeStanSec!D17/C$3</f>
        <v>181.66666666666666</v>
      </c>
      <c r="D17" s="69">
        <f>AgeStanSec!E17/D$3</f>
        <v>182.21710212359818</v>
      </c>
      <c r="E17" s="69">
        <f>AgeStanSec!F17/E$3</f>
        <v>183.375</v>
      </c>
      <c r="F17" s="69">
        <f>AgeStanSec!G17/F$3</f>
        <v>183.67732442535592</v>
      </c>
      <c r="G17" s="69">
        <f>AgeStanSec!H17/G$3</f>
        <v>184.8</v>
      </c>
      <c r="H17" s="69">
        <f>AgeStanSec!I17/H$3</f>
        <v>187.16666666666666</v>
      </c>
      <c r="I17" s="69">
        <f>AgeStanSec!J17/I$3</f>
        <v>190.4</v>
      </c>
      <c r="J17" s="69">
        <f>AgeStanSec!K17/J$3</f>
        <v>191.69301280521751</v>
      </c>
      <c r="K17" s="69">
        <f>AgeStanSec!L17/K$3</f>
        <v>195.95</v>
      </c>
      <c r="L17" s="69">
        <f>AgeStanSec!M17/L$3</f>
        <v>196.65837184500532</v>
      </c>
      <c r="M17" s="69">
        <f>AgeStanSec!N17/M$3</f>
        <v>199.2</v>
      </c>
      <c r="N17" s="69">
        <f>AgeStanSec!O17/N$3</f>
        <v>202.33333333333334</v>
      </c>
      <c r="O17" s="69">
        <f>AgeStanSec!P17/O$3</f>
        <v>208.31852115179524</v>
      </c>
      <c r="P17" s="69">
        <f>AgeStanSec!Q17/P$3</f>
        <v>211.74</v>
      </c>
      <c r="Q17" s="69">
        <f>AgeStanSec!R17/Q$3</f>
        <v>239.6131591505607</v>
      </c>
      <c r="R17" s="69">
        <f>AgeStanSec!S17/R$3</f>
        <v>265.99</v>
      </c>
      <c r="S17" s="69">
        <f>AgeStanSec!T17/S$3</f>
        <v>298.42</v>
      </c>
      <c r="T17" s="69">
        <f>AgeStanSec!U17/T$3</f>
        <v>304.76392865664519</v>
      </c>
      <c r="U17" s="69">
        <f>AgeStanSec!V17/U$3</f>
        <v>324.72500000000002</v>
      </c>
      <c r="V17" s="47"/>
    </row>
    <row r="18" spans="1:22">
      <c r="A18" s="68">
        <v>17</v>
      </c>
      <c r="B18" s="69">
        <f>AgeStanSec!C18/B$3</f>
        <v>178</v>
      </c>
      <c r="C18" s="69">
        <f>AgeStanSec!D18/C$3</f>
        <v>178.83333333333334</v>
      </c>
      <c r="D18" s="69">
        <f>AgeStanSec!E18/D$3</f>
        <v>179.26558896047084</v>
      </c>
      <c r="E18" s="69">
        <f>AgeStanSec!F18/E$3</f>
        <v>180.125</v>
      </c>
      <c r="F18" s="69">
        <f>AgeStanSec!G18/F$3</f>
        <v>180.3219199872743</v>
      </c>
      <c r="G18" s="69">
        <f>AgeStanSec!H18/G$3</f>
        <v>181.2</v>
      </c>
      <c r="H18" s="69">
        <f>AgeStanSec!I18/H$3</f>
        <v>183.33333333333334</v>
      </c>
      <c r="I18" s="69">
        <f>AgeStanSec!J18/I$3</f>
        <v>186.46666666666667</v>
      </c>
      <c r="J18" s="69">
        <f>AgeStanSec!K18/J$3</f>
        <v>187.65410005567486</v>
      </c>
      <c r="K18" s="69">
        <f>AgeStanSec!L18/K$3</f>
        <v>191.75</v>
      </c>
      <c r="L18" s="69">
        <f>AgeStanSec!M18/L$3</f>
        <v>192.39246356203341</v>
      </c>
      <c r="M18" s="69">
        <f>AgeStanSec!N18/M$3</f>
        <v>194.96</v>
      </c>
      <c r="N18" s="69">
        <f>AgeStanSec!O18/N$3</f>
        <v>198.2</v>
      </c>
      <c r="O18" s="69">
        <f>AgeStanSec!P18/O$3</f>
        <v>204.31330726389382</v>
      </c>
      <c r="P18" s="69">
        <f>AgeStanSec!Q18/P$3</f>
        <v>207.68</v>
      </c>
      <c r="Q18" s="69">
        <f>AgeStanSec!R18/Q$3</f>
        <v>235.0025849041597</v>
      </c>
      <c r="R18" s="69">
        <f>AgeStanSec!S18/R$3</f>
        <v>260.88</v>
      </c>
      <c r="S18" s="69">
        <f>AgeStanSec!T18/S$3</f>
        <v>292.67333333333335</v>
      </c>
      <c r="T18" s="69">
        <f>AgeStanSec!U18/T$3</f>
        <v>298.90439831384714</v>
      </c>
      <c r="U18" s="69">
        <f>AgeStanSec!V18/U$3</f>
        <v>318.48</v>
      </c>
      <c r="V18" s="47"/>
    </row>
    <row r="19" spans="1:22">
      <c r="A19" s="68">
        <v>18</v>
      </c>
      <c r="B19" s="69">
        <f>AgeStanSec!C19/B$3</f>
        <v>175.6</v>
      </c>
      <c r="C19" s="69">
        <f>AgeStanSec!D19/C$3</f>
        <v>176</v>
      </c>
      <c r="D19" s="69">
        <f>AgeStanSec!E19/D$3</f>
        <v>176.46941859540283</v>
      </c>
      <c r="E19" s="69">
        <f>AgeStanSec!F19/E$3</f>
        <v>177.125</v>
      </c>
      <c r="F19" s="69">
        <f>AgeStanSec!G19/F$3</f>
        <v>177.33933826453512</v>
      </c>
      <c r="G19" s="69">
        <f>AgeStanSec!H19/G$3</f>
        <v>178</v>
      </c>
      <c r="H19" s="69">
        <f>AgeStanSec!I19/H$3</f>
        <v>180</v>
      </c>
      <c r="I19" s="69">
        <f>AgeStanSec!J19/I$3</f>
        <v>182.8</v>
      </c>
      <c r="J19" s="69">
        <f>AgeStanSec!K19/J$3</f>
        <v>183.92587290225083</v>
      </c>
      <c r="K19" s="69">
        <f>AgeStanSec!L19/K$3</f>
        <v>187.7</v>
      </c>
      <c r="L19" s="69">
        <f>AgeStanSec!M19/L$3</f>
        <v>188.31615120274913</v>
      </c>
      <c r="M19" s="69">
        <f>AgeStanSec!N19/M$3</f>
        <v>190.96</v>
      </c>
      <c r="N19" s="69">
        <f>AgeStanSec!O19/N$3</f>
        <v>194.2</v>
      </c>
      <c r="O19" s="69">
        <f>AgeStanSec!P19/O$3</f>
        <v>200.45029031875814</v>
      </c>
      <c r="P19" s="69">
        <f>AgeStanSec!Q19/P$3</f>
        <v>203.76</v>
      </c>
      <c r="Q19" s="69">
        <f>AgeStanSec!R19/Q$3</f>
        <v>230.56599459158514</v>
      </c>
      <c r="R19" s="69">
        <f>AgeStanSec!S19/R$3</f>
        <v>255.95</v>
      </c>
      <c r="S19" s="69">
        <f>AgeStanSec!T19/S$3</f>
        <v>287.15333333333331</v>
      </c>
      <c r="T19" s="69">
        <f>AgeStanSec!U19/T$3</f>
        <v>293.25613417640977</v>
      </c>
      <c r="U19" s="69">
        <f>AgeStanSec!V19/U$3</f>
        <v>312.46499999999997</v>
      </c>
      <c r="V19" s="47"/>
    </row>
    <row r="20" spans="1:22">
      <c r="A20" s="68">
        <v>19</v>
      </c>
      <c r="B20" s="69">
        <f>AgeStanSec!C20/B$3</f>
        <v>173.4</v>
      </c>
      <c r="C20" s="69">
        <f>AgeStanSec!D20/C$3</f>
        <v>173.83333333333334</v>
      </c>
      <c r="D20" s="69">
        <f>AgeStanSec!E20/D$3</f>
        <v>174.13927662451283</v>
      </c>
      <c r="E20" s="69">
        <f>AgeStanSec!F20/E$3</f>
        <v>174.75</v>
      </c>
      <c r="F20" s="69">
        <f>AgeStanSec!G20/F$3</f>
        <v>174.97812773403322</v>
      </c>
      <c r="G20" s="69">
        <f>AgeStanSec!H20/G$3</f>
        <v>175.6</v>
      </c>
      <c r="H20" s="69">
        <f>AgeStanSec!I20/H$3</f>
        <v>177.25</v>
      </c>
      <c r="I20" s="69">
        <f>AgeStanSec!J20/I$3</f>
        <v>179.6</v>
      </c>
      <c r="J20" s="69">
        <f>AgeStanSec!K20/J$3</f>
        <v>180.57046846416924</v>
      </c>
      <c r="K20" s="69">
        <f>AgeStanSec!L20/K$3</f>
        <v>183.9</v>
      </c>
      <c r="L20" s="69">
        <f>AgeStanSec!M20/L$3</f>
        <v>184.3820357862306</v>
      </c>
      <c r="M20" s="69">
        <f>AgeStanSec!N20/M$3</f>
        <v>187.08</v>
      </c>
      <c r="N20" s="69">
        <f>AgeStanSec!O20/N$3</f>
        <v>190.4</v>
      </c>
      <c r="O20" s="69">
        <f>AgeStanSec!P20/O$3</f>
        <v>196.75316980684914</v>
      </c>
      <c r="P20" s="69">
        <f>AgeStanSec!Q20/P$3</f>
        <v>199.98</v>
      </c>
      <c r="Q20" s="69">
        <f>AgeStanSec!R20/Q$3</f>
        <v>226.29096078899227</v>
      </c>
      <c r="R20" s="69">
        <f>AgeStanSec!S20/R$3</f>
        <v>251.21</v>
      </c>
      <c r="S20" s="69">
        <f>AgeStanSec!T20/S$3</f>
        <v>281.83333333333331</v>
      </c>
      <c r="T20" s="69">
        <f>AgeStanSec!U20/T$3</f>
        <v>287.82534995625542</v>
      </c>
      <c r="U20" s="69">
        <f>AgeStanSec!V20/U$3</f>
        <v>306.67500000000001</v>
      </c>
      <c r="V20" s="47"/>
    </row>
    <row r="21" spans="1:22">
      <c r="A21" s="70">
        <v>20</v>
      </c>
      <c r="B21" s="71">
        <f>AgeStanSec!C21/B$3</f>
        <v>171.8</v>
      </c>
      <c r="C21" s="71">
        <f>AgeStanSec!D21/C$3</f>
        <v>172.16666666666666</v>
      </c>
      <c r="D21" s="71">
        <f>AgeStanSec!E21/D$3</f>
        <v>172.58584864391949</v>
      </c>
      <c r="E21" s="71">
        <f>AgeStanSec!F21/E$3</f>
        <v>173.125</v>
      </c>
      <c r="F21" s="71">
        <f>AgeStanSec!G21/F$3</f>
        <v>173.36256263421618</v>
      </c>
      <c r="G21" s="71">
        <f>AgeStanSec!H21/G$3</f>
        <v>173.9</v>
      </c>
      <c r="H21" s="71">
        <f>AgeStanSec!I21/H$3</f>
        <v>175.25</v>
      </c>
      <c r="I21" s="71">
        <f>AgeStanSec!J21/I$3</f>
        <v>177.2</v>
      </c>
      <c r="J21" s="71">
        <f>AgeStanSec!K21/J$3</f>
        <v>178.02284657599617</v>
      </c>
      <c r="K21" s="71">
        <f>AgeStanSec!L21/K$3</f>
        <v>180.85</v>
      </c>
      <c r="L21" s="71">
        <f>AgeStanSec!M21/L$3</f>
        <v>181.25370304538453</v>
      </c>
      <c r="M21" s="71">
        <f>AgeStanSec!N21/M$3</f>
        <v>183.88</v>
      </c>
      <c r="N21" s="71">
        <f>AgeStanSec!O21/N$3</f>
        <v>187.16666666666666</v>
      </c>
      <c r="O21" s="71">
        <f>AgeStanSec!P21/O$3</f>
        <v>193.41154165185449</v>
      </c>
      <c r="P21" s="71">
        <f>AgeStanSec!Q21/P$3</f>
        <v>196.58</v>
      </c>
      <c r="Q21" s="71">
        <f>AgeStanSec!R21/Q$3</f>
        <v>222.45088682096554</v>
      </c>
      <c r="R21" s="71">
        <f>AgeStanSec!S21/R$3</f>
        <v>246.95</v>
      </c>
      <c r="S21" s="71">
        <f>AgeStanSec!T21/S$3</f>
        <v>277.05333333333334</v>
      </c>
      <c r="T21" s="71">
        <f>AgeStanSec!U21/T$3</f>
        <v>282.94137238527003</v>
      </c>
      <c r="U21" s="71">
        <f>AgeStanSec!V21/U$3</f>
        <v>301.47500000000002</v>
      </c>
      <c r="V21" s="47"/>
    </row>
    <row r="22" spans="1:22">
      <c r="A22" s="68">
        <v>21</v>
      </c>
      <c r="B22" s="69">
        <f>AgeStanSec!C22/B$3</f>
        <v>171</v>
      </c>
      <c r="C22" s="69">
        <f>AgeStanSec!D22/C$3</f>
        <v>171.33333333333334</v>
      </c>
      <c r="D22" s="69">
        <f>AgeStanSec!E22/D$3</f>
        <v>171.6537918555635</v>
      </c>
      <c r="E22" s="69">
        <f>AgeStanSec!F22/E$3</f>
        <v>172.25</v>
      </c>
      <c r="F22" s="69">
        <f>AgeStanSec!G22/F$3</f>
        <v>172.49264296508389</v>
      </c>
      <c r="G22" s="69">
        <f>AgeStanSec!H22/G$3</f>
        <v>172.9</v>
      </c>
      <c r="H22" s="69">
        <f>AgeStanSec!I22/H$3</f>
        <v>174.08333333333334</v>
      </c>
      <c r="I22" s="69">
        <f>AgeStanSec!J22/I$3</f>
        <v>175.73333333333332</v>
      </c>
      <c r="J22" s="69">
        <f>AgeStanSec!K22/J$3</f>
        <v>176.46941859540283</v>
      </c>
      <c r="K22" s="69">
        <f>AgeStanSec!L22/K$3</f>
        <v>179.1</v>
      </c>
      <c r="L22" s="69">
        <f>AgeStanSec!M22/L$3</f>
        <v>179.40514278943002</v>
      </c>
      <c r="M22" s="69">
        <f>AgeStanSec!N22/M$3</f>
        <v>181.84</v>
      </c>
      <c r="N22" s="69">
        <f>AgeStanSec!O22/N$3</f>
        <v>184.9</v>
      </c>
      <c r="O22" s="69">
        <f>AgeStanSec!P22/O$3</f>
        <v>190.68610024884464</v>
      </c>
      <c r="P22" s="69">
        <f>AgeStanSec!Q22/P$3</f>
        <v>193.82</v>
      </c>
      <c r="Q22" s="69">
        <f>AgeStanSec!R22/Q$3</f>
        <v>219.33160343593414</v>
      </c>
      <c r="R22" s="69">
        <f>AgeStanSec!S22/R$3</f>
        <v>243.48</v>
      </c>
      <c r="S22" s="69">
        <f>AgeStanSec!T22/S$3</f>
        <v>273.16000000000003</v>
      </c>
      <c r="T22" s="69">
        <f>AgeStanSec!U22/T$3</f>
        <v>278.97081046687344</v>
      </c>
      <c r="U22" s="69">
        <f>AgeStanSec!V22/U$3</f>
        <v>297.245</v>
      </c>
      <c r="V22" s="47"/>
    </row>
    <row r="23" spans="1:22">
      <c r="A23" s="68">
        <v>22</v>
      </c>
      <c r="B23" s="69">
        <f>AgeStanSec!C23/B$3</f>
        <v>170.6</v>
      </c>
      <c r="C23" s="69">
        <f>AgeStanSec!D23/C$3</f>
        <v>171</v>
      </c>
      <c r="D23" s="69">
        <f>AgeStanSec!E23/D$3</f>
        <v>171.34310625944482</v>
      </c>
      <c r="E23" s="69">
        <f>AgeStanSec!F23/E$3</f>
        <v>171.875</v>
      </c>
      <c r="F23" s="69">
        <f>AgeStanSec!G23/F$3</f>
        <v>172.11982024974151</v>
      </c>
      <c r="G23" s="69">
        <f>AgeStanSec!H23/G$3</f>
        <v>172.6</v>
      </c>
      <c r="H23" s="69">
        <f>AgeStanSec!I23/H$3</f>
        <v>173.66666666666666</v>
      </c>
      <c r="I23" s="69">
        <f>AgeStanSec!J23/I$3</f>
        <v>175.26666666666668</v>
      </c>
      <c r="J23" s="69">
        <f>AgeStanSec!K23/J$3</f>
        <v>175.97232164161298</v>
      </c>
      <c r="K23" s="69">
        <f>AgeStanSec!L23/K$3</f>
        <v>178.5</v>
      </c>
      <c r="L23" s="69">
        <f>AgeStanSec!M23/L$3</f>
        <v>178.78895603744519</v>
      </c>
      <c r="M23" s="69">
        <f>AgeStanSec!N23/M$3</f>
        <v>180.88</v>
      </c>
      <c r="N23" s="69">
        <f>AgeStanSec!O23/N$3</f>
        <v>183.53333333333333</v>
      </c>
      <c r="O23" s="69">
        <f>AgeStanSec!P23/O$3</f>
        <v>188.50574712643677</v>
      </c>
      <c r="P23" s="69">
        <f>AgeStanSec!Q23/P$3</f>
        <v>191.62</v>
      </c>
      <c r="Q23" s="69">
        <f>AgeStanSec!R23/Q$3</f>
        <v>216.8212638192953</v>
      </c>
      <c r="R23" s="69">
        <f>AgeStanSec!S23/R$3</f>
        <v>240.7</v>
      </c>
      <c r="S23" s="69">
        <f>AgeStanSec!T23/S$3</f>
        <v>270.04000000000002</v>
      </c>
      <c r="T23" s="69">
        <f>AgeStanSec!U23/T$3</f>
        <v>275.78317625069593</v>
      </c>
      <c r="U23" s="69">
        <f>AgeStanSec!V23/U$3</f>
        <v>293.85000000000002</v>
      </c>
      <c r="V23" s="47"/>
    </row>
    <row r="24" spans="1:22">
      <c r="A24" s="68">
        <v>23</v>
      </c>
      <c r="B24" s="69">
        <f>AgeStanSec!C24/B$3</f>
        <v>170.6</v>
      </c>
      <c r="C24" s="69">
        <f>AgeStanSec!D24/C$3</f>
        <v>171</v>
      </c>
      <c r="D24" s="69">
        <f>AgeStanSec!E24/D$3</f>
        <v>171.34310625944482</v>
      </c>
      <c r="E24" s="69">
        <f>AgeStanSec!F24/E$3</f>
        <v>171.875</v>
      </c>
      <c r="F24" s="69">
        <f>AgeStanSec!G24/F$3</f>
        <v>172.11982024974151</v>
      </c>
      <c r="G24" s="69">
        <f>AgeStanSec!H24/G$3</f>
        <v>172.6</v>
      </c>
      <c r="H24" s="69">
        <f>AgeStanSec!I24/H$3</f>
        <v>173.66666666666666</v>
      </c>
      <c r="I24" s="69">
        <f>AgeStanSec!J24/I$3</f>
        <v>175.26666666666668</v>
      </c>
      <c r="J24" s="69">
        <f>AgeStanSec!K24/J$3</f>
        <v>175.97232164161298</v>
      </c>
      <c r="K24" s="69">
        <f>AgeStanSec!L24/K$3</f>
        <v>178.5</v>
      </c>
      <c r="L24" s="69">
        <f>AgeStanSec!M24/L$3</f>
        <v>178.78895603744519</v>
      </c>
      <c r="M24" s="69">
        <f>AgeStanSec!N24/M$3</f>
        <v>180.48</v>
      </c>
      <c r="N24" s="69">
        <f>AgeStanSec!O24/N$3</f>
        <v>182.7</v>
      </c>
      <c r="O24" s="69">
        <f>AgeStanSec!P24/O$3</f>
        <v>186.84678279416991</v>
      </c>
      <c r="P24" s="69">
        <f>AgeStanSec!Q24/P$3</f>
        <v>189.92</v>
      </c>
      <c r="Q24" s="69">
        <f>AgeStanSec!R24/Q$3</f>
        <v>214.91986797104906</v>
      </c>
      <c r="R24" s="69">
        <f>AgeStanSec!S24/R$3</f>
        <v>238.58</v>
      </c>
      <c r="S24" s="69">
        <f>AgeStanSec!T24/S$3</f>
        <v>267.66666666666669</v>
      </c>
      <c r="T24" s="69">
        <f>AgeStanSec!U24/T$3</f>
        <v>273.35982860097033</v>
      </c>
      <c r="U24" s="69">
        <f>AgeStanSec!V24/U$3</f>
        <v>291.26</v>
      </c>
      <c r="V24" s="47"/>
    </row>
    <row r="25" spans="1:22">
      <c r="A25" s="68">
        <v>24</v>
      </c>
      <c r="B25" s="69">
        <f>AgeStanSec!C25/B$3</f>
        <v>170.6</v>
      </c>
      <c r="C25" s="69">
        <f>AgeStanSec!D25/C$3</f>
        <v>171</v>
      </c>
      <c r="D25" s="69">
        <f>AgeStanSec!E25/D$3</f>
        <v>171.34310625944482</v>
      </c>
      <c r="E25" s="69">
        <f>AgeStanSec!F25/E$3</f>
        <v>171.875</v>
      </c>
      <c r="F25" s="69">
        <f>AgeStanSec!G25/F$3</f>
        <v>172.11982024974151</v>
      </c>
      <c r="G25" s="69">
        <f>AgeStanSec!H25/G$3</f>
        <v>172.6</v>
      </c>
      <c r="H25" s="69">
        <f>AgeStanSec!I25/H$3</f>
        <v>173.66666666666666</v>
      </c>
      <c r="I25" s="69">
        <f>AgeStanSec!J25/I$3</f>
        <v>175.26666666666668</v>
      </c>
      <c r="J25" s="69">
        <f>AgeStanSec!K25/J$3</f>
        <v>175.97232164161298</v>
      </c>
      <c r="K25" s="69">
        <f>AgeStanSec!L25/K$3</f>
        <v>178.5</v>
      </c>
      <c r="L25" s="69">
        <f>AgeStanSec!M25/L$3</f>
        <v>178.78895603744519</v>
      </c>
      <c r="M25" s="69">
        <f>AgeStanSec!N25/M$3</f>
        <v>180.2</v>
      </c>
      <c r="N25" s="69">
        <f>AgeStanSec!O25/N$3</f>
        <v>182.13333333333333</v>
      </c>
      <c r="O25" s="69">
        <f>AgeStanSec!P25/O$3</f>
        <v>185.68550776158312</v>
      </c>
      <c r="P25" s="69">
        <f>AgeStanSec!Q25/P$3</f>
        <v>188.74</v>
      </c>
      <c r="Q25" s="69">
        <f>AgeStanSec!R25/Q$3</f>
        <v>213.5777061958164</v>
      </c>
      <c r="R25" s="69">
        <f>AgeStanSec!S25/R$3</f>
        <v>237.1</v>
      </c>
      <c r="S25" s="69">
        <f>AgeStanSec!T25/S$3</f>
        <v>265.99333333333334</v>
      </c>
      <c r="T25" s="69">
        <f>AgeStanSec!U25/T$3</f>
        <v>271.65727153424001</v>
      </c>
      <c r="U25" s="69">
        <f>AgeStanSec!V25/U$3</f>
        <v>289.44499999999999</v>
      </c>
      <c r="V25" s="47"/>
    </row>
    <row r="26" spans="1:22">
      <c r="A26" s="70">
        <v>25</v>
      </c>
      <c r="B26" s="71">
        <f>AgeStanSec!C26/B$3</f>
        <v>170.6</v>
      </c>
      <c r="C26" s="71">
        <f>AgeStanSec!D26/C$3</f>
        <v>171</v>
      </c>
      <c r="D26" s="71">
        <f>AgeStanSec!E26/D$3</f>
        <v>171.34310625944482</v>
      </c>
      <c r="E26" s="71">
        <f>AgeStanSec!F26/E$3</f>
        <v>171.875</v>
      </c>
      <c r="F26" s="71">
        <f>AgeStanSec!G26/F$3</f>
        <v>172.11982024974151</v>
      </c>
      <c r="G26" s="71">
        <f>AgeStanSec!H26/G$3</f>
        <v>172.6</v>
      </c>
      <c r="H26" s="71">
        <f>AgeStanSec!I26/H$3</f>
        <v>173.66666666666666</v>
      </c>
      <c r="I26" s="71">
        <f>AgeStanSec!J26/I$3</f>
        <v>175.26666666666668</v>
      </c>
      <c r="J26" s="71">
        <f>AgeStanSec!K26/J$3</f>
        <v>175.97232164161298</v>
      </c>
      <c r="K26" s="71">
        <f>AgeStanSec!L26/K$3</f>
        <v>178.5</v>
      </c>
      <c r="L26" s="71">
        <f>AgeStanSec!M26/L$3</f>
        <v>178.78895603744519</v>
      </c>
      <c r="M26" s="71">
        <f>AgeStanSec!N26/M$3</f>
        <v>180.04</v>
      </c>
      <c r="N26" s="71">
        <f>AgeStanSec!O26/N$3</f>
        <v>181.76666666666668</v>
      </c>
      <c r="O26" s="71">
        <f>AgeStanSec!P26/O$3</f>
        <v>184.97452304775447</v>
      </c>
      <c r="P26" s="71">
        <f>AgeStanSec!Q26/P$3</f>
        <v>188.02</v>
      </c>
      <c r="Q26" s="71">
        <f>AgeStanSec!R26/Q$3</f>
        <v>212.76992364590788</v>
      </c>
      <c r="R26" s="71">
        <f>AgeStanSec!S26/R$3</f>
        <v>236.19</v>
      </c>
      <c r="S26" s="71">
        <f>AgeStanSec!T26/S$3</f>
        <v>264.98666666666668</v>
      </c>
      <c r="T26" s="71">
        <f>AgeStanSec!U26/T$3</f>
        <v>270.61958164320367</v>
      </c>
      <c r="U26" s="71">
        <f>AgeStanSec!V26/U$3</f>
        <v>288.34500000000003</v>
      </c>
      <c r="V26" s="47"/>
    </row>
    <row r="27" spans="1:22">
      <c r="A27" s="68">
        <v>26</v>
      </c>
      <c r="B27" s="69">
        <f>AgeStanSec!C27/B$3</f>
        <v>170.6</v>
      </c>
      <c r="C27" s="69">
        <f>AgeStanSec!D27/C$3</f>
        <v>171</v>
      </c>
      <c r="D27" s="69">
        <f>AgeStanSec!E27/D$3</f>
        <v>171.34310625944482</v>
      </c>
      <c r="E27" s="69">
        <f>AgeStanSec!F27/E$3</f>
        <v>171.875</v>
      </c>
      <c r="F27" s="69">
        <f>AgeStanSec!G27/F$3</f>
        <v>172.11982024974151</v>
      </c>
      <c r="G27" s="69">
        <f>AgeStanSec!H27/G$3</f>
        <v>172.6</v>
      </c>
      <c r="H27" s="69">
        <f>AgeStanSec!I27/H$3</f>
        <v>173.66666666666666</v>
      </c>
      <c r="I27" s="69">
        <f>AgeStanSec!J27/I$3</f>
        <v>175.26666666666668</v>
      </c>
      <c r="J27" s="69">
        <f>AgeStanSec!K27/J$3</f>
        <v>175.97232164161298</v>
      </c>
      <c r="K27" s="69">
        <f>AgeStanSec!L27/K$3</f>
        <v>178.5</v>
      </c>
      <c r="L27" s="69">
        <f>AgeStanSec!M27/L$3</f>
        <v>178.78895603744519</v>
      </c>
      <c r="M27" s="69">
        <f>AgeStanSec!N27/M$3</f>
        <v>180</v>
      </c>
      <c r="N27" s="69">
        <f>AgeStanSec!O27/N$3</f>
        <v>181.66666666666666</v>
      </c>
      <c r="O27" s="69">
        <f>AgeStanSec!P27/O$3</f>
        <v>184.76122763360587</v>
      </c>
      <c r="P27" s="69">
        <f>AgeStanSec!Q27/P$3</f>
        <v>187.8</v>
      </c>
      <c r="Q27" s="69">
        <f>AgeStanSec!R27/Q$3</f>
        <v>212.5089477451682</v>
      </c>
      <c r="R27" s="69">
        <f>AgeStanSec!S27/R$3</f>
        <v>235.91</v>
      </c>
      <c r="S27" s="69">
        <f>AgeStanSec!T27/S$3</f>
        <v>264.66666666666669</v>
      </c>
      <c r="T27" s="69">
        <f>AgeStanSec!U27/T$3</f>
        <v>270.29646862324029</v>
      </c>
      <c r="U27" s="69">
        <f>AgeStanSec!V27/U$3</f>
        <v>288</v>
      </c>
      <c r="V27" s="47"/>
    </row>
    <row r="28" spans="1:22">
      <c r="A28" s="68">
        <v>27</v>
      </c>
      <c r="B28" s="69">
        <f>AgeStanSec!C28/B$3</f>
        <v>170.6</v>
      </c>
      <c r="C28" s="69">
        <f>AgeStanSec!D28/C$3</f>
        <v>171</v>
      </c>
      <c r="D28" s="69">
        <f>AgeStanSec!E28/D$3</f>
        <v>171.49844905750416</v>
      </c>
      <c r="E28" s="69">
        <f>AgeStanSec!F28/E$3</f>
        <v>172</v>
      </c>
      <c r="F28" s="69">
        <f>AgeStanSec!G28/F$3</f>
        <v>172.24409448818898</v>
      </c>
      <c r="G28" s="69">
        <f>AgeStanSec!H28/G$3</f>
        <v>172.8</v>
      </c>
      <c r="H28" s="69">
        <f>AgeStanSec!I28/H$3</f>
        <v>173.83333333333334</v>
      </c>
      <c r="I28" s="69">
        <f>AgeStanSec!J28/I$3</f>
        <v>175.4</v>
      </c>
      <c r="J28" s="69">
        <f>AgeStanSec!K28/J$3</f>
        <v>176.03445876083671</v>
      </c>
      <c r="K28" s="69">
        <f>AgeStanSec!L28/K$3</f>
        <v>178.5</v>
      </c>
      <c r="L28" s="69">
        <f>AgeStanSec!M28/L$3</f>
        <v>178.78895603744519</v>
      </c>
      <c r="M28" s="69">
        <f>AgeStanSec!N28/M$3</f>
        <v>180</v>
      </c>
      <c r="N28" s="69">
        <f>AgeStanSec!O28/N$3</f>
        <v>181.66666666666666</v>
      </c>
      <c r="O28" s="69">
        <f>AgeStanSec!P28/O$3</f>
        <v>184.76122763360587</v>
      </c>
      <c r="P28" s="69">
        <f>AgeStanSec!Q28/P$3</f>
        <v>187.8</v>
      </c>
      <c r="Q28" s="69">
        <f>AgeStanSec!R28/Q$3</f>
        <v>212.5089477451682</v>
      </c>
      <c r="R28" s="69">
        <f>AgeStanSec!S28/R$3</f>
        <v>235.91</v>
      </c>
      <c r="S28" s="69">
        <f>AgeStanSec!T28/S$3</f>
        <v>264.66666666666669</v>
      </c>
      <c r="T28" s="69">
        <f>AgeStanSec!U28/T$3</f>
        <v>270.29646862324029</v>
      </c>
      <c r="U28" s="69">
        <f>AgeStanSec!V28/U$3</f>
        <v>288</v>
      </c>
      <c r="V28" s="47"/>
    </row>
    <row r="29" spans="1:22">
      <c r="A29" s="68">
        <v>28</v>
      </c>
      <c r="B29" s="69">
        <f>AgeStanSec!C29/B$3</f>
        <v>170.6</v>
      </c>
      <c r="C29" s="69">
        <f>AgeStanSec!D29/C$3</f>
        <v>171.16666666666666</v>
      </c>
      <c r="D29" s="69">
        <f>AgeStanSec!E29/D$3</f>
        <v>171.49844905750416</v>
      </c>
      <c r="E29" s="69">
        <f>AgeStanSec!F29/E$3</f>
        <v>172.125</v>
      </c>
      <c r="F29" s="69">
        <f>AgeStanSec!G29/F$3</f>
        <v>172.36836872663642</v>
      </c>
      <c r="G29" s="69">
        <f>AgeStanSec!H29/G$3</f>
        <v>173</v>
      </c>
      <c r="H29" s="69">
        <f>AgeStanSec!I29/H$3</f>
        <v>174</v>
      </c>
      <c r="I29" s="69">
        <f>AgeStanSec!J29/I$3</f>
        <v>175.46666666666667</v>
      </c>
      <c r="J29" s="69">
        <f>AgeStanSec!K29/J$3</f>
        <v>176.15873299928415</v>
      </c>
      <c r="K29" s="69">
        <f>AgeStanSec!L29/K$3</f>
        <v>178.55</v>
      </c>
      <c r="L29" s="69">
        <f>AgeStanSec!M29/L$3</f>
        <v>178.8363550183671</v>
      </c>
      <c r="M29" s="69">
        <f>AgeStanSec!N29/M$3</f>
        <v>180.04</v>
      </c>
      <c r="N29" s="69">
        <f>AgeStanSec!O29/N$3</f>
        <v>181.76666666666668</v>
      </c>
      <c r="O29" s="69">
        <f>AgeStanSec!P29/O$3</f>
        <v>184.90342457637161</v>
      </c>
      <c r="P29" s="69">
        <f>AgeStanSec!Q29/P$3</f>
        <v>187.96</v>
      </c>
      <c r="Q29" s="69">
        <f>AgeStanSec!R29/Q$3</f>
        <v>212.68293167899466</v>
      </c>
      <c r="R29" s="69">
        <f>AgeStanSec!S29/R$3</f>
        <v>236.1</v>
      </c>
      <c r="S29" s="69">
        <f>AgeStanSec!T29/S$3</f>
        <v>264.88</v>
      </c>
      <c r="T29" s="69">
        <f>AgeStanSec!U29/T$3</f>
        <v>270.5139485405233</v>
      </c>
      <c r="U29" s="69">
        <f>AgeStanSec!V29/U$3</f>
        <v>288.23</v>
      </c>
      <c r="V29" s="47"/>
    </row>
    <row r="30" spans="1:22">
      <c r="A30" s="68">
        <v>29</v>
      </c>
      <c r="B30" s="69">
        <f>AgeStanSec!C30/B$3</f>
        <v>170.6</v>
      </c>
      <c r="C30" s="69">
        <f>AgeStanSec!D30/C$3</f>
        <v>171.16666666666666</v>
      </c>
      <c r="D30" s="69">
        <f>AgeStanSec!E30/D$3</f>
        <v>171.6537918555635</v>
      </c>
      <c r="E30" s="69">
        <f>AgeStanSec!F30/E$3</f>
        <v>172.375</v>
      </c>
      <c r="F30" s="69">
        <f>AgeStanSec!G30/F$3</f>
        <v>172.61691720353136</v>
      </c>
      <c r="G30" s="69">
        <f>AgeStanSec!H30/G$3</f>
        <v>173.3</v>
      </c>
      <c r="H30" s="69">
        <f>AgeStanSec!I30/H$3</f>
        <v>174.25</v>
      </c>
      <c r="I30" s="69">
        <f>AgeStanSec!J30/I$3</f>
        <v>175.66666666666666</v>
      </c>
      <c r="J30" s="69">
        <f>AgeStanSec!K30/J$3</f>
        <v>176.34514435695536</v>
      </c>
      <c r="K30" s="69">
        <f>AgeStanSec!L30/K$3</f>
        <v>178.7</v>
      </c>
      <c r="L30" s="69">
        <f>AgeStanSec!M30/L$3</f>
        <v>178.93115298021092</v>
      </c>
      <c r="M30" s="69">
        <f>AgeStanSec!N30/M$3</f>
        <v>180.2</v>
      </c>
      <c r="N30" s="69">
        <f>AgeStanSec!O30/N$3</f>
        <v>181.9</v>
      </c>
      <c r="O30" s="69">
        <f>AgeStanSec!P30/O$3</f>
        <v>185.0693210095983</v>
      </c>
      <c r="P30" s="69">
        <f>AgeStanSec!Q30/P$3</f>
        <v>188.12</v>
      </c>
      <c r="Q30" s="69">
        <f>AgeStanSec!R30/Q$3</f>
        <v>212.86934303666587</v>
      </c>
      <c r="R30" s="69">
        <f>AgeStanSec!S30/R$3</f>
        <v>236.31</v>
      </c>
      <c r="S30" s="69">
        <f>AgeStanSec!T30/S$3</f>
        <v>265.12</v>
      </c>
      <c r="T30" s="69">
        <f>AgeStanSec!U30/T$3</f>
        <v>270.75628330549591</v>
      </c>
      <c r="U30" s="69">
        <f>AgeStanSec!V30/U$3</f>
        <v>288.49</v>
      </c>
      <c r="V30" s="47"/>
    </row>
    <row r="31" spans="1:22">
      <c r="A31" s="70">
        <v>30</v>
      </c>
      <c r="B31" s="71">
        <f>AgeStanSec!C31/B$3</f>
        <v>170.6</v>
      </c>
      <c r="C31" s="71">
        <f>AgeStanSec!D31/C$3</f>
        <v>171.33333333333334</v>
      </c>
      <c r="D31" s="71">
        <f>AgeStanSec!E31/D$3</f>
        <v>171.6537918555635</v>
      </c>
      <c r="E31" s="71">
        <f>AgeStanSec!F31/E$3</f>
        <v>172.5</v>
      </c>
      <c r="F31" s="71">
        <f>AgeStanSec!G31/F$3</f>
        <v>172.8654656804263</v>
      </c>
      <c r="G31" s="71">
        <f>AgeStanSec!H31/G$3</f>
        <v>173.6</v>
      </c>
      <c r="H31" s="71">
        <f>AgeStanSec!I31/H$3</f>
        <v>174.5</v>
      </c>
      <c r="I31" s="71">
        <f>AgeStanSec!J31/I$3</f>
        <v>175.93333333333334</v>
      </c>
      <c r="J31" s="71">
        <f>AgeStanSec!K31/J$3</f>
        <v>176.5936928338503</v>
      </c>
      <c r="K31" s="71">
        <f>AgeStanSec!L31/K$3</f>
        <v>178.95</v>
      </c>
      <c r="L31" s="71">
        <f>AgeStanSec!M31/L$3</f>
        <v>179.16814788482048</v>
      </c>
      <c r="M31" s="71">
        <f>AgeStanSec!N31/M$3</f>
        <v>180.4</v>
      </c>
      <c r="N31" s="71">
        <f>AgeStanSec!O31/N$3</f>
        <v>182.13333333333333</v>
      </c>
      <c r="O31" s="71">
        <f>AgeStanSec!P31/O$3</f>
        <v>185.30631591420783</v>
      </c>
      <c r="P31" s="71">
        <f>AgeStanSec!Q31/P$3</f>
        <v>188.36</v>
      </c>
      <c r="Q31" s="71">
        <f>AgeStanSec!R31/Q$3</f>
        <v>213.14274636125029</v>
      </c>
      <c r="R31" s="71">
        <f>AgeStanSec!S31/R$3</f>
        <v>236.62</v>
      </c>
      <c r="S31" s="71">
        <f>AgeStanSec!T31/S$3</f>
        <v>265.45999999999998</v>
      </c>
      <c r="T31" s="71">
        <f>AgeStanSec!U31/T$3</f>
        <v>271.11046488507117</v>
      </c>
      <c r="U31" s="71">
        <f>AgeStanSec!V31/U$3</f>
        <v>288.86500000000001</v>
      </c>
      <c r="V31" s="47"/>
    </row>
    <row r="32" spans="1:22">
      <c r="A32" s="68">
        <v>31</v>
      </c>
      <c r="B32" s="69">
        <f>AgeStanSec!C32/B$3</f>
        <v>170.6</v>
      </c>
      <c r="C32" s="69">
        <f>AgeStanSec!D32/C$3</f>
        <v>171.33333333333334</v>
      </c>
      <c r="D32" s="69">
        <f>AgeStanSec!E32/D$3</f>
        <v>171.80913465362283</v>
      </c>
      <c r="E32" s="69">
        <f>AgeStanSec!F32/E$3</f>
        <v>172.75</v>
      </c>
      <c r="F32" s="69">
        <f>AgeStanSec!G32/F$3</f>
        <v>173.11401415732124</v>
      </c>
      <c r="G32" s="69">
        <f>AgeStanSec!H32/G$3</f>
        <v>174</v>
      </c>
      <c r="H32" s="69">
        <f>AgeStanSec!I32/H$3</f>
        <v>174.83333333333334</v>
      </c>
      <c r="I32" s="69">
        <f>AgeStanSec!J32/I$3</f>
        <v>176.26666666666668</v>
      </c>
      <c r="J32" s="69">
        <f>AgeStanSec!K32/J$3</f>
        <v>176.90437842996897</v>
      </c>
      <c r="K32" s="69">
        <f>AgeStanSec!L32/K$3</f>
        <v>179.25</v>
      </c>
      <c r="L32" s="69">
        <f>AgeStanSec!M32/L$3</f>
        <v>179.45254177035193</v>
      </c>
      <c r="M32" s="69">
        <f>AgeStanSec!N32/M$3</f>
        <v>180.72</v>
      </c>
      <c r="N32" s="69">
        <f>AgeStanSec!O32/N$3</f>
        <v>182.46666666666667</v>
      </c>
      <c r="O32" s="69">
        <f>AgeStanSec!P32/O$3</f>
        <v>185.63810878066121</v>
      </c>
      <c r="P32" s="69">
        <f>AgeStanSec!Q32/P$3</f>
        <v>188.68</v>
      </c>
      <c r="Q32" s="69">
        <f>AgeStanSec!R32/Q$3</f>
        <v>213.5155690765927</v>
      </c>
      <c r="R32" s="69">
        <f>AgeStanSec!S32/R$3</f>
        <v>237.02</v>
      </c>
      <c r="S32" s="69">
        <f>AgeStanSec!T32/S$3</f>
        <v>265.91333333333336</v>
      </c>
      <c r="T32" s="69">
        <f>AgeStanSec!U32/T$3</f>
        <v>271.57027956732679</v>
      </c>
      <c r="U32" s="69">
        <f>AgeStanSec!V32/U$3</f>
        <v>289.36</v>
      </c>
      <c r="V32" s="47"/>
    </row>
    <row r="33" spans="1:22">
      <c r="A33" s="68">
        <v>32</v>
      </c>
      <c r="B33" s="69">
        <f>AgeStanSec!C33/B$3</f>
        <v>170.8</v>
      </c>
      <c r="C33" s="69">
        <f>AgeStanSec!D33/C$3</f>
        <v>171.66666666666666</v>
      </c>
      <c r="D33" s="69">
        <f>AgeStanSec!E33/D$3</f>
        <v>172.11982024974151</v>
      </c>
      <c r="E33" s="69">
        <f>AgeStanSec!F33/E$3</f>
        <v>173.125</v>
      </c>
      <c r="F33" s="69">
        <f>AgeStanSec!G33/F$3</f>
        <v>173.36256263421618</v>
      </c>
      <c r="G33" s="69">
        <f>AgeStanSec!H33/G$3</f>
        <v>174.4</v>
      </c>
      <c r="H33" s="69">
        <f>AgeStanSec!I33/H$3</f>
        <v>175.25</v>
      </c>
      <c r="I33" s="69">
        <f>AgeStanSec!J33/I$3</f>
        <v>176.66666666666666</v>
      </c>
      <c r="J33" s="69">
        <f>AgeStanSec!K33/J$3</f>
        <v>177.27720114531138</v>
      </c>
      <c r="K33" s="69">
        <f>AgeStanSec!L33/K$3</f>
        <v>179.6</v>
      </c>
      <c r="L33" s="69">
        <f>AgeStanSec!M33/L$3</f>
        <v>179.83173361772722</v>
      </c>
      <c r="M33" s="69">
        <f>AgeStanSec!N33/M$3</f>
        <v>181.12</v>
      </c>
      <c r="N33" s="69">
        <f>AgeStanSec!O33/N$3</f>
        <v>182.83333333333334</v>
      </c>
      <c r="O33" s="69">
        <f>AgeStanSec!P33/O$3</f>
        <v>186.01730062803651</v>
      </c>
      <c r="P33" s="69">
        <f>AgeStanSec!Q33/P$3</f>
        <v>189.08</v>
      </c>
      <c r="Q33" s="69">
        <f>AgeStanSec!R33/Q$3</f>
        <v>213.96295633500355</v>
      </c>
      <c r="R33" s="69">
        <f>AgeStanSec!S33/R$3</f>
        <v>237.53</v>
      </c>
      <c r="S33" s="69">
        <f>AgeStanSec!T33/S$3</f>
        <v>266.48</v>
      </c>
      <c r="T33" s="69">
        <f>AgeStanSec!U33/T$3</f>
        <v>272.1481547761075</v>
      </c>
      <c r="U33" s="69">
        <f>AgeStanSec!V33/U$3</f>
        <v>289.97000000000003</v>
      </c>
      <c r="V33" s="47"/>
    </row>
    <row r="34" spans="1:22">
      <c r="A34" s="68">
        <v>33</v>
      </c>
      <c r="B34" s="69">
        <f>AgeStanSec!C34/B$3</f>
        <v>171.2</v>
      </c>
      <c r="C34" s="69">
        <f>AgeStanSec!D34/C$3</f>
        <v>172</v>
      </c>
      <c r="D34" s="69">
        <f>AgeStanSec!E34/D$3</f>
        <v>172.58584864391949</v>
      </c>
      <c r="E34" s="69">
        <f>AgeStanSec!F34/E$3</f>
        <v>173.625</v>
      </c>
      <c r="F34" s="69">
        <f>AgeStanSec!G34/F$3</f>
        <v>173.85965958800602</v>
      </c>
      <c r="G34" s="69">
        <f>AgeStanSec!H34/G$3</f>
        <v>174.9</v>
      </c>
      <c r="H34" s="69">
        <f>AgeStanSec!I34/H$3</f>
        <v>175.75</v>
      </c>
      <c r="I34" s="69">
        <f>AgeStanSec!J34/I$3</f>
        <v>177.13333333333333</v>
      </c>
      <c r="J34" s="69">
        <f>AgeStanSec!K34/J$3</f>
        <v>177.77429809910123</v>
      </c>
      <c r="K34" s="69">
        <f>AgeStanSec!L34/K$3</f>
        <v>180.1</v>
      </c>
      <c r="L34" s="69">
        <f>AgeStanSec!M34/L$3</f>
        <v>180.30572342694632</v>
      </c>
      <c r="M34" s="69">
        <f>AgeStanSec!N34/M$3</f>
        <v>181.56</v>
      </c>
      <c r="N34" s="69">
        <f>AgeStanSec!O34/N$3</f>
        <v>183.3</v>
      </c>
      <c r="O34" s="69">
        <f>AgeStanSec!P34/O$3</f>
        <v>186.4912904372556</v>
      </c>
      <c r="P34" s="69">
        <f>AgeStanSec!Q34/P$3</f>
        <v>189.56</v>
      </c>
      <c r="Q34" s="69">
        <f>AgeStanSec!R34/Q$3</f>
        <v>214.50976298417243</v>
      </c>
      <c r="R34" s="69">
        <f>AgeStanSec!S34/R$3</f>
        <v>238.12</v>
      </c>
      <c r="S34" s="69">
        <f>AgeStanSec!T34/S$3</f>
        <v>267.15333333333331</v>
      </c>
      <c r="T34" s="69">
        <f>AgeStanSec!U34/T$3</f>
        <v>272.83166308756859</v>
      </c>
      <c r="U34" s="69">
        <f>AgeStanSec!V34/U$3</f>
        <v>290.70499999999998</v>
      </c>
      <c r="V34" s="47"/>
    </row>
    <row r="35" spans="1:22">
      <c r="A35" s="68">
        <v>34</v>
      </c>
      <c r="B35" s="69">
        <f>AgeStanSec!C35/B$3</f>
        <v>171.6</v>
      </c>
      <c r="C35" s="69">
        <f>AgeStanSec!D35/C$3</f>
        <v>172.5</v>
      </c>
      <c r="D35" s="69">
        <f>AgeStanSec!E35/D$3</f>
        <v>173.0518770380975</v>
      </c>
      <c r="E35" s="69">
        <f>AgeStanSec!F35/E$3</f>
        <v>174.125</v>
      </c>
      <c r="F35" s="69">
        <f>AgeStanSec!G35/F$3</f>
        <v>174.3567565417959</v>
      </c>
      <c r="G35" s="69">
        <f>AgeStanSec!H35/G$3</f>
        <v>175.4</v>
      </c>
      <c r="H35" s="69">
        <f>AgeStanSec!I35/H$3</f>
        <v>176.33333333333334</v>
      </c>
      <c r="I35" s="69">
        <f>AgeStanSec!J35/I$3</f>
        <v>177.66666666666666</v>
      </c>
      <c r="J35" s="69">
        <f>AgeStanSec!K35/J$3</f>
        <v>178.33353217211484</v>
      </c>
      <c r="K35" s="69">
        <f>AgeStanSec!L35/K$3</f>
        <v>180.65</v>
      </c>
      <c r="L35" s="69">
        <f>AgeStanSec!M35/L$3</f>
        <v>180.87451119800923</v>
      </c>
      <c r="M35" s="69">
        <f>AgeStanSec!N35/M$3</f>
        <v>182.12</v>
      </c>
      <c r="N35" s="69">
        <f>AgeStanSec!O35/N$3</f>
        <v>183.86666666666667</v>
      </c>
      <c r="O35" s="69">
        <f>AgeStanSec!P35/O$3</f>
        <v>187.0126792273966</v>
      </c>
      <c r="P35" s="69">
        <f>AgeStanSec!Q35/P$3</f>
        <v>190.1</v>
      </c>
      <c r="Q35" s="69">
        <f>AgeStanSec!R35/Q$3</f>
        <v>215.10627932872026</v>
      </c>
      <c r="R35" s="69">
        <f>AgeStanSec!S35/R$3</f>
        <v>238.8</v>
      </c>
      <c r="S35" s="69">
        <f>AgeStanSec!T35/S$3</f>
        <v>267.90666666666669</v>
      </c>
      <c r="T35" s="69">
        <f>AgeStanSec!U35/T$3</f>
        <v>273.60837707786527</v>
      </c>
      <c r="U35" s="69">
        <f>AgeStanSec!V35/U$3</f>
        <v>291.52499999999998</v>
      </c>
      <c r="V35" s="47"/>
    </row>
    <row r="36" spans="1:22">
      <c r="A36" s="70">
        <v>35</v>
      </c>
      <c r="B36" s="71">
        <f>AgeStanSec!C36/B$3</f>
        <v>172.2</v>
      </c>
      <c r="C36" s="71">
        <f>AgeStanSec!D36/C$3</f>
        <v>173</v>
      </c>
      <c r="D36" s="71">
        <f>AgeStanSec!E36/D$3</f>
        <v>173.51790543227551</v>
      </c>
      <c r="E36" s="71">
        <f>AgeStanSec!F36/E$3</f>
        <v>174.625</v>
      </c>
      <c r="F36" s="71">
        <f>AgeStanSec!G36/F$3</f>
        <v>174.97812773403322</v>
      </c>
      <c r="G36" s="71">
        <f>AgeStanSec!H36/G$3</f>
        <v>176</v>
      </c>
      <c r="H36" s="71">
        <f>AgeStanSec!I36/H$3</f>
        <v>176.91666666666666</v>
      </c>
      <c r="I36" s="71">
        <f>AgeStanSec!J36/I$3</f>
        <v>178.33333333333334</v>
      </c>
      <c r="J36" s="71">
        <f>AgeStanSec!K36/J$3</f>
        <v>178.95490336435216</v>
      </c>
      <c r="K36" s="71">
        <f>AgeStanSec!L36/K$3</f>
        <v>181.3</v>
      </c>
      <c r="L36" s="71">
        <f>AgeStanSec!M36/L$3</f>
        <v>181.538096930916</v>
      </c>
      <c r="M36" s="71">
        <f>AgeStanSec!N36/M$3</f>
        <v>182.76</v>
      </c>
      <c r="N36" s="71">
        <f>AgeStanSec!O36/N$3</f>
        <v>184.5</v>
      </c>
      <c r="O36" s="71">
        <f>AgeStanSec!P36/O$3</f>
        <v>187.65256546984239</v>
      </c>
      <c r="P36" s="71">
        <f>AgeStanSec!Q36/P$3</f>
        <v>190.74</v>
      </c>
      <c r="Q36" s="71">
        <f>AgeStanSec!R36/Q$3</f>
        <v>215.82706991171557</v>
      </c>
      <c r="R36" s="71">
        <f>AgeStanSec!S36/R$3</f>
        <v>239.6</v>
      </c>
      <c r="S36" s="71">
        <f>AgeStanSec!T36/S$3</f>
        <v>268.80666666666667</v>
      </c>
      <c r="T36" s="71">
        <f>AgeStanSec!U36/T$3</f>
        <v>274.52179273045414</v>
      </c>
      <c r="U36" s="71">
        <f>AgeStanSec!V36/U$3</f>
        <v>292.505</v>
      </c>
      <c r="V36" s="47"/>
    </row>
    <row r="37" spans="1:22">
      <c r="A37" s="68">
        <v>36</v>
      </c>
      <c r="B37" s="69">
        <f>AgeStanSec!C37/B$3</f>
        <v>172.8</v>
      </c>
      <c r="C37" s="69">
        <f>AgeStanSec!D37/C$3</f>
        <v>173.66666666666666</v>
      </c>
      <c r="D37" s="69">
        <f>AgeStanSec!E37/D$3</f>
        <v>174.29461942257217</v>
      </c>
      <c r="E37" s="69">
        <f>AgeStanSec!F37/E$3</f>
        <v>175.375</v>
      </c>
      <c r="F37" s="69">
        <f>AgeStanSec!G37/F$3</f>
        <v>175.59949892627057</v>
      </c>
      <c r="G37" s="69">
        <f>AgeStanSec!H37/G$3</f>
        <v>176.7</v>
      </c>
      <c r="H37" s="69">
        <f>AgeStanSec!I37/H$3</f>
        <v>177.58333333333334</v>
      </c>
      <c r="I37" s="69">
        <f>AgeStanSec!J37/I$3</f>
        <v>179</v>
      </c>
      <c r="J37" s="69">
        <f>AgeStanSec!K37/J$3</f>
        <v>179.63841167581324</v>
      </c>
      <c r="K37" s="69">
        <f>AgeStanSec!L37/K$3</f>
        <v>182.05</v>
      </c>
      <c r="L37" s="69">
        <f>AgeStanSec!M37/L$3</f>
        <v>182.24908164474465</v>
      </c>
      <c r="M37" s="69">
        <f>AgeStanSec!N37/M$3</f>
        <v>183.52</v>
      </c>
      <c r="N37" s="69">
        <f>AgeStanSec!O37/N$3</f>
        <v>185.2</v>
      </c>
      <c r="O37" s="69">
        <f>AgeStanSec!P37/O$3</f>
        <v>188.33985069321008</v>
      </c>
      <c r="P37" s="69">
        <f>AgeStanSec!Q37/P$3</f>
        <v>191.44</v>
      </c>
      <c r="Q37" s="69">
        <f>AgeStanSec!R37/Q$3</f>
        <v>216.62242503777935</v>
      </c>
      <c r="R37" s="69">
        <f>AgeStanSec!S37/R$3</f>
        <v>240.48</v>
      </c>
      <c r="S37" s="69">
        <f>AgeStanSec!T37/S$3</f>
        <v>269.79333333333335</v>
      </c>
      <c r="T37" s="69">
        <f>AgeStanSec!U37/T$3</f>
        <v>275.53462777380099</v>
      </c>
      <c r="U37" s="69">
        <f>AgeStanSec!V37/U$3</f>
        <v>293.58</v>
      </c>
      <c r="V37" s="47"/>
    </row>
    <row r="38" spans="1:22">
      <c r="A38" s="68">
        <v>37</v>
      </c>
      <c r="B38" s="69">
        <f>AgeStanSec!C38/B$3</f>
        <v>173.8</v>
      </c>
      <c r="C38" s="69">
        <f>AgeStanSec!D38/C$3</f>
        <v>174.5</v>
      </c>
      <c r="D38" s="69">
        <f>AgeStanSec!E38/D$3</f>
        <v>175.07133341286882</v>
      </c>
      <c r="E38" s="69">
        <f>AgeStanSec!F38/E$3</f>
        <v>176.125</v>
      </c>
      <c r="F38" s="69">
        <f>AgeStanSec!G38/F$3</f>
        <v>176.34514435695536</v>
      </c>
      <c r="G38" s="69">
        <f>AgeStanSec!H38/G$3</f>
        <v>177.4</v>
      </c>
      <c r="H38" s="69">
        <f>AgeStanSec!I38/H$3</f>
        <v>178.33333333333334</v>
      </c>
      <c r="I38" s="69">
        <f>AgeStanSec!J38/I$3</f>
        <v>179.8</v>
      </c>
      <c r="J38" s="69">
        <f>AgeStanSec!K38/J$3</f>
        <v>180.44619422572177</v>
      </c>
      <c r="K38" s="69">
        <f>AgeStanSec!L38/K$3</f>
        <v>182.85</v>
      </c>
      <c r="L38" s="69">
        <f>AgeStanSec!M38/L$3</f>
        <v>183.10226330133901</v>
      </c>
      <c r="M38" s="69">
        <f>AgeStanSec!N38/M$3</f>
        <v>184.32</v>
      </c>
      <c r="N38" s="69">
        <f>AgeStanSec!O38/N$3</f>
        <v>185.96666666666667</v>
      </c>
      <c r="O38" s="69">
        <f>AgeStanSec!P38/O$3</f>
        <v>189.09823438796064</v>
      </c>
      <c r="P38" s="69">
        <f>AgeStanSec!Q38/P$3</f>
        <v>192.2</v>
      </c>
      <c r="Q38" s="69">
        <f>AgeStanSec!R38/Q$3</f>
        <v>217.49234470691161</v>
      </c>
      <c r="R38" s="69">
        <f>AgeStanSec!S38/R$3</f>
        <v>241.44</v>
      </c>
      <c r="S38" s="69">
        <f>AgeStanSec!T38/S$3</f>
        <v>270.86666666666667</v>
      </c>
      <c r="T38" s="69">
        <f>AgeStanSec!U38/T$3</f>
        <v>276.62824107213868</v>
      </c>
      <c r="U38" s="69">
        <f>AgeStanSec!V38/U$3</f>
        <v>294.75</v>
      </c>
      <c r="V38" s="47"/>
    </row>
    <row r="39" spans="1:22">
      <c r="A39" s="68">
        <v>38</v>
      </c>
      <c r="B39" s="69">
        <f>AgeStanSec!C39/B$3</f>
        <v>174.8</v>
      </c>
      <c r="C39" s="69">
        <f>AgeStanSec!D39/C$3</f>
        <v>175.5</v>
      </c>
      <c r="D39" s="69">
        <f>AgeStanSec!E39/D$3</f>
        <v>176.00339020122485</v>
      </c>
      <c r="E39" s="69">
        <f>AgeStanSec!F39/E$3</f>
        <v>177</v>
      </c>
      <c r="F39" s="69">
        <f>AgeStanSec!G39/F$3</f>
        <v>177.21506402608765</v>
      </c>
      <c r="G39" s="69">
        <f>AgeStanSec!H39/G$3</f>
        <v>178.2</v>
      </c>
      <c r="H39" s="69">
        <f>AgeStanSec!I39/H$3</f>
        <v>179.16666666666666</v>
      </c>
      <c r="I39" s="69">
        <f>AgeStanSec!J39/I$3</f>
        <v>180.66666666666666</v>
      </c>
      <c r="J39" s="69">
        <f>AgeStanSec!K39/J$3</f>
        <v>181.31611389485403</v>
      </c>
      <c r="K39" s="69">
        <f>AgeStanSec!L39/K$3</f>
        <v>183.8</v>
      </c>
      <c r="L39" s="69">
        <f>AgeStanSec!M39/L$3</f>
        <v>184.05024291977722</v>
      </c>
      <c r="M39" s="69">
        <f>AgeStanSec!N39/M$3</f>
        <v>185.24</v>
      </c>
      <c r="N39" s="69">
        <f>AgeStanSec!O39/N$3</f>
        <v>186.86666666666667</v>
      </c>
      <c r="O39" s="69">
        <f>AgeStanSec!P39/O$3</f>
        <v>189.95141604455503</v>
      </c>
      <c r="P39" s="69">
        <f>AgeStanSec!Q39/P$3</f>
        <v>193.08</v>
      </c>
      <c r="Q39" s="69">
        <f>AgeStanSec!R39/Q$3</f>
        <v>218.4741111906466</v>
      </c>
      <c r="R39" s="69">
        <f>AgeStanSec!S39/R$3</f>
        <v>242.53</v>
      </c>
      <c r="S39" s="69">
        <f>AgeStanSec!T39/S$3</f>
        <v>272.09333333333331</v>
      </c>
      <c r="T39" s="69">
        <f>AgeStanSec!U39/T$3</f>
        <v>277.88341088045809</v>
      </c>
      <c r="U39" s="69">
        <f>AgeStanSec!V39/U$3</f>
        <v>296.08499999999998</v>
      </c>
      <c r="V39" s="47"/>
    </row>
    <row r="40" spans="1:22">
      <c r="A40" s="68">
        <v>39</v>
      </c>
      <c r="B40" s="69">
        <f>AgeStanSec!C40/B$3</f>
        <v>175.8</v>
      </c>
      <c r="C40" s="69">
        <f>AgeStanSec!D40/C$3</f>
        <v>176.5</v>
      </c>
      <c r="D40" s="69">
        <f>AgeStanSec!E40/D$3</f>
        <v>177.09078978764018</v>
      </c>
      <c r="E40" s="69">
        <f>AgeStanSec!F40/E$3</f>
        <v>177.875</v>
      </c>
      <c r="F40" s="69">
        <f>AgeStanSec!G40/F$3</f>
        <v>178.20925793366737</v>
      </c>
      <c r="G40" s="69">
        <f>AgeStanSec!H40/G$3</f>
        <v>179</v>
      </c>
      <c r="H40" s="69">
        <f>AgeStanSec!I40/H$3</f>
        <v>180.08333333333334</v>
      </c>
      <c r="I40" s="69">
        <f>AgeStanSec!J40/I$3</f>
        <v>181.6</v>
      </c>
      <c r="J40" s="69">
        <f>AgeStanSec!K40/J$3</f>
        <v>182.31030780243378</v>
      </c>
      <c r="K40" s="69">
        <f>AgeStanSec!L40/K$3</f>
        <v>184.8</v>
      </c>
      <c r="L40" s="69">
        <f>AgeStanSec!M40/L$3</f>
        <v>185.09302050005925</v>
      </c>
      <c r="M40" s="69">
        <f>AgeStanSec!N40/M$3</f>
        <v>186.24</v>
      </c>
      <c r="N40" s="69">
        <f>AgeStanSec!O40/N$3</f>
        <v>187.86666666666667</v>
      </c>
      <c r="O40" s="69">
        <f>AgeStanSec!P40/O$3</f>
        <v>190.89939566299324</v>
      </c>
      <c r="P40" s="69">
        <f>AgeStanSec!Q40/P$3</f>
        <v>194.02</v>
      </c>
      <c r="Q40" s="69">
        <f>AgeStanSec!R40/Q$3</f>
        <v>219.55529706513957</v>
      </c>
      <c r="R40" s="69">
        <f>AgeStanSec!S40/R$3</f>
        <v>243.73</v>
      </c>
      <c r="S40" s="69">
        <f>AgeStanSec!T40/S$3</f>
        <v>273.44666666666666</v>
      </c>
      <c r="T40" s="69">
        <f>AgeStanSec!U40/T$3</f>
        <v>279.26285492722496</v>
      </c>
      <c r="U40" s="69">
        <f>AgeStanSec!V40/U$3</f>
        <v>297.55</v>
      </c>
      <c r="V40" s="47"/>
    </row>
    <row r="41" spans="1:22">
      <c r="A41" s="70">
        <v>40</v>
      </c>
      <c r="B41" s="71">
        <f>AgeStanSec!C41/B$3</f>
        <v>177.2</v>
      </c>
      <c r="C41" s="71">
        <f>AgeStanSec!D41/C$3</f>
        <v>177.83333333333334</v>
      </c>
      <c r="D41" s="71">
        <f>AgeStanSec!E41/D$3</f>
        <v>178.17818937405551</v>
      </c>
      <c r="E41" s="71">
        <f>AgeStanSec!F41/E$3</f>
        <v>179</v>
      </c>
      <c r="F41" s="71">
        <f>AgeStanSec!G41/F$3</f>
        <v>179.2034518412471</v>
      </c>
      <c r="G41" s="71">
        <f>AgeStanSec!H41/G$3</f>
        <v>180</v>
      </c>
      <c r="H41" s="71">
        <f>AgeStanSec!I41/H$3</f>
        <v>181</v>
      </c>
      <c r="I41" s="71">
        <f>AgeStanSec!J41/I$3</f>
        <v>182.66666666666666</v>
      </c>
      <c r="J41" s="71">
        <f>AgeStanSec!K41/J$3</f>
        <v>183.36663882923725</v>
      </c>
      <c r="K41" s="71">
        <f>AgeStanSec!L41/K$3</f>
        <v>185.95</v>
      </c>
      <c r="L41" s="71">
        <f>AgeStanSec!M41/L$3</f>
        <v>186.23059604218508</v>
      </c>
      <c r="M41" s="71">
        <f>AgeStanSec!N41/M$3</f>
        <v>187.36</v>
      </c>
      <c r="N41" s="71">
        <f>AgeStanSec!O41/N$3</f>
        <v>188.93333333333334</v>
      </c>
      <c r="O41" s="71">
        <f>AgeStanSec!P41/O$3</f>
        <v>191.89477426235337</v>
      </c>
      <c r="P41" s="71">
        <f>AgeStanSec!Q41/P$3</f>
        <v>195.06</v>
      </c>
      <c r="Q41" s="71">
        <f>AgeStanSec!R41/Q$3</f>
        <v>220.72347490654576</v>
      </c>
      <c r="R41" s="71">
        <f>AgeStanSec!S41/R$3</f>
        <v>245.02</v>
      </c>
      <c r="S41" s="71">
        <f>AgeStanSec!T41/S$3</f>
        <v>274.89333333333332</v>
      </c>
      <c r="T41" s="71">
        <f>AgeStanSec!U41/T$3</f>
        <v>280.74171836474983</v>
      </c>
      <c r="U41" s="71">
        <f>AgeStanSec!V41/U$3</f>
        <v>299.13</v>
      </c>
      <c r="V41" s="47"/>
    </row>
    <row r="42" spans="1:22">
      <c r="A42" s="68">
        <v>41</v>
      </c>
      <c r="B42" s="69">
        <f>AgeStanSec!C42/B$3</f>
        <v>178.6</v>
      </c>
      <c r="C42" s="69">
        <f>AgeStanSec!D42/C$3</f>
        <v>179</v>
      </c>
      <c r="D42" s="69">
        <f>AgeStanSec!E42/D$3</f>
        <v>179.42093175853017</v>
      </c>
      <c r="E42" s="69">
        <f>AgeStanSec!F42/E$3</f>
        <v>180.125</v>
      </c>
      <c r="F42" s="69">
        <f>AgeStanSec!G42/F$3</f>
        <v>180.3219199872743</v>
      </c>
      <c r="G42" s="69">
        <f>AgeStanSec!H42/G$3</f>
        <v>181</v>
      </c>
      <c r="H42" s="69">
        <f>AgeStanSec!I42/H$3</f>
        <v>182.08333333333334</v>
      </c>
      <c r="I42" s="69">
        <f>AgeStanSec!J42/I$3</f>
        <v>183.8</v>
      </c>
      <c r="J42" s="69">
        <f>AgeStanSec!K42/J$3</f>
        <v>184.48510697526444</v>
      </c>
      <c r="K42" s="69">
        <f>AgeStanSec!L42/K$3</f>
        <v>187.15</v>
      </c>
      <c r="L42" s="69">
        <f>AgeStanSec!M42/L$3</f>
        <v>187.46296954615477</v>
      </c>
      <c r="M42" s="69">
        <f>AgeStanSec!N42/M$3</f>
        <v>188.56</v>
      </c>
      <c r="N42" s="69">
        <f>AgeStanSec!O42/N$3</f>
        <v>190.13333333333333</v>
      </c>
      <c r="O42" s="69">
        <f>AgeStanSec!P42/O$3</f>
        <v>193.00865031401824</v>
      </c>
      <c r="P42" s="69">
        <f>AgeStanSec!Q42/P$3</f>
        <v>196.18</v>
      </c>
      <c r="Q42" s="69">
        <f>AgeStanSec!R42/Q$3</f>
        <v>221.99107213870991</v>
      </c>
      <c r="R42" s="69">
        <f>AgeStanSec!S42/R$3</f>
        <v>246.43</v>
      </c>
      <c r="S42" s="69">
        <f>AgeStanSec!T42/S$3</f>
        <v>276.47333333333336</v>
      </c>
      <c r="T42" s="69">
        <f>AgeStanSec!U42/T$3</f>
        <v>282.35106975264455</v>
      </c>
      <c r="U42" s="69">
        <f>AgeStanSec!V42/U$3</f>
        <v>300.84500000000003</v>
      </c>
      <c r="V42" s="47"/>
    </row>
    <row r="43" spans="1:22">
      <c r="A43" s="68">
        <v>42</v>
      </c>
      <c r="B43" s="69">
        <f>AgeStanSec!C43/B$3</f>
        <v>180.2</v>
      </c>
      <c r="C43" s="69">
        <f>AgeStanSec!D43/C$3</f>
        <v>180.5</v>
      </c>
      <c r="D43" s="69">
        <f>AgeStanSec!E43/D$3</f>
        <v>180.81901694106418</v>
      </c>
      <c r="E43" s="69">
        <f>AgeStanSec!F43/E$3</f>
        <v>181.375</v>
      </c>
      <c r="F43" s="69">
        <f>AgeStanSec!G43/F$3</f>
        <v>181.56466237174897</v>
      </c>
      <c r="G43" s="69">
        <f>AgeStanSec!H43/G$3</f>
        <v>182</v>
      </c>
      <c r="H43" s="69">
        <f>AgeStanSec!I43/H$3</f>
        <v>183.25</v>
      </c>
      <c r="I43" s="69">
        <f>AgeStanSec!J43/I$3</f>
        <v>185</v>
      </c>
      <c r="J43" s="69">
        <f>AgeStanSec!K43/J$3</f>
        <v>185.78998647896285</v>
      </c>
      <c r="K43" s="69">
        <f>AgeStanSec!L43/K$3</f>
        <v>188.5</v>
      </c>
      <c r="L43" s="69">
        <f>AgeStanSec!M43/L$3</f>
        <v>188.83753999289016</v>
      </c>
      <c r="M43" s="69">
        <f>AgeStanSec!N43/M$3</f>
        <v>189.88</v>
      </c>
      <c r="N43" s="69">
        <f>AgeStanSec!O43/N$3</f>
        <v>191.4</v>
      </c>
      <c r="O43" s="69">
        <f>AgeStanSec!P43/O$3</f>
        <v>194.19362483706601</v>
      </c>
      <c r="P43" s="69">
        <f>AgeStanSec!Q43/P$3</f>
        <v>197.4</v>
      </c>
      <c r="Q43" s="69">
        <f>AgeStanSec!R43/Q$3</f>
        <v>223.37051618547679</v>
      </c>
      <c r="R43" s="69">
        <f>AgeStanSec!S43/R$3</f>
        <v>247.96</v>
      </c>
      <c r="S43" s="69">
        <f>AgeStanSec!T43/S$3</f>
        <v>278.18666666666667</v>
      </c>
      <c r="T43" s="69">
        <f>AgeStanSec!U43/T$3</f>
        <v>284.10333651475383</v>
      </c>
      <c r="U43" s="69">
        <f>AgeStanSec!V43/U$3</f>
        <v>302.70999999999998</v>
      </c>
      <c r="V43" s="47"/>
    </row>
    <row r="44" spans="1:22">
      <c r="A44" s="68">
        <v>43</v>
      </c>
      <c r="B44" s="69">
        <f>AgeStanSec!C44/B$3</f>
        <v>182</v>
      </c>
      <c r="C44" s="69">
        <f>AgeStanSec!D44/C$3</f>
        <v>182.16666666666666</v>
      </c>
      <c r="D44" s="69">
        <f>AgeStanSec!E44/D$3</f>
        <v>182.52778771971686</v>
      </c>
      <c r="E44" s="69">
        <f>AgeStanSec!F44/E$3</f>
        <v>182.75</v>
      </c>
      <c r="F44" s="69">
        <f>AgeStanSec!G44/F$3</f>
        <v>182.9316789946711</v>
      </c>
      <c r="G44" s="69">
        <f>AgeStanSec!H44/G$3</f>
        <v>183.2</v>
      </c>
      <c r="H44" s="69">
        <f>AgeStanSec!I44/H$3</f>
        <v>184.41666666666666</v>
      </c>
      <c r="I44" s="69">
        <f>AgeStanSec!J44/I$3</f>
        <v>186.33333333333334</v>
      </c>
      <c r="J44" s="69">
        <f>AgeStanSec!K44/J$3</f>
        <v>187.09486598266125</v>
      </c>
      <c r="K44" s="69">
        <f>AgeStanSec!L44/K$3</f>
        <v>189.95</v>
      </c>
      <c r="L44" s="69">
        <f>AgeStanSec!M44/L$3</f>
        <v>190.30690840146937</v>
      </c>
      <c r="M44" s="69">
        <f>AgeStanSec!N44/M$3</f>
        <v>191.32</v>
      </c>
      <c r="N44" s="69">
        <f>AgeStanSec!O44/N$3</f>
        <v>192.76666666666668</v>
      </c>
      <c r="O44" s="69">
        <f>AgeStanSec!P44/O$3</f>
        <v>195.47339732195758</v>
      </c>
      <c r="P44" s="69">
        <f>AgeStanSec!Q44/P$3</f>
        <v>198.68</v>
      </c>
      <c r="Q44" s="69">
        <f>AgeStanSec!R44/Q$3</f>
        <v>224.82452477531217</v>
      </c>
      <c r="R44" s="69">
        <f>AgeStanSec!S44/R$3</f>
        <v>249.59</v>
      </c>
      <c r="S44" s="69">
        <f>AgeStanSec!T44/S$3</f>
        <v>280.01333333333332</v>
      </c>
      <c r="T44" s="69">
        <f>AgeStanSec!U44/T$3</f>
        <v>285.96745009146582</v>
      </c>
      <c r="U44" s="69">
        <f>AgeStanSec!V44/U$3</f>
        <v>304.69499999999999</v>
      </c>
      <c r="V44" s="47"/>
    </row>
    <row r="45" spans="1:22">
      <c r="A45" s="68">
        <v>44</v>
      </c>
      <c r="B45" s="69">
        <f>AgeStanSec!C45/B$3</f>
        <v>183.8</v>
      </c>
      <c r="C45" s="69">
        <f>AgeStanSec!D45/C$3</f>
        <v>183.83333333333334</v>
      </c>
      <c r="D45" s="69">
        <f>AgeStanSec!E45/D$3</f>
        <v>184.08121570031017</v>
      </c>
      <c r="E45" s="69">
        <f>AgeStanSec!F45/E$3</f>
        <v>184.125</v>
      </c>
      <c r="F45" s="69">
        <f>AgeStanSec!G45/F$3</f>
        <v>184.42296985604071</v>
      </c>
      <c r="G45" s="69">
        <f>AgeStanSec!H45/G$3</f>
        <v>184.4</v>
      </c>
      <c r="H45" s="69">
        <f>AgeStanSec!I45/H$3</f>
        <v>185.75</v>
      </c>
      <c r="I45" s="69">
        <f>AgeStanSec!J45/I$3</f>
        <v>187.73333333333332</v>
      </c>
      <c r="J45" s="69">
        <f>AgeStanSec!K45/J$3</f>
        <v>188.52401972480712</v>
      </c>
      <c r="K45" s="69">
        <f>AgeStanSec!L45/K$3</f>
        <v>191.5</v>
      </c>
      <c r="L45" s="69">
        <f>AgeStanSec!M45/L$3</f>
        <v>191.91847375281432</v>
      </c>
      <c r="M45" s="69">
        <f>AgeStanSec!N45/M$3</f>
        <v>192.84</v>
      </c>
      <c r="N45" s="69">
        <f>AgeStanSec!O45/N$3</f>
        <v>194.26666666666668</v>
      </c>
      <c r="O45" s="69">
        <f>AgeStanSec!P45/O$3</f>
        <v>196.84796776869297</v>
      </c>
      <c r="P45" s="69">
        <f>AgeStanSec!Q45/P$3</f>
        <v>200.08</v>
      </c>
      <c r="Q45" s="69">
        <f>AgeStanSec!R45/Q$3</f>
        <v>226.41523502743973</v>
      </c>
      <c r="R45" s="69">
        <f>AgeStanSec!S45/R$3</f>
        <v>251.34</v>
      </c>
      <c r="S45" s="69">
        <f>AgeStanSec!T45/S$3</f>
        <v>281.98</v>
      </c>
      <c r="T45" s="69">
        <f>AgeStanSec!U45/T$3</f>
        <v>287.98069275431476</v>
      </c>
      <c r="U45" s="69">
        <f>AgeStanSec!V45/U$3</f>
        <v>306.83999999999997</v>
      </c>
      <c r="V45" s="47"/>
    </row>
    <row r="46" spans="1:22">
      <c r="A46" s="70">
        <v>45</v>
      </c>
      <c r="B46" s="71">
        <f>AgeStanSec!C46/B$3</f>
        <v>185.8</v>
      </c>
      <c r="C46" s="71">
        <f>AgeStanSec!D46/C$3</f>
        <v>185.66666666666666</v>
      </c>
      <c r="D46" s="71">
        <f>AgeStanSec!E46/D$3</f>
        <v>185.78998647896285</v>
      </c>
      <c r="E46" s="71">
        <f>AgeStanSec!F46/E$3</f>
        <v>185.625</v>
      </c>
      <c r="F46" s="71">
        <f>AgeStanSec!G46/F$3</f>
        <v>185.91426071741031</v>
      </c>
      <c r="G46" s="71">
        <f>AgeStanSec!H46/G$3</f>
        <v>185.7</v>
      </c>
      <c r="H46" s="71">
        <f>AgeStanSec!I46/H$3</f>
        <v>187.16666666666666</v>
      </c>
      <c r="I46" s="71">
        <f>AgeStanSec!J46/I$3</f>
        <v>189.26666666666668</v>
      </c>
      <c r="J46" s="71">
        <f>AgeStanSec!K46/J$3</f>
        <v>190.13958482462419</v>
      </c>
      <c r="K46" s="71">
        <f>AgeStanSec!L46/K$3</f>
        <v>193.2</v>
      </c>
      <c r="L46" s="71">
        <f>AgeStanSec!M46/L$3</f>
        <v>193.62483706600307</v>
      </c>
      <c r="M46" s="71">
        <f>AgeStanSec!N46/M$3</f>
        <v>194.52</v>
      </c>
      <c r="N46" s="71">
        <f>AgeStanSec!O46/N$3</f>
        <v>195.86666666666667</v>
      </c>
      <c r="O46" s="71">
        <f>AgeStanSec!P46/O$3</f>
        <v>198.34103566773314</v>
      </c>
      <c r="P46" s="71">
        <f>AgeStanSec!Q46/P$3</f>
        <v>201.62</v>
      </c>
      <c r="Q46" s="71">
        <f>AgeStanSec!R46/Q$3</f>
        <v>228.13021951801477</v>
      </c>
      <c r="R46" s="71">
        <f>AgeStanSec!S46/R$3</f>
        <v>253.26</v>
      </c>
      <c r="S46" s="71">
        <f>AgeStanSec!T46/S$3</f>
        <v>284.12666666666667</v>
      </c>
      <c r="T46" s="71">
        <f>AgeStanSec!U46/T$3</f>
        <v>290.17413306291257</v>
      </c>
      <c r="U46" s="71">
        <f>AgeStanSec!V46/U$3</f>
        <v>309.18</v>
      </c>
      <c r="V46" s="47"/>
    </row>
    <row r="47" spans="1:22">
      <c r="A47" s="68">
        <v>46</v>
      </c>
      <c r="B47" s="69">
        <f>AgeStanSec!C47/B$3</f>
        <v>187.8</v>
      </c>
      <c r="C47" s="69">
        <f>AgeStanSec!D47/C$3</f>
        <v>187.5</v>
      </c>
      <c r="D47" s="69">
        <f>AgeStanSec!E47/D$3</f>
        <v>187.65410005567486</v>
      </c>
      <c r="E47" s="69">
        <f>AgeStanSec!F47/E$3</f>
        <v>187.25</v>
      </c>
      <c r="F47" s="69">
        <f>AgeStanSec!G47/F$3</f>
        <v>187.52982581722739</v>
      </c>
      <c r="G47" s="69">
        <f>AgeStanSec!H47/G$3</f>
        <v>187.1</v>
      </c>
      <c r="H47" s="69">
        <f>AgeStanSec!I47/H$3</f>
        <v>188.66666666666666</v>
      </c>
      <c r="I47" s="69">
        <f>AgeStanSec!J47/I$3</f>
        <v>190.86666666666667</v>
      </c>
      <c r="J47" s="69">
        <f>AgeStanSec!K47/J$3</f>
        <v>191.81728704366498</v>
      </c>
      <c r="K47" s="69">
        <f>AgeStanSec!L47/K$3</f>
        <v>195</v>
      </c>
      <c r="L47" s="69">
        <f>AgeStanSec!M47/L$3</f>
        <v>195.47339732195758</v>
      </c>
      <c r="M47" s="69">
        <f>AgeStanSec!N47/M$3</f>
        <v>196.28</v>
      </c>
      <c r="N47" s="69">
        <f>AgeStanSec!O47/N$3</f>
        <v>197.56666666666666</v>
      </c>
      <c r="O47" s="69">
        <f>AgeStanSec!P47/O$3</f>
        <v>199.92890152861713</v>
      </c>
      <c r="P47" s="69">
        <f>AgeStanSec!Q47/P$3</f>
        <v>203.22</v>
      </c>
      <c r="Q47" s="69">
        <f>AgeStanSec!R47/Q$3</f>
        <v>229.95705082319253</v>
      </c>
      <c r="R47" s="69">
        <f>AgeStanSec!S47/R$3</f>
        <v>255.29</v>
      </c>
      <c r="S47" s="69">
        <f>AgeStanSec!T47/S$3</f>
        <v>286.40666666666669</v>
      </c>
      <c r="T47" s="69">
        <f>AgeStanSec!U47/T$3</f>
        <v>292.49806132188019</v>
      </c>
      <c r="U47" s="69">
        <f>AgeStanSec!V47/U$3</f>
        <v>311.65499999999997</v>
      </c>
      <c r="V47" s="47"/>
    </row>
    <row r="48" spans="1:22">
      <c r="A48" s="68">
        <v>47</v>
      </c>
      <c r="B48" s="69">
        <f>AgeStanSec!C48/B$3</f>
        <v>189.8</v>
      </c>
      <c r="C48" s="69">
        <f>AgeStanSec!D48/C$3</f>
        <v>189.33333333333334</v>
      </c>
      <c r="D48" s="69">
        <f>AgeStanSec!E48/D$3</f>
        <v>189.36287083432751</v>
      </c>
      <c r="E48" s="69">
        <f>AgeStanSec!F48/E$3</f>
        <v>188.875</v>
      </c>
      <c r="F48" s="69">
        <f>AgeStanSec!G48/F$3</f>
        <v>189.14539091704444</v>
      </c>
      <c r="G48" s="69">
        <f>AgeStanSec!H48/G$3</f>
        <v>188.6</v>
      </c>
      <c r="H48" s="69">
        <f>AgeStanSec!I48/H$3</f>
        <v>190.25</v>
      </c>
      <c r="I48" s="69">
        <f>AgeStanSec!J48/I$3</f>
        <v>192.6</v>
      </c>
      <c r="J48" s="69">
        <f>AgeStanSec!K48/J$3</f>
        <v>193.55712638192952</v>
      </c>
      <c r="K48" s="69">
        <f>AgeStanSec!L48/K$3</f>
        <v>197</v>
      </c>
      <c r="L48" s="69">
        <f>AgeStanSec!M48/L$3</f>
        <v>197.46415452067779</v>
      </c>
      <c r="M48" s="69">
        <f>AgeStanSec!N48/M$3</f>
        <v>198.2</v>
      </c>
      <c r="N48" s="69">
        <f>AgeStanSec!O48/N$3</f>
        <v>199.4</v>
      </c>
      <c r="O48" s="69">
        <f>AgeStanSec!P48/O$3</f>
        <v>201.61156535134495</v>
      </c>
      <c r="P48" s="69">
        <f>AgeStanSec!Q48/P$3</f>
        <v>204.94</v>
      </c>
      <c r="Q48" s="69">
        <f>AgeStanSec!R48/Q$3</f>
        <v>231.89572894297302</v>
      </c>
      <c r="R48" s="69">
        <f>AgeStanSec!S48/R$3</f>
        <v>257.43</v>
      </c>
      <c r="S48" s="69">
        <f>AgeStanSec!T48/S$3</f>
        <v>288.81333333333333</v>
      </c>
      <c r="T48" s="69">
        <f>AgeStanSec!U48/T$3</f>
        <v>294.95247753121765</v>
      </c>
      <c r="U48" s="69">
        <f>AgeStanSec!V48/U$3</f>
        <v>314.27499999999998</v>
      </c>
      <c r="V48" s="47"/>
    </row>
    <row r="49" spans="1:22">
      <c r="A49" s="68">
        <v>48</v>
      </c>
      <c r="B49" s="69">
        <f>AgeStanSec!C49/B$3</f>
        <v>192</v>
      </c>
      <c r="C49" s="69">
        <f>AgeStanSec!D49/C$3</f>
        <v>191.33333333333334</v>
      </c>
      <c r="D49" s="69">
        <f>AgeStanSec!E49/D$3</f>
        <v>191.22698441103952</v>
      </c>
      <c r="E49" s="69">
        <f>AgeStanSec!F49/E$3</f>
        <v>190.625</v>
      </c>
      <c r="F49" s="69">
        <f>AgeStanSec!G49/F$3</f>
        <v>190.88523025530898</v>
      </c>
      <c r="G49" s="69">
        <f>AgeStanSec!H49/G$3</f>
        <v>190.1</v>
      </c>
      <c r="H49" s="69">
        <f>AgeStanSec!I49/H$3</f>
        <v>191.91666666666666</v>
      </c>
      <c r="I49" s="69">
        <f>AgeStanSec!J49/I$3</f>
        <v>194.46666666666667</v>
      </c>
      <c r="J49" s="69">
        <f>AgeStanSec!K49/J$3</f>
        <v>195.48337707786524</v>
      </c>
      <c r="K49" s="69">
        <f>AgeStanSec!L49/K$3</f>
        <v>199.05</v>
      </c>
      <c r="L49" s="69">
        <f>AgeStanSec!M49/L$3</f>
        <v>199.59710866216375</v>
      </c>
      <c r="M49" s="69">
        <f>AgeStanSec!N49/M$3</f>
        <v>200.28</v>
      </c>
      <c r="N49" s="69">
        <f>AgeStanSec!O49/N$3</f>
        <v>201.36666666666667</v>
      </c>
      <c r="O49" s="69">
        <f>AgeStanSec!P49/O$3</f>
        <v>203.43642611683848</v>
      </c>
      <c r="P49" s="69">
        <f>AgeStanSec!Q49/P$3</f>
        <v>206.78</v>
      </c>
      <c r="Q49" s="69">
        <f>AgeStanSec!R49/Q$3</f>
        <v>233.98353614889047</v>
      </c>
      <c r="R49" s="69">
        <f>AgeStanSec!S49/R$3</f>
        <v>259.76</v>
      </c>
      <c r="S49" s="69">
        <f>AgeStanSec!T49/S$3</f>
        <v>291.42</v>
      </c>
      <c r="T49" s="69">
        <f>AgeStanSec!U49/T$3</f>
        <v>297.61815994591581</v>
      </c>
      <c r="U49" s="69">
        <f>AgeStanSec!V49/U$3</f>
        <v>317.11</v>
      </c>
      <c r="V49" s="47"/>
    </row>
    <row r="50" spans="1:22">
      <c r="A50" s="68">
        <v>49</v>
      </c>
      <c r="B50" s="69">
        <f>AgeStanSec!C50/B$3</f>
        <v>194</v>
      </c>
      <c r="C50" s="69">
        <f>AgeStanSec!D50/C$3</f>
        <v>193.33333333333334</v>
      </c>
      <c r="D50" s="69">
        <f>AgeStanSec!E50/D$3</f>
        <v>193.24644078581085</v>
      </c>
      <c r="E50" s="69">
        <f>AgeStanSec!F50/E$3</f>
        <v>192.375</v>
      </c>
      <c r="F50" s="69">
        <f>AgeStanSec!G50/F$3</f>
        <v>192.62506959357353</v>
      </c>
      <c r="G50" s="69">
        <f>AgeStanSec!H50/G$3</f>
        <v>191.8</v>
      </c>
      <c r="H50" s="69">
        <f>AgeStanSec!I50/H$3</f>
        <v>193.75</v>
      </c>
      <c r="I50" s="69">
        <f>AgeStanSec!J50/I$3</f>
        <v>196.46666666666667</v>
      </c>
      <c r="J50" s="69">
        <f>AgeStanSec!K50/J$3</f>
        <v>197.53390201224846</v>
      </c>
      <c r="K50" s="69">
        <f>AgeStanSec!L50/K$3</f>
        <v>201.35</v>
      </c>
      <c r="L50" s="69">
        <f>AgeStanSec!M50/L$3</f>
        <v>201.87225974641544</v>
      </c>
      <c r="M50" s="69">
        <f>AgeStanSec!N50/M$3</f>
        <v>202.44</v>
      </c>
      <c r="N50" s="69">
        <f>AgeStanSec!O50/N$3</f>
        <v>203.46666666666667</v>
      </c>
      <c r="O50" s="69">
        <f>AgeStanSec!P50/O$3</f>
        <v>205.35608484417585</v>
      </c>
      <c r="P50" s="69">
        <f>AgeStanSec!Q50/P$3</f>
        <v>208.74</v>
      </c>
      <c r="Q50" s="69">
        <f>AgeStanSec!R50/Q$3</f>
        <v>236.19561759325538</v>
      </c>
      <c r="R50" s="69">
        <f>AgeStanSec!S50/R$3</f>
        <v>262.20999999999998</v>
      </c>
      <c r="S50" s="69">
        <f>AgeStanSec!T50/S$3</f>
        <v>294.17333333333335</v>
      </c>
      <c r="T50" s="69">
        <f>AgeStanSec!U50/T$3</f>
        <v>300.42675773482858</v>
      </c>
      <c r="U50" s="69">
        <f>AgeStanSec!V50/U$3</f>
        <v>320.10500000000002</v>
      </c>
      <c r="V50" s="47"/>
    </row>
    <row r="51" spans="1:22">
      <c r="A51" s="70">
        <v>50</v>
      </c>
      <c r="B51" s="71">
        <f>AgeStanSec!C51/B$3</f>
        <v>196.2</v>
      </c>
      <c r="C51" s="71">
        <f>AgeStanSec!D51/C$3</f>
        <v>195.33333333333334</v>
      </c>
      <c r="D51" s="71">
        <f>AgeStanSec!E51/D$3</f>
        <v>195.2658971605822</v>
      </c>
      <c r="E51" s="71">
        <f>AgeStanSec!F51/E$3</f>
        <v>194.25</v>
      </c>
      <c r="F51" s="71">
        <f>AgeStanSec!G51/F$3</f>
        <v>194.48918317028551</v>
      </c>
      <c r="G51" s="71">
        <f>AgeStanSec!H51/G$3</f>
        <v>193.5</v>
      </c>
      <c r="H51" s="71">
        <f>AgeStanSec!I51/H$3</f>
        <v>195.58333333333334</v>
      </c>
      <c r="I51" s="71">
        <f>AgeStanSec!J51/I$3</f>
        <v>198.53333333333333</v>
      </c>
      <c r="J51" s="71">
        <f>AgeStanSec!K51/J$3</f>
        <v>199.64656406585539</v>
      </c>
      <c r="K51" s="71">
        <f>AgeStanSec!L51/K$3</f>
        <v>203.65</v>
      </c>
      <c r="L51" s="71">
        <f>AgeStanSec!M51/L$3</f>
        <v>204.24220879251095</v>
      </c>
      <c r="M51" s="71">
        <f>AgeStanSec!N51/M$3</f>
        <v>204.76</v>
      </c>
      <c r="N51" s="71">
        <f>AgeStanSec!O51/N$3</f>
        <v>205.7</v>
      </c>
      <c r="O51" s="71">
        <f>AgeStanSec!P51/O$3</f>
        <v>207.41794051427894</v>
      </c>
      <c r="P51" s="71">
        <f>AgeStanSec!Q51/P$3</f>
        <v>210.82</v>
      </c>
      <c r="Q51" s="71">
        <f>AgeStanSec!R51/Q$3</f>
        <v>238.55682812375724</v>
      </c>
      <c r="R51" s="71">
        <f>AgeStanSec!S51/R$3</f>
        <v>264.83</v>
      </c>
      <c r="S51" s="71">
        <f>AgeStanSec!T51/S$3</f>
        <v>297.11333333333334</v>
      </c>
      <c r="T51" s="71">
        <f>AgeStanSec!U51/T$3</f>
        <v>303.43419430525728</v>
      </c>
      <c r="U51" s="71">
        <f>AgeStanSec!V51/U$3</f>
        <v>323.30500000000001</v>
      </c>
      <c r="V51" s="47"/>
    </row>
    <row r="52" spans="1:22">
      <c r="A52" s="68">
        <v>51</v>
      </c>
      <c r="B52" s="69">
        <f>AgeStanSec!C52/B$3</f>
        <v>198.4</v>
      </c>
      <c r="C52" s="69">
        <f>AgeStanSec!D52/C$3</f>
        <v>197.5</v>
      </c>
      <c r="D52" s="69">
        <f>AgeStanSec!E52/D$3</f>
        <v>197.28535353535352</v>
      </c>
      <c r="E52" s="69">
        <f>AgeStanSec!F52/E$3</f>
        <v>196.25</v>
      </c>
      <c r="F52" s="69">
        <f>AgeStanSec!G52/F$3</f>
        <v>196.477570985445</v>
      </c>
      <c r="G52" s="69">
        <f>AgeStanSec!H52/G$3</f>
        <v>195.4</v>
      </c>
      <c r="H52" s="69">
        <f>AgeStanSec!I52/H$3</f>
        <v>197.58333333333334</v>
      </c>
      <c r="I52" s="69">
        <f>AgeStanSec!J52/I$3</f>
        <v>200.66666666666666</v>
      </c>
      <c r="J52" s="69">
        <f>AgeStanSec!K52/J$3</f>
        <v>201.88350035790978</v>
      </c>
      <c r="K52" s="69">
        <f>AgeStanSec!L52/K$3</f>
        <v>206.05</v>
      </c>
      <c r="L52" s="69">
        <f>AgeStanSec!M52/L$3</f>
        <v>206.70695580045029</v>
      </c>
      <c r="M52" s="69">
        <f>AgeStanSec!N52/M$3</f>
        <v>207.12</v>
      </c>
      <c r="N52" s="69">
        <f>AgeStanSec!O52/N$3</f>
        <v>208.03333333333333</v>
      </c>
      <c r="O52" s="69">
        <f>AgeStanSec!P52/O$3</f>
        <v>209.5982936366868</v>
      </c>
      <c r="P52" s="69">
        <f>AgeStanSec!Q52/P$3</f>
        <v>213.04</v>
      </c>
      <c r="Q52" s="69">
        <f>AgeStanSec!R52/Q$3</f>
        <v>241.07959516424083</v>
      </c>
      <c r="R52" s="69">
        <f>AgeStanSec!S52/R$3</f>
        <v>267.62</v>
      </c>
      <c r="S52" s="69">
        <f>AgeStanSec!T52/S$3</f>
        <v>300.24666666666667</v>
      </c>
      <c r="T52" s="69">
        <f>AgeStanSec!U52/T$3</f>
        <v>306.63425594527956</v>
      </c>
      <c r="U52" s="69">
        <f>AgeStanSec!V52/U$3</f>
        <v>326.71499999999997</v>
      </c>
      <c r="V52" s="47"/>
    </row>
    <row r="53" spans="1:22">
      <c r="A53" s="68">
        <v>52</v>
      </c>
      <c r="B53" s="69">
        <f>AgeStanSec!C53/B$3</f>
        <v>200.8</v>
      </c>
      <c r="C53" s="69">
        <f>AgeStanSec!D53/C$3</f>
        <v>199.66666666666666</v>
      </c>
      <c r="D53" s="69">
        <f>AgeStanSec!E53/D$3</f>
        <v>199.46015270818418</v>
      </c>
      <c r="E53" s="69">
        <f>AgeStanSec!F53/E$3</f>
        <v>198.375</v>
      </c>
      <c r="F53" s="69">
        <f>AgeStanSec!G53/F$3</f>
        <v>198.59023303905192</v>
      </c>
      <c r="G53" s="69">
        <f>AgeStanSec!H53/G$3</f>
        <v>197.4</v>
      </c>
      <c r="H53" s="69">
        <f>AgeStanSec!I53/H$3</f>
        <v>199.75</v>
      </c>
      <c r="I53" s="69">
        <f>AgeStanSec!J53/I$3</f>
        <v>202.93333333333334</v>
      </c>
      <c r="J53" s="69">
        <f>AgeStanSec!K53/J$3</f>
        <v>204.18257376918794</v>
      </c>
      <c r="K53" s="69">
        <f>AgeStanSec!L53/K$3</f>
        <v>208.55</v>
      </c>
      <c r="L53" s="69">
        <f>AgeStanSec!M53/L$3</f>
        <v>209.21910178931154</v>
      </c>
      <c r="M53" s="69">
        <f>AgeStanSec!N53/M$3</f>
        <v>209.6</v>
      </c>
      <c r="N53" s="69">
        <f>AgeStanSec!O53/N$3</f>
        <v>210.43333333333334</v>
      </c>
      <c r="O53" s="69">
        <f>AgeStanSec!P53/O$3</f>
        <v>211.92084370186041</v>
      </c>
      <c r="P53" s="69">
        <f>AgeStanSec!Q53/P$3</f>
        <v>215.42</v>
      </c>
      <c r="Q53" s="69">
        <f>AgeStanSec!R53/Q$3</f>
        <v>243.76391871470611</v>
      </c>
      <c r="R53" s="69">
        <f>AgeStanSec!S53/R$3</f>
        <v>270.60000000000002</v>
      </c>
      <c r="S53" s="69">
        <f>AgeStanSec!T53/S$3</f>
        <v>303.58666666666664</v>
      </c>
      <c r="T53" s="69">
        <f>AgeStanSec!U53/T$3</f>
        <v>310.04558379066253</v>
      </c>
      <c r="U53" s="69">
        <f>AgeStanSec!V53/U$3</f>
        <v>330.35</v>
      </c>
      <c r="V53" s="47"/>
    </row>
    <row r="54" spans="1:22">
      <c r="A54" s="68">
        <v>53</v>
      </c>
      <c r="B54" s="69">
        <f>AgeStanSec!C54/B$3</f>
        <v>203</v>
      </c>
      <c r="C54" s="69">
        <f>AgeStanSec!D54/C$3</f>
        <v>201.83333333333334</v>
      </c>
      <c r="D54" s="69">
        <f>AgeStanSec!E54/D$3</f>
        <v>201.63495188101487</v>
      </c>
      <c r="E54" s="69">
        <f>AgeStanSec!F54/E$3</f>
        <v>200.5</v>
      </c>
      <c r="F54" s="69">
        <f>AgeStanSec!G54/F$3</f>
        <v>200.70289509265885</v>
      </c>
      <c r="G54" s="69">
        <f>AgeStanSec!H54/G$3</f>
        <v>199.4</v>
      </c>
      <c r="H54" s="69">
        <f>AgeStanSec!I54/H$3</f>
        <v>201.91666666666666</v>
      </c>
      <c r="I54" s="69">
        <f>AgeStanSec!J54/I$3</f>
        <v>205.26666666666668</v>
      </c>
      <c r="J54" s="69">
        <f>AgeStanSec!K54/J$3</f>
        <v>206.5437842996898</v>
      </c>
      <c r="K54" s="69">
        <f>AgeStanSec!L54/K$3</f>
        <v>211.05</v>
      </c>
      <c r="L54" s="69">
        <f>AgeStanSec!M54/L$3</f>
        <v>211.77864675909467</v>
      </c>
      <c r="M54" s="69">
        <f>AgeStanSec!N54/M$3</f>
        <v>212.12</v>
      </c>
      <c r="N54" s="69">
        <f>AgeStanSec!O54/N$3</f>
        <v>212.93333333333334</v>
      </c>
      <c r="O54" s="69">
        <f>AgeStanSec!P54/O$3</f>
        <v>214.4092902002607</v>
      </c>
      <c r="P54" s="69">
        <f>AgeStanSec!Q54/P$3</f>
        <v>217.94</v>
      </c>
      <c r="Q54" s="69">
        <f>AgeStanSec!R54/Q$3</f>
        <v>246.60979877515308</v>
      </c>
      <c r="R54" s="69">
        <f>AgeStanSec!S54/R$3</f>
        <v>273.77</v>
      </c>
      <c r="S54" s="69">
        <f>AgeStanSec!T54/S$3</f>
        <v>307.14666666666665</v>
      </c>
      <c r="T54" s="69">
        <f>AgeStanSec!U54/T$3</f>
        <v>313.6806052652509</v>
      </c>
      <c r="U54" s="69">
        <f>AgeStanSec!V54/U$3</f>
        <v>334.22500000000002</v>
      </c>
      <c r="V54" s="47"/>
    </row>
    <row r="55" spans="1:22">
      <c r="A55" s="68">
        <v>54</v>
      </c>
      <c r="B55" s="69">
        <f>AgeStanSec!C55/B$3</f>
        <v>205.4</v>
      </c>
      <c r="C55" s="69">
        <f>AgeStanSec!D55/C$3</f>
        <v>204.16666666666666</v>
      </c>
      <c r="D55" s="69">
        <f>AgeStanSec!E55/D$3</f>
        <v>203.96509385190487</v>
      </c>
      <c r="E55" s="69">
        <f>AgeStanSec!F55/E$3</f>
        <v>202.75</v>
      </c>
      <c r="F55" s="69">
        <f>AgeStanSec!G55/F$3</f>
        <v>202.93983138471327</v>
      </c>
      <c r="G55" s="69">
        <f>AgeStanSec!H55/G$3</f>
        <v>201.7</v>
      </c>
      <c r="H55" s="69">
        <f>AgeStanSec!I55/H$3</f>
        <v>204.16666666666666</v>
      </c>
      <c r="I55" s="69">
        <f>AgeStanSec!J55/I$3</f>
        <v>207.66666666666666</v>
      </c>
      <c r="J55" s="69">
        <f>AgeStanSec!K55/J$3</f>
        <v>209.02926906863914</v>
      </c>
      <c r="K55" s="69">
        <f>AgeStanSec!L55/K$3</f>
        <v>213.65</v>
      </c>
      <c r="L55" s="69">
        <f>AgeStanSec!M55/L$3</f>
        <v>214.38559070979974</v>
      </c>
      <c r="M55" s="69">
        <f>AgeStanSec!N55/M$3</f>
        <v>214.76</v>
      </c>
      <c r="N55" s="69">
        <f>AgeStanSec!O55/N$3</f>
        <v>215.56666666666666</v>
      </c>
      <c r="O55" s="69">
        <f>AgeStanSec!P55/O$3</f>
        <v>217.0399336414267</v>
      </c>
      <c r="P55" s="69">
        <f>AgeStanSec!Q55/P$3</f>
        <v>220.6</v>
      </c>
      <c r="Q55" s="69">
        <f>AgeStanSec!R55/Q$3</f>
        <v>249.62966276942655</v>
      </c>
      <c r="R55" s="69">
        <f>AgeStanSec!S55/R$3</f>
        <v>277.12</v>
      </c>
      <c r="S55" s="69">
        <f>AgeStanSec!T55/S$3</f>
        <v>310.89999999999998</v>
      </c>
      <c r="T55" s="69">
        <f>AgeStanSec!U55/T$3</f>
        <v>317.50825180943286</v>
      </c>
      <c r="U55" s="69">
        <f>AgeStanSec!V55/U$3</f>
        <v>338.30500000000001</v>
      </c>
      <c r="V55" s="47"/>
    </row>
    <row r="56" spans="1:22">
      <c r="A56" s="70">
        <v>55</v>
      </c>
      <c r="B56" s="71">
        <f>AgeStanSec!C56/B$3</f>
        <v>207.8</v>
      </c>
      <c r="C56" s="71">
        <f>AgeStanSec!D56/C$3</f>
        <v>206.66666666666666</v>
      </c>
      <c r="D56" s="71">
        <f>AgeStanSec!E56/D$3</f>
        <v>206.4505786208542</v>
      </c>
      <c r="E56" s="71">
        <f>AgeStanSec!F56/E$3</f>
        <v>205.125</v>
      </c>
      <c r="F56" s="71">
        <f>AgeStanSec!G56/F$3</f>
        <v>205.30104191521514</v>
      </c>
      <c r="G56" s="71">
        <f>AgeStanSec!H56/G$3</f>
        <v>204</v>
      </c>
      <c r="H56" s="71">
        <f>AgeStanSec!I56/H$3</f>
        <v>206.58333333333334</v>
      </c>
      <c r="I56" s="71">
        <f>AgeStanSec!J56/I$3</f>
        <v>210.2</v>
      </c>
      <c r="J56" s="71">
        <f>AgeStanSec!K56/J$3</f>
        <v>211.57689095681221</v>
      </c>
      <c r="K56" s="71">
        <f>AgeStanSec!L56/K$3</f>
        <v>216.35</v>
      </c>
      <c r="L56" s="71">
        <f>AgeStanSec!M56/L$3</f>
        <v>217.08733262234861</v>
      </c>
      <c r="M56" s="71">
        <f>AgeStanSec!N56/M$3</f>
        <v>217.48</v>
      </c>
      <c r="N56" s="71">
        <f>AgeStanSec!O56/N$3</f>
        <v>218.33333333333334</v>
      </c>
      <c r="O56" s="71">
        <f>AgeStanSec!P56/O$3</f>
        <v>219.81277402535846</v>
      </c>
      <c r="P56" s="71">
        <f>AgeStanSec!Q56/P$3</f>
        <v>223.44</v>
      </c>
      <c r="Q56" s="71">
        <f>AgeStanSec!R56/Q$3</f>
        <v>252.83593812137119</v>
      </c>
      <c r="R56" s="71">
        <f>AgeStanSec!S56/R$3</f>
        <v>280.68</v>
      </c>
      <c r="S56" s="71">
        <f>AgeStanSec!T56/S$3</f>
        <v>314.89333333333332</v>
      </c>
      <c r="T56" s="71">
        <f>AgeStanSec!U56/T$3</f>
        <v>321.59066054243215</v>
      </c>
      <c r="U56" s="71">
        <f>AgeStanSec!V56/U$3</f>
        <v>342.65499999999997</v>
      </c>
      <c r="V56" s="47"/>
    </row>
    <row r="57" spans="1:22">
      <c r="A57" s="68">
        <v>56</v>
      </c>
      <c r="B57" s="69">
        <f>AgeStanSec!C57/B$3</f>
        <v>210.4</v>
      </c>
      <c r="C57" s="69">
        <f>AgeStanSec!D57/C$3</f>
        <v>209.16666666666666</v>
      </c>
      <c r="D57" s="69">
        <f>AgeStanSec!E57/D$3</f>
        <v>208.93606338980354</v>
      </c>
      <c r="E57" s="69">
        <f>AgeStanSec!F57/E$3</f>
        <v>207.5</v>
      </c>
      <c r="F57" s="69">
        <f>AgeStanSec!G57/F$3</f>
        <v>207.78652668416447</v>
      </c>
      <c r="G57" s="69">
        <f>AgeStanSec!H57/G$3</f>
        <v>206.4</v>
      </c>
      <c r="H57" s="69">
        <f>AgeStanSec!I57/H$3</f>
        <v>209.08333333333334</v>
      </c>
      <c r="I57" s="69">
        <f>AgeStanSec!J57/I$3</f>
        <v>212.8</v>
      </c>
      <c r="J57" s="69">
        <f>AgeStanSec!K57/J$3</f>
        <v>214.18664996420901</v>
      </c>
      <c r="K57" s="69">
        <f>AgeStanSec!L57/K$3</f>
        <v>219.05</v>
      </c>
      <c r="L57" s="69">
        <f>AgeStanSec!M57/L$3</f>
        <v>219.83647351581942</v>
      </c>
      <c r="M57" s="69">
        <f>AgeStanSec!N57/M$3</f>
        <v>220.28</v>
      </c>
      <c r="N57" s="69">
        <f>AgeStanSec!O57/N$3</f>
        <v>221.13333333333333</v>
      </c>
      <c r="O57" s="69">
        <f>AgeStanSec!P57/O$3</f>
        <v>222.72781135205594</v>
      </c>
      <c r="P57" s="69">
        <f>AgeStanSec!Q57/P$3</f>
        <v>226.4</v>
      </c>
      <c r="Q57" s="69">
        <f>AgeStanSec!R57/Q$3</f>
        <v>256.19134255945278</v>
      </c>
      <c r="R57" s="69">
        <f>AgeStanSec!S57/R$3</f>
        <v>284.39999999999998</v>
      </c>
      <c r="S57" s="69">
        <f>AgeStanSec!T57/S$3</f>
        <v>319.06666666666666</v>
      </c>
      <c r="T57" s="69">
        <f>AgeStanSec!U57/T$3</f>
        <v>325.85326692118031</v>
      </c>
      <c r="U57" s="69">
        <f>AgeStanSec!V57/U$3</f>
        <v>347.19499999999999</v>
      </c>
      <c r="V57" s="47"/>
    </row>
    <row r="58" spans="1:22">
      <c r="A58" s="68">
        <v>57</v>
      </c>
      <c r="B58" s="69">
        <f>AgeStanSec!C58/B$3</f>
        <v>212.8</v>
      </c>
      <c r="C58" s="69">
        <f>AgeStanSec!D58/C$3</f>
        <v>211.66666666666666</v>
      </c>
      <c r="D58" s="69">
        <f>AgeStanSec!E58/D$3</f>
        <v>211.42154815875287</v>
      </c>
      <c r="E58" s="69">
        <f>AgeStanSec!F58/E$3</f>
        <v>210.125</v>
      </c>
      <c r="F58" s="69">
        <f>AgeStanSec!G58/F$3</f>
        <v>210.39628569156127</v>
      </c>
      <c r="G58" s="69">
        <f>AgeStanSec!H58/G$3</f>
        <v>209</v>
      </c>
      <c r="H58" s="69">
        <f>AgeStanSec!I58/H$3</f>
        <v>211.75</v>
      </c>
      <c r="I58" s="69">
        <f>AgeStanSec!J58/I$3</f>
        <v>215.53333333333333</v>
      </c>
      <c r="J58" s="69">
        <f>AgeStanSec!K58/J$3</f>
        <v>216.98282032927702</v>
      </c>
      <c r="K58" s="69">
        <f>AgeStanSec!L58/K$3</f>
        <v>221.9</v>
      </c>
      <c r="L58" s="69">
        <f>AgeStanSec!M58/L$3</f>
        <v>222.72781135205594</v>
      </c>
      <c r="M58" s="69">
        <f>AgeStanSec!N58/M$3</f>
        <v>223.16</v>
      </c>
      <c r="N58" s="69">
        <f>AgeStanSec!O58/N$3</f>
        <v>224.06666666666666</v>
      </c>
      <c r="O58" s="69">
        <f>AgeStanSec!P58/O$3</f>
        <v>225.73764664059723</v>
      </c>
      <c r="P58" s="69">
        <f>AgeStanSec!Q58/P$3</f>
        <v>229.44</v>
      </c>
      <c r="Q58" s="69">
        <f>AgeStanSec!R58/Q$3</f>
        <v>259.63373896444762</v>
      </c>
      <c r="R58" s="69">
        <f>AgeStanSec!S58/R$3</f>
        <v>288.22000000000003</v>
      </c>
      <c r="S58" s="69">
        <f>AgeStanSec!T58/S$3</f>
        <v>323.35333333333335</v>
      </c>
      <c r="T58" s="69">
        <f>AgeStanSec!U58/T$3</f>
        <v>330.23393382645349</v>
      </c>
      <c r="U58" s="69">
        <f>AgeStanSec!V58/U$3</f>
        <v>351.86500000000001</v>
      </c>
      <c r="V58" s="47"/>
    </row>
    <row r="59" spans="1:22">
      <c r="A59" s="68">
        <v>58</v>
      </c>
      <c r="B59" s="69">
        <f>AgeStanSec!C59/B$3</f>
        <v>215.4</v>
      </c>
      <c r="C59" s="69">
        <f>AgeStanSec!D59/C$3</f>
        <v>214.33333333333334</v>
      </c>
      <c r="D59" s="69">
        <f>AgeStanSec!E59/D$3</f>
        <v>214.06237572576154</v>
      </c>
      <c r="E59" s="69">
        <f>AgeStanSec!F59/E$3</f>
        <v>212.875</v>
      </c>
      <c r="F59" s="69">
        <f>AgeStanSec!G59/F$3</f>
        <v>213.13031893740555</v>
      </c>
      <c r="G59" s="69">
        <f>AgeStanSec!H59/G$3</f>
        <v>211.7</v>
      </c>
      <c r="H59" s="69">
        <f>AgeStanSec!I59/H$3</f>
        <v>214.5</v>
      </c>
      <c r="I59" s="69">
        <f>AgeStanSec!J59/I$3</f>
        <v>218.26666666666668</v>
      </c>
      <c r="J59" s="69">
        <f>AgeStanSec!K59/J$3</f>
        <v>219.778990694345</v>
      </c>
      <c r="K59" s="69">
        <f>AgeStanSec!L59/K$3</f>
        <v>224.8</v>
      </c>
      <c r="L59" s="69">
        <f>AgeStanSec!M59/L$3</f>
        <v>225.61914918829245</v>
      </c>
      <c r="M59" s="69">
        <f>AgeStanSec!N59/M$3</f>
        <v>226.08</v>
      </c>
      <c r="N59" s="69">
        <f>AgeStanSec!O59/N$3</f>
        <v>227.06666666666666</v>
      </c>
      <c r="O59" s="69">
        <f>AgeStanSec!P59/O$3</f>
        <v>228.79488091006044</v>
      </c>
      <c r="P59" s="69">
        <f>AgeStanSec!Q59/P$3</f>
        <v>232.56</v>
      </c>
      <c r="Q59" s="69">
        <f>AgeStanSec!R59/Q$3</f>
        <v>263.16312733635567</v>
      </c>
      <c r="R59" s="69">
        <f>AgeStanSec!S59/R$3</f>
        <v>292.14999999999998</v>
      </c>
      <c r="S59" s="69">
        <f>AgeStanSec!T59/S$3</f>
        <v>327.76</v>
      </c>
      <c r="T59" s="69">
        <f>AgeStanSec!U59/T$3</f>
        <v>334.73266125825177</v>
      </c>
      <c r="U59" s="69">
        <f>AgeStanSec!V59/U$3</f>
        <v>356.65499999999997</v>
      </c>
      <c r="V59" s="47"/>
    </row>
    <row r="60" spans="1:22">
      <c r="A60" s="68">
        <v>59</v>
      </c>
      <c r="B60" s="69">
        <f>AgeStanSec!C60/B$3</f>
        <v>218.2</v>
      </c>
      <c r="C60" s="69">
        <f>AgeStanSec!D60/C$3</f>
        <v>217</v>
      </c>
      <c r="D60" s="69">
        <f>AgeStanSec!E60/D$3</f>
        <v>216.85854609082955</v>
      </c>
      <c r="E60" s="69">
        <f>AgeStanSec!F60/E$3</f>
        <v>215.5</v>
      </c>
      <c r="F60" s="69">
        <f>AgeStanSec!G60/F$3</f>
        <v>215.74007794480235</v>
      </c>
      <c r="G60" s="69">
        <f>AgeStanSec!H60/G$3</f>
        <v>214.5</v>
      </c>
      <c r="H60" s="69">
        <f>AgeStanSec!I60/H$3</f>
        <v>217.33333333333334</v>
      </c>
      <c r="I60" s="69">
        <f>AgeStanSec!J60/I$3</f>
        <v>221.2</v>
      </c>
      <c r="J60" s="69">
        <f>AgeStanSec!K60/J$3</f>
        <v>222.63729817863674</v>
      </c>
      <c r="K60" s="69">
        <f>AgeStanSec!L60/K$3</f>
        <v>227.75</v>
      </c>
      <c r="L60" s="69">
        <f>AgeStanSec!M60/L$3</f>
        <v>228.60528498637279</v>
      </c>
      <c r="M60" s="69">
        <f>AgeStanSec!N60/M$3</f>
        <v>229.12</v>
      </c>
      <c r="N60" s="69">
        <f>AgeStanSec!O60/N$3</f>
        <v>230.13333333333333</v>
      </c>
      <c r="O60" s="69">
        <f>AgeStanSec!P60/O$3</f>
        <v>231.9706126318284</v>
      </c>
      <c r="P60" s="69">
        <f>AgeStanSec!Q60/P$3</f>
        <v>235.78</v>
      </c>
      <c r="Q60" s="69">
        <f>AgeStanSec!R60/Q$3</f>
        <v>266.80436252286643</v>
      </c>
      <c r="R60" s="69">
        <f>AgeStanSec!S60/R$3</f>
        <v>296.18</v>
      </c>
      <c r="S60" s="69">
        <f>AgeStanSec!T60/S$3</f>
        <v>332.28666666666669</v>
      </c>
      <c r="T60" s="69">
        <f>AgeStanSec!U60/T$3</f>
        <v>339.35566292849757</v>
      </c>
      <c r="U60" s="69">
        <f>AgeStanSec!V60/U$3</f>
        <v>361.58</v>
      </c>
      <c r="V60" s="47"/>
    </row>
    <row r="61" spans="1:22">
      <c r="A61" s="70">
        <v>60</v>
      </c>
      <c r="B61" s="71">
        <f>AgeStanSec!C61/B$3</f>
        <v>220.8</v>
      </c>
      <c r="C61" s="71">
        <f>AgeStanSec!D61/C$3</f>
        <v>219.83333333333334</v>
      </c>
      <c r="D61" s="71">
        <f>AgeStanSec!E61/D$3</f>
        <v>219.65471645589756</v>
      </c>
      <c r="E61" s="71">
        <f>AgeStanSec!F61/E$3</f>
        <v>218.375</v>
      </c>
      <c r="F61" s="71">
        <f>AgeStanSec!G61/F$3</f>
        <v>218.59838542909407</v>
      </c>
      <c r="G61" s="71">
        <f>AgeStanSec!H61/G$3</f>
        <v>217.3</v>
      </c>
      <c r="H61" s="71">
        <f>AgeStanSec!I61/H$3</f>
        <v>220.16666666666666</v>
      </c>
      <c r="I61" s="71">
        <f>AgeStanSec!J61/I$3</f>
        <v>224.13333333333333</v>
      </c>
      <c r="J61" s="71">
        <f>AgeStanSec!K61/J$3</f>
        <v>225.61987990137595</v>
      </c>
      <c r="K61" s="71">
        <f>AgeStanSec!L61/K$3</f>
        <v>230.8</v>
      </c>
      <c r="L61" s="71">
        <f>AgeStanSec!M61/L$3</f>
        <v>231.63881976537505</v>
      </c>
      <c r="M61" s="71">
        <f>AgeStanSec!N61/M$3</f>
        <v>232.2</v>
      </c>
      <c r="N61" s="71">
        <f>AgeStanSec!O61/N$3</f>
        <v>233.26666666666668</v>
      </c>
      <c r="O61" s="71">
        <f>AgeStanSec!P61/O$3</f>
        <v>235.21744282497926</v>
      </c>
      <c r="P61" s="71">
        <f>AgeStanSec!Q61/P$3</f>
        <v>239.08</v>
      </c>
      <c r="Q61" s="71">
        <f>AgeStanSec!R61/Q$3</f>
        <v>270.54501710013517</v>
      </c>
      <c r="R61" s="71">
        <f>AgeStanSec!S61/R$3</f>
        <v>300.33</v>
      </c>
      <c r="S61" s="71">
        <f>AgeStanSec!T61/S$3</f>
        <v>336.94</v>
      </c>
      <c r="T61" s="71">
        <f>AgeStanSec!U61/T$3</f>
        <v>344.10915254911316</v>
      </c>
      <c r="U61" s="71">
        <f>AgeStanSec!V61/U$3</f>
        <v>366.64499999999998</v>
      </c>
      <c r="V61" s="47"/>
    </row>
    <row r="62" spans="1:22">
      <c r="A62" s="68">
        <v>61</v>
      </c>
      <c r="B62" s="69">
        <f>AgeStanSec!C62/B$3</f>
        <v>223.8</v>
      </c>
      <c r="C62" s="69">
        <f>AgeStanSec!D62/C$3</f>
        <v>222.66666666666666</v>
      </c>
      <c r="D62" s="69">
        <f>AgeStanSec!E62/D$3</f>
        <v>222.45088682096554</v>
      </c>
      <c r="E62" s="69">
        <f>AgeStanSec!F62/E$3</f>
        <v>221.25</v>
      </c>
      <c r="F62" s="69">
        <f>AgeStanSec!G62/F$3</f>
        <v>221.45669291338581</v>
      </c>
      <c r="G62" s="69">
        <f>AgeStanSec!H62/G$3</f>
        <v>220.2</v>
      </c>
      <c r="H62" s="69">
        <f>AgeStanSec!I62/H$3</f>
        <v>223.16666666666666</v>
      </c>
      <c r="I62" s="69">
        <f>AgeStanSec!J62/I$3</f>
        <v>227.13333333333333</v>
      </c>
      <c r="J62" s="69">
        <f>AgeStanSec!K62/J$3</f>
        <v>228.6645987433389</v>
      </c>
      <c r="K62" s="69">
        <f>AgeStanSec!L62/K$3</f>
        <v>233.95</v>
      </c>
      <c r="L62" s="69">
        <f>AgeStanSec!M62/L$3</f>
        <v>234.81455148714304</v>
      </c>
      <c r="M62" s="69">
        <f>AgeStanSec!N62/M$3</f>
        <v>235.4</v>
      </c>
      <c r="N62" s="69">
        <f>AgeStanSec!O62/N$3</f>
        <v>236.5</v>
      </c>
      <c r="O62" s="69">
        <f>AgeStanSec!P62/O$3</f>
        <v>238.55907097997394</v>
      </c>
      <c r="P62" s="69">
        <f>AgeStanSec!Q62/P$3</f>
        <v>242.48</v>
      </c>
      <c r="Q62" s="69">
        <f>AgeStanSec!R62/Q$3</f>
        <v>274.3850910681619</v>
      </c>
      <c r="R62" s="69">
        <f>AgeStanSec!S62/R$3</f>
        <v>304.60000000000002</v>
      </c>
      <c r="S62" s="69">
        <f>AgeStanSec!T62/S$3</f>
        <v>341.72666666666669</v>
      </c>
      <c r="T62" s="69">
        <f>AgeStanSec!U62/T$3</f>
        <v>348.99313012009861</v>
      </c>
      <c r="U62" s="69">
        <f>AgeStanSec!V62/U$3</f>
        <v>371.85500000000002</v>
      </c>
      <c r="V62" s="47"/>
    </row>
    <row r="63" spans="1:22">
      <c r="A63" s="68">
        <v>62</v>
      </c>
      <c r="B63" s="69">
        <f>AgeStanSec!C63/B$3</f>
        <v>226.6</v>
      </c>
      <c r="C63" s="69">
        <f>AgeStanSec!D63/C$3</f>
        <v>225.5</v>
      </c>
      <c r="D63" s="69">
        <f>AgeStanSec!E63/D$3</f>
        <v>225.40239998409288</v>
      </c>
      <c r="E63" s="69">
        <f>AgeStanSec!F63/E$3</f>
        <v>224.125</v>
      </c>
      <c r="F63" s="69">
        <f>AgeStanSec!G63/F$3</f>
        <v>224.43927463612502</v>
      </c>
      <c r="G63" s="69">
        <f>AgeStanSec!H63/G$3</f>
        <v>223.2</v>
      </c>
      <c r="H63" s="69">
        <f>AgeStanSec!I63/H$3</f>
        <v>226.16666666666666</v>
      </c>
      <c r="I63" s="69">
        <f>AgeStanSec!J63/I$3</f>
        <v>230.26666666666668</v>
      </c>
      <c r="J63" s="69">
        <f>AgeStanSec!K63/J$3</f>
        <v>231.83359182374929</v>
      </c>
      <c r="K63" s="69">
        <f>AgeStanSec!L63/K$3</f>
        <v>237.15</v>
      </c>
      <c r="L63" s="69">
        <f>AgeStanSec!M63/L$3</f>
        <v>238.03768218983291</v>
      </c>
      <c r="M63" s="69">
        <f>AgeStanSec!N63/M$3</f>
        <v>238.68</v>
      </c>
      <c r="N63" s="69">
        <f>AgeStanSec!O63/N$3</f>
        <v>239.86666666666667</v>
      </c>
      <c r="O63" s="69">
        <f>AgeStanSec!P63/O$3</f>
        <v>241.99549709681241</v>
      </c>
      <c r="P63" s="69">
        <f>AgeStanSec!Q63/P$3</f>
        <v>245.98</v>
      </c>
      <c r="Q63" s="69">
        <f>AgeStanSec!R63/Q$3</f>
        <v>278.33701185079138</v>
      </c>
      <c r="R63" s="69">
        <f>AgeStanSec!S63/R$3</f>
        <v>308.98</v>
      </c>
      <c r="S63" s="69">
        <f>AgeStanSec!T63/S$3</f>
        <v>346.64666666666665</v>
      </c>
      <c r="T63" s="69">
        <f>AgeStanSec!U63/T$3</f>
        <v>354.02002306529863</v>
      </c>
      <c r="U63" s="69">
        <f>AgeStanSec!V63/U$3</f>
        <v>377.21</v>
      </c>
      <c r="V63" s="47"/>
    </row>
    <row r="64" spans="1:22">
      <c r="A64" s="68">
        <v>63</v>
      </c>
      <c r="B64" s="69">
        <f>AgeStanSec!C64/B$3</f>
        <v>229.6</v>
      </c>
      <c r="C64" s="69">
        <f>AgeStanSec!D64/C$3</f>
        <v>228.5</v>
      </c>
      <c r="D64" s="69">
        <f>AgeStanSec!E64/D$3</f>
        <v>228.35391314722023</v>
      </c>
      <c r="E64" s="69">
        <f>AgeStanSec!F64/E$3</f>
        <v>227.25</v>
      </c>
      <c r="F64" s="69">
        <f>AgeStanSec!G64/F$3</f>
        <v>227.54613059731167</v>
      </c>
      <c r="G64" s="69">
        <f>AgeStanSec!H64/G$3</f>
        <v>226.3</v>
      </c>
      <c r="H64" s="69">
        <f>AgeStanSec!I64/H$3</f>
        <v>229.33333333333334</v>
      </c>
      <c r="I64" s="69">
        <f>AgeStanSec!J64/I$3</f>
        <v>233.46666666666667</v>
      </c>
      <c r="J64" s="69">
        <f>AgeStanSec!K64/J$3</f>
        <v>235.06472202338344</v>
      </c>
      <c r="K64" s="69">
        <f>AgeStanSec!L64/K$3</f>
        <v>240.45</v>
      </c>
      <c r="L64" s="69">
        <f>AgeStanSec!M64/L$3</f>
        <v>241.35561085436663</v>
      </c>
      <c r="M64" s="69">
        <f>AgeStanSec!N64/M$3</f>
        <v>242.08</v>
      </c>
      <c r="N64" s="69">
        <f>AgeStanSec!O64/N$3</f>
        <v>243.3</v>
      </c>
      <c r="O64" s="69">
        <f>AgeStanSec!P64/O$3</f>
        <v>245.52672117549471</v>
      </c>
      <c r="P64" s="69">
        <f>AgeStanSec!Q64/P$3</f>
        <v>249.56</v>
      </c>
      <c r="Q64" s="69">
        <f>AgeStanSec!R64/Q$3</f>
        <v>282.40077944802351</v>
      </c>
      <c r="R64" s="69">
        <f>AgeStanSec!S64/R$3</f>
        <v>313.5</v>
      </c>
      <c r="S64" s="69">
        <f>AgeStanSec!T64/S$3</f>
        <v>351.71333333333331</v>
      </c>
      <c r="T64" s="69">
        <f>AgeStanSec!U64/T$3</f>
        <v>359.1960450966356</v>
      </c>
      <c r="U64" s="69">
        <f>AgeStanSec!V64/U$3</f>
        <v>382.72500000000002</v>
      </c>
      <c r="V64" s="47"/>
    </row>
    <row r="65" spans="1:22">
      <c r="A65" s="68">
        <v>64</v>
      </c>
      <c r="B65" s="69">
        <f>AgeStanSec!C65/B$3</f>
        <v>232.6</v>
      </c>
      <c r="C65" s="69">
        <f>AgeStanSec!D65/C$3</f>
        <v>231.5</v>
      </c>
      <c r="D65" s="69">
        <f>AgeStanSec!E65/D$3</f>
        <v>231.46076910840688</v>
      </c>
      <c r="E65" s="69">
        <f>AgeStanSec!F65/E$3</f>
        <v>230.375</v>
      </c>
      <c r="F65" s="69">
        <f>AgeStanSec!G65/F$3</f>
        <v>230.65298655849836</v>
      </c>
      <c r="G65" s="69">
        <f>AgeStanSec!H65/G$3</f>
        <v>229.5</v>
      </c>
      <c r="H65" s="69">
        <f>AgeStanSec!I65/H$3</f>
        <v>232.5</v>
      </c>
      <c r="I65" s="69">
        <f>AgeStanSec!J65/I$3</f>
        <v>236.73333333333332</v>
      </c>
      <c r="J65" s="69">
        <f>AgeStanSec!K65/J$3</f>
        <v>238.3579893422413</v>
      </c>
      <c r="K65" s="69">
        <f>AgeStanSec!L65/K$3</f>
        <v>243.85</v>
      </c>
      <c r="L65" s="69">
        <f>AgeStanSec!M65/L$3</f>
        <v>244.76833748074415</v>
      </c>
      <c r="M65" s="69">
        <f>AgeStanSec!N65/M$3</f>
        <v>245.52</v>
      </c>
      <c r="N65" s="69">
        <f>AgeStanSec!O65/N$3</f>
        <v>246.83333333333334</v>
      </c>
      <c r="O65" s="69">
        <f>AgeStanSec!P65/O$3</f>
        <v>249.17644270648182</v>
      </c>
      <c r="P65" s="69">
        <f>AgeStanSec!Q65/P$3</f>
        <v>253.28</v>
      </c>
      <c r="Q65" s="69">
        <f>AgeStanSec!R65/Q$3</f>
        <v>286.58882128370317</v>
      </c>
      <c r="R65" s="69">
        <f>AgeStanSec!S65/R$3</f>
        <v>318.14999999999998</v>
      </c>
      <c r="S65" s="69">
        <f>AgeStanSec!T65/S$3</f>
        <v>356.93333333333334</v>
      </c>
      <c r="T65" s="69">
        <f>AgeStanSec!U65/T$3</f>
        <v>364.52740992603196</v>
      </c>
      <c r="U65" s="69">
        <f>AgeStanSec!V65/U$3</f>
        <v>388.4</v>
      </c>
      <c r="V65" s="47"/>
    </row>
    <row r="66" spans="1:22">
      <c r="A66" s="70">
        <v>65</v>
      </c>
      <c r="B66" s="71">
        <f>AgeStanSec!C66/B$3</f>
        <v>235.8</v>
      </c>
      <c r="C66" s="71">
        <f>AgeStanSec!D66/C$3</f>
        <v>234.66666666666666</v>
      </c>
      <c r="D66" s="71">
        <f>AgeStanSec!E66/D$3</f>
        <v>234.56762506959356</v>
      </c>
      <c r="E66" s="71">
        <f>AgeStanSec!F66/E$3</f>
        <v>233.5</v>
      </c>
      <c r="F66" s="71">
        <f>AgeStanSec!G66/F$3</f>
        <v>233.88411675813248</v>
      </c>
      <c r="G66" s="71">
        <f>AgeStanSec!H66/G$3</f>
        <v>232.7</v>
      </c>
      <c r="H66" s="71">
        <f>AgeStanSec!I66/H$3</f>
        <v>235.83333333333334</v>
      </c>
      <c r="I66" s="71">
        <f>AgeStanSec!J66/I$3</f>
        <v>240.13333333333333</v>
      </c>
      <c r="J66" s="71">
        <f>AgeStanSec!K66/J$3</f>
        <v>241.77553089954662</v>
      </c>
      <c r="K66" s="71">
        <f>AgeStanSec!L66/K$3</f>
        <v>247.35</v>
      </c>
      <c r="L66" s="71">
        <f>AgeStanSec!M66/L$3</f>
        <v>248.32326104988744</v>
      </c>
      <c r="M66" s="71">
        <f>AgeStanSec!N66/M$3</f>
        <v>249.12</v>
      </c>
      <c r="N66" s="71">
        <f>AgeStanSec!O66/N$3</f>
        <v>250.46666666666667</v>
      </c>
      <c r="O66" s="71">
        <f>AgeStanSec!P66/O$3</f>
        <v>252.92096219931273</v>
      </c>
      <c r="P66" s="71">
        <f>AgeStanSec!Q66/P$3</f>
        <v>257.08</v>
      </c>
      <c r="Q66" s="71">
        <f>AgeStanSec!R66/Q$3</f>
        <v>290.91356478167501</v>
      </c>
      <c r="R66" s="71">
        <f>AgeStanSec!S66/R$3</f>
        <v>322.94</v>
      </c>
      <c r="S66" s="71">
        <f>AgeStanSec!T66/S$3</f>
        <v>362.30666666666667</v>
      </c>
      <c r="T66" s="71">
        <f>AgeStanSec!U66/T$3</f>
        <v>370.01411755348761</v>
      </c>
      <c r="U66" s="71">
        <f>AgeStanSec!V66/U$3</f>
        <v>394.25</v>
      </c>
      <c r="V66" s="47"/>
    </row>
    <row r="67" spans="1:22">
      <c r="A67" s="68">
        <v>66</v>
      </c>
      <c r="B67" s="69">
        <f>AgeStanSec!C67/B$3</f>
        <v>239</v>
      </c>
      <c r="C67" s="69">
        <f>AgeStanSec!D67/C$3</f>
        <v>238</v>
      </c>
      <c r="D67" s="69">
        <f>AgeStanSec!E67/D$3</f>
        <v>237.82982382883955</v>
      </c>
      <c r="E67" s="69">
        <f>AgeStanSec!F67/E$3</f>
        <v>236.875</v>
      </c>
      <c r="F67" s="69">
        <f>AgeStanSec!G67/F$3</f>
        <v>237.11524695776663</v>
      </c>
      <c r="G67" s="69">
        <f>AgeStanSec!H67/G$3</f>
        <v>236.1</v>
      </c>
      <c r="H67" s="69">
        <f>AgeStanSec!I67/H$3</f>
        <v>239.25</v>
      </c>
      <c r="I67" s="69">
        <f>AgeStanSec!J67/I$3</f>
        <v>243.6</v>
      </c>
      <c r="J67" s="69">
        <f>AgeStanSec!K67/J$3</f>
        <v>245.25520957607571</v>
      </c>
      <c r="K67" s="69">
        <f>AgeStanSec!L67/K$3</f>
        <v>251</v>
      </c>
      <c r="L67" s="69">
        <f>AgeStanSec!M67/L$3</f>
        <v>251.9255835999526</v>
      </c>
      <c r="M67" s="69">
        <f>AgeStanSec!N67/M$3</f>
        <v>252.76</v>
      </c>
      <c r="N67" s="69">
        <f>AgeStanSec!O67/N$3</f>
        <v>254.2</v>
      </c>
      <c r="O67" s="69">
        <f>AgeStanSec!P67/O$3</f>
        <v>256.78397914444838</v>
      </c>
      <c r="P67" s="69">
        <f>AgeStanSec!Q67/P$3</f>
        <v>261.02</v>
      </c>
      <c r="Q67" s="69">
        <f>AgeStanSec!R67/Q$3</f>
        <v>295.36258251809431</v>
      </c>
      <c r="R67" s="69">
        <f>AgeStanSec!S67/R$3</f>
        <v>327.88</v>
      </c>
      <c r="S67" s="69">
        <f>AgeStanSec!T67/S$3</f>
        <v>367.84666666666669</v>
      </c>
      <c r="T67" s="69">
        <f>AgeStanSec!U67/T$3</f>
        <v>375.67480911476974</v>
      </c>
      <c r="U67" s="69">
        <f>AgeStanSec!V67/U$3</f>
        <v>400.28</v>
      </c>
      <c r="V67" s="47"/>
    </row>
    <row r="68" spans="1:22">
      <c r="A68" s="68">
        <v>67</v>
      </c>
      <c r="B68" s="69">
        <f>AgeStanSec!C68/B$3</f>
        <v>242.2</v>
      </c>
      <c r="C68" s="69">
        <f>AgeStanSec!D68/C$3</f>
        <v>241.33333333333334</v>
      </c>
      <c r="D68" s="69">
        <f>AgeStanSec!E68/D$3</f>
        <v>241.24736538614491</v>
      </c>
      <c r="E68" s="69">
        <f>AgeStanSec!F68/E$3</f>
        <v>240.25</v>
      </c>
      <c r="F68" s="69">
        <f>AgeStanSec!G68/F$3</f>
        <v>240.47065139584822</v>
      </c>
      <c r="G68" s="69">
        <f>AgeStanSec!H68/G$3</f>
        <v>239.5</v>
      </c>
      <c r="H68" s="69">
        <f>AgeStanSec!I68/H$3</f>
        <v>242.75</v>
      </c>
      <c r="I68" s="69">
        <f>AgeStanSec!J68/I$3</f>
        <v>247.2</v>
      </c>
      <c r="J68" s="69">
        <f>AgeStanSec!K68/J$3</f>
        <v>248.85916249105225</v>
      </c>
      <c r="K68" s="69">
        <f>AgeStanSec!L68/K$3</f>
        <v>254.7</v>
      </c>
      <c r="L68" s="69">
        <f>AgeStanSec!M68/L$3</f>
        <v>255.67010309278351</v>
      </c>
      <c r="M68" s="69">
        <f>AgeStanSec!N68/M$3</f>
        <v>256.56</v>
      </c>
      <c r="N68" s="69">
        <f>AgeStanSec!O68/N$3</f>
        <v>258.03333333333336</v>
      </c>
      <c r="O68" s="69">
        <f>AgeStanSec!P68/O$3</f>
        <v>260.78919303234983</v>
      </c>
      <c r="P68" s="69">
        <f>AgeStanSec!Q68/P$3</f>
        <v>265.06</v>
      </c>
      <c r="Q68" s="69">
        <f>AgeStanSec!R68/Q$3</f>
        <v>299.93587449296109</v>
      </c>
      <c r="R68" s="69">
        <f>AgeStanSec!S68/R$3</f>
        <v>332.97</v>
      </c>
      <c r="S68" s="69">
        <f>AgeStanSec!T68/S$3</f>
        <v>373.56</v>
      </c>
      <c r="T68" s="69">
        <f>AgeStanSec!U68/T$3</f>
        <v>381.50327089795593</v>
      </c>
      <c r="U68" s="69">
        <f>AgeStanSec!V68/U$3</f>
        <v>406.495</v>
      </c>
      <c r="V68" s="47"/>
    </row>
    <row r="69" spans="1:22">
      <c r="A69" s="68">
        <v>68</v>
      </c>
      <c r="B69" s="69">
        <f>AgeStanSec!C69/B$3</f>
        <v>245.6</v>
      </c>
      <c r="C69" s="69">
        <f>AgeStanSec!D69/C$3</f>
        <v>244.66666666666666</v>
      </c>
      <c r="D69" s="69">
        <f>AgeStanSec!E69/D$3</f>
        <v>244.66490694345023</v>
      </c>
      <c r="E69" s="69">
        <f>AgeStanSec!F69/E$3</f>
        <v>243.75</v>
      </c>
      <c r="F69" s="69">
        <f>AgeStanSec!G69/F$3</f>
        <v>244.07460431082475</v>
      </c>
      <c r="G69" s="69">
        <f>AgeStanSec!H69/G$3</f>
        <v>243</v>
      </c>
      <c r="H69" s="69">
        <f>AgeStanSec!I69/H$3</f>
        <v>246.33333333333334</v>
      </c>
      <c r="I69" s="69">
        <f>AgeStanSec!J69/I$3</f>
        <v>250.86666666666667</v>
      </c>
      <c r="J69" s="69">
        <f>AgeStanSec!K69/J$3</f>
        <v>252.58738964447625</v>
      </c>
      <c r="K69" s="69">
        <f>AgeStanSec!L69/K$3</f>
        <v>258.5</v>
      </c>
      <c r="L69" s="69">
        <f>AgeStanSec!M69/L$3</f>
        <v>259.50942054745821</v>
      </c>
      <c r="M69" s="69">
        <f>AgeStanSec!N69/M$3</f>
        <v>260.44</v>
      </c>
      <c r="N69" s="69">
        <f>AgeStanSec!O69/N$3</f>
        <v>262.03333333333336</v>
      </c>
      <c r="O69" s="69">
        <f>AgeStanSec!P69/O$3</f>
        <v>264.88920488209504</v>
      </c>
      <c r="P69" s="69">
        <f>AgeStanSec!Q69/P$3</f>
        <v>269.24</v>
      </c>
      <c r="Q69" s="69">
        <f>AgeStanSec!R69/Q$3</f>
        <v>304.67072297780959</v>
      </c>
      <c r="R69" s="69">
        <f>AgeStanSec!S69/R$3</f>
        <v>338.22</v>
      </c>
      <c r="S69" s="69">
        <f>AgeStanSec!T69/S$3</f>
        <v>379.45333333333332</v>
      </c>
      <c r="T69" s="69">
        <f>AgeStanSec!U69/T$3</f>
        <v>387.5243577507357</v>
      </c>
      <c r="U69" s="69">
        <f>AgeStanSec!V69/U$3</f>
        <v>412.90499999999997</v>
      </c>
      <c r="V69" s="47"/>
    </row>
    <row r="70" spans="1:22">
      <c r="A70" s="68">
        <v>69</v>
      </c>
      <c r="B70" s="69">
        <f>AgeStanSec!C70/B$3</f>
        <v>249</v>
      </c>
      <c r="C70" s="69">
        <f>AgeStanSec!D70/C$3</f>
        <v>248.33333333333334</v>
      </c>
      <c r="D70" s="69">
        <f>AgeStanSec!E70/D$3</f>
        <v>248.2377912988149</v>
      </c>
      <c r="E70" s="69">
        <f>AgeStanSec!F70/E$3</f>
        <v>247.375</v>
      </c>
      <c r="F70" s="69">
        <f>AgeStanSec!G70/F$3</f>
        <v>247.67855722580131</v>
      </c>
      <c r="G70" s="69">
        <f>AgeStanSec!H70/G$3</f>
        <v>246.7</v>
      </c>
      <c r="H70" s="69">
        <f>AgeStanSec!I70/H$3</f>
        <v>250.08333333333334</v>
      </c>
      <c r="I70" s="69">
        <f>AgeStanSec!J70/I$3</f>
        <v>254.66666666666666</v>
      </c>
      <c r="J70" s="69">
        <f>AgeStanSec!K70/J$3</f>
        <v>256.37775391712398</v>
      </c>
      <c r="K70" s="69">
        <f>AgeStanSec!L70/K$3</f>
        <v>262.45</v>
      </c>
      <c r="L70" s="69">
        <f>AgeStanSec!M70/L$3</f>
        <v>263.4909349448987</v>
      </c>
      <c r="M70" s="69">
        <f>AgeStanSec!N70/M$3</f>
        <v>264.52</v>
      </c>
      <c r="N70" s="69">
        <f>AgeStanSec!O70/N$3</f>
        <v>266.13333333333333</v>
      </c>
      <c r="O70" s="69">
        <f>AgeStanSec!P70/O$3</f>
        <v>269.13141367460599</v>
      </c>
      <c r="P70" s="69">
        <f>AgeStanSec!Q70/P$3</f>
        <v>273.56</v>
      </c>
      <c r="Q70" s="69">
        <f>AgeStanSec!R70/Q$3</f>
        <v>309.55470054879504</v>
      </c>
      <c r="R70" s="69">
        <f>AgeStanSec!S70/R$3</f>
        <v>343.64</v>
      </c>
      <c r="S70" s="69">
        <f>AgeStanSec!T70/S$3</f>
        <v>385.53333333333336</v>
      </c>
      <c r="T70" s="69">
        <f>AgeStanSec!U70/T$3</f>
        <v>393.73185596118662</v>
      </c>
      <c r="U70" s="69">
        <f>AgeStanSec!V70/U$3</f>
        <v>419.52</v>
      </c>
      <c r="V70" s="47"/>
    </row>
    <row r="71" spans="1:22">
      <c r="A71" s="70">
        <v>70</v>
      </c>
      <c r="B71" s="71">
        <f>AgeStanSec!C71/B$3</f>
        <v>252.6</v>
      </c>
      <c r="C71" s="71">
        <f>AgeStanSec!D71/C$3</f>
        <v>251.83333333333334</v>
      </c>
      <c r="D71" s="71">
        <f>AgeStanSec!E71/D$3</f>
        <v>251.81067565417956</v>
      </c>
      <c r="E71" s="71">
        <f>AgeStanSec!F71/E$3</f>
        <v>251</v>
      </c>
      <c r="F71" s="71">
        <f>AgeStanSec!G71/F$3</f>
        <v>251.28251014077784</v>
      </c>
      <c r="G71" s="71">
        <f>AgeStanSec!H71/G$3</f>
        <v>250.4</v>
      </c>
      <c r="H71" s="71">
        <f>AgeStanSec!I71/H$3</f>
        <v>253.83333333333334</v>
      </c>
      <c r="I71" s="71">
        <f>AgeStanSec!J71/I$3</f>
        <v>258.60000000000002</v>
      </c>
      <c r="J71" s="71">
        <f>AgeStanSec!K71/J$3</f>
        <v>260.35452954744289</v>
      </c>
      <c r="K71" s="71">
        <f>AgeStanSec!L71/K$3</f>
        <v>266.5</v>
      </c>
      <c r="L71" s="71">
        <f>AgeStanSec!M71/L$3</f>
        <v>267.51984832326104</v>
      </c>
      <c r="M71" s="71">
        <f>AgeStanSec!N71/M$3</f>
        <v>268.60000000000002</v>
      </c>
      <c r="N71" s="71">
        <f>AgeStanSec!O71/N$3</f>
        <v>270.33333333333331</v>
      </c>
      <c r="O71" s="71">
        <f>AgeStanSec!P71/O$3</f>
        <v>273.51581940988268</v>
      </c>
      <c r="P71" s="71">
        <f>AgeStanSec!Q71/P$3</f>
        <v>278.02</v>
      </c>
      <c r="Q71" s="71">
        <f>AgeStanSec!R71/Q$3</f>
        <v>314.60023462976216</v>
      </c>
      <c r="R71" s="71">
        <f>AgeStanSec!S71/R$3</f>
        <v>349.24</v>
      </c>
      <c r="S71" s="71">
        <f>AgeStanSec!T71/S$3</f>
        <v>391.80666666666667</v>
      </c>
      <c r="T71" s="71">
        <f>AgeStanSec!U71/T$3</f>
        <v>400.14440666507591</v>
      </c>
      <c r="U71" s="71">
        <f>AgeStanSec!V71/U$3</f>
        <v>426.35</v>
      </c>
      <c r="V71" s="47"/>
    </row>
    <row r="72" spans="1:22">
      <c r="A72" s="68">
        <v>71</v>
      </c>
      <c r="B72" s="69">
        <f>AgeStanSec!C72/B$3</f>
        <v>256.39999999999998</v>
      </c>
      <c r="C72" s="69">
        <f>AgeStanSec!D72/C$3</f>
        <v>255.66666666666666</v>
      </c>
      <c r="D72" s="69">
        <f>AgeStanSec!E72/D$3</f>
        <v>255.6942456056629</v>
      </c>
      <c r="E72" s="69">
        <f>AgeStanSec!F72/E$3</f>
        <v>254.875</v>
      </c>
      <c r="F72" s="69">
        <f>AgeStanSec!G72/F$3</f>
        <v>255.13501153264932</v>
      </c>
      <c r="G72" s="69">
        <f>AgeStanSec!H72/G$3</f>
        <v>254.3</v>
      </c>
      <c r="H72" s="69">
        <f>AgeStanSec!I72/H$3</f>
        <v>257.83333333333331</v>
      </c>
      <c r="I72" s="69">
        <f>AgeStanSec!J72/I$3</f>
        <v>262.60000000000002</v>
      </c>
      <c r="J72" s="69">
        <f>AgeStanSec!K72/J$3</f>
        <v>264.45557941620933</v>
      </c>
      <c r="K72" s="69">
        <f>AgeStanSec!L72/K$3</f>
        <v>270.7</v>
      </c>
      <c r="L72" s="69">
        <f>AgeStanSec!M72/L$3</f>
        <v>271.73835762531104</v>
      </c>
      <c r="M72" s="69">
        <f>AgeStanSec!N72/M$3</f>
        <v>272.92</v>
      </c>
      <c r="N72" s="69">
        <f>AgeStanSec!O72/N$3</f>
        <v>274.7</v>
      </c>
      <c r="O72" s="69">
        <f>AgeStanSec!P72/O$3</f>
        <v>278.0424220879251</v>
      </c>
      <c r="P72" s="69">
        <f>AgeStanSec!Q72/P$3</f>
        <v>282.62</v>
      </c>
      <c r="Q72" s="69">
        <f>AgeStanSec!R72/Q$3</f>
        <v>319.80732522071105</v>
      </c>
      <c r="R72" s="69">
        <f>AgeStanSec!S72/R$3</f>
        <v>355.02</v>
      </c>
      <c r="S72" s="69">
        <f>AgeStanSec!T72/S$3</f>
        <v>398.29333333333335</v>
      </c>
      <c r="T72" s="69">
        <f>AgeStanSec!U72/T$3</f>
        <v>406.76822357432593</v>
      </c>
      <c r="U72" s="69">
        <f>AgeStanSec!V72/U$3</f>
        <v>433.41</v>
      </c>
      <c r="V72" s="47"/>
    </row>
    <row r="73" spans="1:22">
      <c r="A73" s="68">
        <v>72</v>
      </c>
      <c r="B73" s="69">
        <f>AgeStanSec!C73/B$3</f>
        <v>260.2</v>
      </c>
      <c r="C73" s="69">
        <f>AgeStanSec!D73/C$3</f>
        <v>259.5</v>
      </c>
      <c r="D73" s="69">
        <f>AgeStanSec!E73/D$3</f>
        <v>259.42247275908693</v>
      </c>
      <c r="E73" s="69">
        <f>AgeStanSec!F73/E$3</f>
        <v>258.75</v>
      </c>
      <c r="F73" s="69">
        <f>AgeStanSec!G73/F$3</f>
        <v>259.11178716296826</v>
      </c>
      <c r="G73" s="69">
        <f>AgeStanSec!H73/G$3</f>
        <v>258.3</v>
      </c>
      <c r="H73" s="69">
        <f>AgeStanSec!I73/H$3</f>
        <v>261.83333333333331</v>
      </c>
      <c r="I73" s="69">
        <f>AgeStanSec!J73/I$3</f>
        <v>266.8</v>
      </c>
      <c r="J73" s="69">
        <f>AgeStanSec!K73/J$3</f>
        <v>268.61876640419945</v>
      </c>
      <c r="K73" s="69">
        <f>AgeStanSec!L73/K$3</f>
        <v>275</v>
      </c>
      <c r="L73" s="69">
        <f>AgeStanSec!M73/L$3</f>
        <v>276.09906387012677</v>
      </c>
      <c r="M73" s="69">
        <f>AgeStanSec!N73/M$3</f>
        <v>277.36</v>
      </c>
      <c r="N73" s="69">
        <f>AgeStanSec!O73/N$3</f>
        <v>279.23333333333335</v>
      </c>
      <c r="O73" s="69">
        <f>AgeStanSec!P73/O$3</f>
        <v>282.73492119919422</v>
      </c>
      <c r="P73" s="69">
        <f>AgeStanSec!Q73/P$3</f>
        <v>287.38</v>
      </c>
      <c r="Q73" s="69">
        <f>AgeStanSec!R73/Q$3</f>
        <v>325.18839974548632</v>
      </c>
      <c r="R73" s="69">
        <f>AgeStanSec!S73/R$3</f>
        <v>360.99</v>
      </c>
      <c r="S73" s="69">
        <f>AgeStanSec!T73/S$3</f>
        <v>405</v>
      </c>
      <c r="T73" s="69">
        <f>AgeStanSec!U73/T$3</f>
        <v>413.61573411278135</v>
      </c>
      <c r="U73" s="69">
        <f>AgeStanSec!V73/U$3</f>
        <v>440.70499999999998</v>
      </c>
      <c r="V73" s="47"/>
    </row>
    <row r="74" spans="1:22">
      <c r="A74" s="68">
        <v>73</v>
      </c>
      <c r="B74" s="69">
        <f>AgeStanSec!C74/B$3</f>
        <v>264</v>
      </c>
      <c r="C74" s="69">
        <f>AgeStanSec!D74/C$3</f>
        <v>263.33333333333331</v>
      </c>
      <c r="D74" s="69">
        <f>AgeStanSec!E74/D$3</f>
        <v>263.46138550862958</v>
      </c>
      <c r="E74" s="69">
        <f>AgeStanSec!F74/E$3</f>
        <v>262.75</v>
      </c>
      <c r="F74" s="69">
        <f>AgeStanSec!G74/F$3</f>
        <v>263.08856279328717</v>
      </c>
      <c r="G74" s="69">
        <f>AgeStanSec!H74/G$3</f>
        <v>262.39999999999998</v>
      </c>
      <c r="H74" s="69">
        <f>AgeStanSec!I74/H$3</f>
        <v>266.08333333333331</v>
      </c>
      <c r="I74" s="69">
        <f>AgeStanSec!J74/I$3</f>
        <v>271.06666666666666</v>
      </c>
      <c r="J74" s="69">
        <f>AgeStanSec!K74/J$3</f>
        <v>272.96836474986077</v>
      </c>
      <c r="K74" s="69">
        <f>AgeStanSec!L74/K$3</f>
        <v>279.45</v>
      </c>
      <c r="L74" s="69">
        <f>AgeStanSec!M74/L$3</f>
        <v>280.60196705770824</v>
      </c>
      <c r="M74" s="69">
        <f>AgeStanSec!N74/M$3</f>
        <v>281.92</v>
      </c>
      <c r="N74" s="69">
        <f>AgeStanSec!O74/N$3</f>
        <v>283.89999999999998</v>
      </c>
      <c r="O74" s="69">
        <f>AgeStanSec!P74/O$3</f>
        <v>287.56961725322907</v>
      </c>
      <c r="P74" s="69">
        <f>AgeStanSec!Q74/P$3</f>
        <v>292.3</v>
      </c>
      <c r="Q74" s="69">
        <f>AgeStanSec!R74/Q$3</f>
        <v>330.75588562793286</v>
      </c>
      <c r="R74" s="69">
        <f>AgeStanSec!S74/R$3</f>
        <v>367.18</v>
      </c>
      <c r="S74" s="69">
        <f>AgeStanSec!T74/S$3</f>
        <v>411.93333333333334</v>
      </c>
      <c r="T74" s="69">
        <f>AgeStanSec!U74/T$3</f>
        <v>420.69315199236456</v>
      </c>
      <c r="U74" s="69">
        <f>AgeStanSec!V74/U$3</f>
        <v>448.25</v>
      </c>
      <c r="V74" s="47"/>
    </row>
    <row r="75" spans="1:22">
      <c r="A75" s="68">
        <v>74</v>
      </c>
      <c r="B75" s="69">
        <f>AgeStanSec!C75/B$3</f>
        <v>268</v>
      </c>
      <c r="C75" s="69">
        <f>AgeStanSec!D75/C$3</f>
        <v>267.5</v>
      </c>
      <c r="D75" s="69">
        <f>AgeStanSec!E75/D$3</f>
        <v>267.65564105623162</v>
      </c>
      <c r="E75" s="69">
        <f>AgeStanSec!F75/E$3</f>
        <v>267</v>
      </c>
      <c r="F75" s="69">
        <f>AgeStanSec!G75/F$3</f>
        <v>267.31388690050107</v>
      </c>
      <c r="G75" s="69">
        <f>AgeStanSec!H75/G$3</f>
        <v>266.7</v>
      </c>
      <c r="H75" s="69">
        <f>AgeStanSec!I75/H$3</f>
        <v>270.41666666666669</v>
      </c>
      <c r="I75" s="69">
        <f>AgeStanSec!J75/I$3</f>
        <v>275.46666666666664</v>
      </c>
      <c r="J75" s="69">
        <f>AgeStanSec!K75/J$3</f>
        <v>277.44223733396962</v>
      </c>
      <c r="K75" s="69">
        <f>AgeStanSec!L75/K$3</f>
        <v>284.05</v>
      </c>
      <c r="L75" s="69">
        <f>AgeStanSec!M75/L$3</f>
        <v>285.19966820713353</v>
      </c>
      <c r="M75" s="69">
        <f>AgeStanSec!N75/M$3</f>
        <v>286.64</v>
      </c>
      <c r="N75" s="69">
        <f>AgeStanSec!O75/N$3</f>
        <v>288.73333333333335</v>
      </c>
      <c r="O75" s="69">
        <f>AgeStanSec!P75/O$3</f>
        <v>292.57020974049055</v>
      </c>
      <c r="P75" s="69">
        <f>AgeStanSec!Q75/P$3</f>
        <v>297.38</v>
      </c>
      <c r="Q75" s="69">
        <f>AgeStanSec!R75/Q$3</f>
        <v>336.50978286805054</v>
      </c>
      <c r="R75" s="69">
        <f>AgeStanSec!S75/R$3</f>
        <v>373.57</v>
      </c>
      <c r="S75" s="69">
        <f>AgeStanSec!T75/S$3</f>
        <v>419.10666666666668</v>
      </c>
      <c r="T75" s="69">
        <f>AgeStanSec!U75/T$3</f>
        <v>428.02533206076509</v>
      </c>
      <c r="U75" s="69">
        <f>AgeStanSec!V75/U$3</f>
        <v>456.05500000000001</v>
      </c>
      <c r="V75" s="47"/>
    </row>
    <row r="76" spans="1:22">
      <c r="A76" s="70">
        <v>75</v>
      </c>
      <c r="B76" s="71">
        <f>AgeStanSec!C76/B$3</f>
        <v>272.2</v>
      </c>
      <c r="C76" s="71">
        <f>AgeStanSec!D76/C$3</f>
        <v>271.66666666666669</v>
      </c>
      <c r="D76" s="71">
        <f>AgeStanSec!E76/D$3</f>
        <v>271.8498966038336</v>
      </c>
      <c r="E76" s="71">
        <f>AgeStanSec!F76/E$3</f>
        <v>271.25</v>
      </c>
      <c r="F76" s="71">
        <f>AgeStanSec!G76/F$3</f>
        <v>271.6634852461624</v>
      </c>
      <c r="G76" s="71">
        <f>AgeStanSec!H76/G$3</f>
        <v>271.10000000000002</v>
      </c>
      <c r="H76" s="71">
        <f>AgeStanSec!I76/H$3</f>
        <v>274.91666666666669</v>
      </c>
      <c r="I76" s="71">
        <f>AgeStanSec!J76/I$3</f>
        <v>280.13333333333333</v>
      </c>
      <c r="J76" s="71">
        <f>AgeStanSec!K76/J$3</f>
        <v>282.10252127574961</v>
      </c>
      <c r="K76" s="71">
        <f>AgeStanSec!L76/K$3</f>
        <v>288.89999999999998</v>
      </c>
      <c r="L76" s="71">
        <f>AgeStanSec!M76/L$3</f>
        <v>289.98696528024647</v>
      </c>
      <c r="M76" s="71">
        <f>AgeStanSec!N76/M$3</f>
        <v>291.48</v>
      </c>
      <c r="N76" s="71">
        <f>AgeStanSec!O76/N$3</f>
        <v>293.73333333333335</v>
      </c>
      <c r="O76" s="71">
        <f>AgeStanSec!P76/O$3</f>
        <v>297.76039815143974</v>
      </c>
      <c r="P76" s="71">
        <f>AgeStanSec!Q76/P$3</f>
        <v>302.66000000000003</v>
      </c>
      <c r="Q76" s="71">
        <f>AgeStanSec!R76/Q$3</f>
        <v>342.47494631352896</v>
      </c>
      <c r="R76" s="71">
        <f>AgeStanSec!S76/R$3</f>
        <v>380.19</v>
      </c>
      <c r="S76" s="71">
        <f>AgeStanSec!T76/S$3</f>
        <v>426.54</v>
      </c>
      <c r="T76" s="71">
        <f>AgeStanSec!U76/T$3</f>
        <v>435.61227431798295</v>
      </c>
      <c r="U76" s="71">
        <f>AgeStanSec!V76/U$3</f>
        <v>464.14</v>
      </c>
      <c r="V76" s="47"/>
    </row>
    <row r="77" spans="1:22">
      <c r="A77" s="68">
        <v>76</v>
      </c>
      <c r="B77" s="69">
        <f>AgeStanSec!C77/B$3</f>
        <v>276.60000000000002</v>
      </c>
      <c r="C77" s="69">
        <f>AgeStanSec!D77/C$3</f>
        <v>276.16666666666669</v>
      </c>
      <c r="D77" s="69">
        <f>AgeStanSec!E77/D$3</f>
        <v>276.19949494949492</v>
      </c>
      <c r="E77" s="69">
        <f>AgeStanSec!F77/E$3</f>
        <v>275.75</v>
      </c>
      <c r="F77" s="69">
        <f>AgeStanSec!G77/F$3</f>
        <v>276.13735783027118</v>
      </c>
      <c r="G77" s="69">
        <f>AgeStanSec!H77/G$3</f>
        <v>275.60000000000002</v>
      </c>
      <c r="H77" s="69">
        <f>AgeStanSec!I77/H$3</f>
        <v>279.58333333333331</v>
      </c>
      <c r="I77" s="69">
        <f>AgeStanSec!J77/I$3</f>
        <v>284.86666666666667</v>
      </c>
      <c r="J77" s="69">
        <f>AgeStanSec!K77/J$3</f>
        <v>286.94921657520081</v>
      </c>
      <c r="K77" s="69">
        <f>AgeStanSec!L77/K$3</f>
        <v>293.89999999999998</v>
      </c>
      <c r="L77" s="69">
        <f>AgeStanSec!M77/L$3</f>
        <v>295.05865623889088</v>
      </c>
      <c r="M77" s="69">
        <f>AgeStanSec!N77/M$3</f>
        <v>296.64</v>
      </c>
      <c r="N77" s="69">
        <f>AgeStanSec!O77/N$3</f>
        <v>298.93333333333334</v>
      </c>
      <c r="O77" s="69">
        <f>AgeStanSec!P77/O$3</f>
        <v>303.18758146699844</v>
      </c>
      <c r="P77" s="69">
        <f>AgeStanSec!Q77/P$3</f>
        <v>308.18</v>
      </c>
      <c r="Q77" s="69">
        <f>AgeStanSec!R77/Q$3</f>
        <v>348.71351308359181</v>
      </c>
      <c r="R77" s="69">
        <f>AgeStanSec!S77/R$3</f>
        <v>387.12</v>
      </c>
      <c r="S77" s="69">
        <f>AgeStanSec!T77/S$3</f>
        <v>434.30666666666667</v>
      </c>
      <c r="T77" s="69">
        <f>AgeStanSec!U77/T$3</f>
        <v>443.54718444285368</v>
      </c>
      <c r="U77" s="69">
        <f>AgeStanSec!V77/U$3</f>
        <v>472.59500000000003</v>
      </c>
      <c r="V77" s="47"/>
    </row>
    <row r="78" spans="1:22">
      <c r="A78" s="68">
        <v>77</v>
      </c>
      <c r="B78" s="69">
        <f>AgeStanSec!C78/B$3</f>
        <v>281</v>
      </c>
      <c r="C78" s="69">
        <f>AgeStanSec!D78/C$3</f>
        <v>280.66666666666669</v>
      </c>
      <c r="D78" s="69">
        <f>AgeStanSec!E78/D$3</f>
        <v>280.70443609321558</v>
      </c>
      <c r="E78" s="69">
        <f>AgeStanSec!F78/E$3</f>
        <v>280.375</v>
      </c>
      <c r="F78" s="69">
        <f>AgeStanSec!G78/F$3</f>
        <v>280.73550465282744</v>
      </c>
      <c r="G78" s="69">
        <f>AgeStanSec!H78/G$3</f>
        <v>280.3</v>
      </c>
      <c r="H78" s="69">
        <f>AgeStanSec!I78/H$3</f>
        <v>284.5</v>
      </c>
      <c r="I78" s="69">
        <f>AgeStanSec!J78/I$3</f>
        <v>290.06666666666666</v>
      </c>
      <c r="J78" s="69">
        <f>AgeStanSec!K78/J$3</f>
        <v>292.23087170921815</v>
      </c>
      <c r="K78" s="69">
        <f>AgeStanSec!L78/K$3</f>
        <v>299.5</v>
      </c>
      <c r="L78" s="69">
        <f>AgeStanSec!M78/L$3</f>
        <v>300.74653394952009</v>
      </c>
      <c r="M78" s="69">
        <f>AgeStanSec!N78/M$3</f>
        <v>302.39999999999998</v>
      </c>
      <c r="N78" s="69">
        <f>AgeStanSec!O78/N$3</f>
        <v>304.86666666666667</v>
      </c>
      <c r="O78" s="69">
        <f>AgeStanSec!P78/O$3</f>
        <v>309.32574949638581</v>
      </c>
      <c r="P78" s="69">
        <f>AgeStanSec!Q78/P$3</f>
        <v>314.42</v>
      </c>
      <c r="Q78" s="69">
        <f>AgeStanSec!R78/Q$3</f>
        <v>355.78471725125269</v>
      </c>
      <c r="R78" s="69">
        <f>AgeStanSec!S78/R$3</f>
        <v>394.96</v>
      </c>
      <c r="S78" s="69">
        <f>AgeStanSec!T78/S$3</f>
        <v>443.10666666666668</v>
      </c>
      <c r="T78" s="69">
        <f>AgeStanSec!U78/T$3</f>
        <v>452.53221188260557</v>
      </c>
      <c r="U78" s="69">
        <f>AgeStanSec!V78/U$3</f>
        <v>482.17</v>
      </c>
      <c r="V78" s="47"/>
    </row>
    <row r="79" spans="1:22">
      <c r="A79" s="68">
        <v>78</v>
      </c>
      <c r="B79" s="69">
        <f>AgeStanSec!C79/B$3</f>
        <v>285.8</v>
      </c>
      <c r="C79" s="69">
        <f>AgeStanSec!D79/C$3</f>
        <v>285.5</v>
      </c>
      <c r="D79" s="69">
        <f>AgeStanSec!E79/D$3</f>
        <v>285.6754056311143</v>
      </c>
      <c r="E79" s="69">
        <f>AgeStanSec!F79/E$3</f>
        <v>285.5</v>
      </c>
      <c r="F79" s="69">
        <f>AgeStanSec!G79/F$3</f>
        <v>285.95502266762105</v>
      </c>
      <c r="G79" s="69">
        <f>AgeStanSec!H79/G$3</f>
        <v>285.60000000000002</v>
      </c>
      <c r="H79" s="69">
        <f>AgeStanSec!I79/H$3</f>
        <v>290</v>
      </c>
      <c r="I79" s="69">
        <f>AgeStanSec!J79/I$3</f>
        <v>295.93333333333334</v>
      </c>
      <c r="J79" s="69">
        <f>AgeStanSec!K79/J$3</f>
        <v>298.13389803547284</v>
      </c>
      <c r="K79" s="69">
        <f>AgeStanSec!L79/K$3</f>
        <v>305.75</v>
      </c>
      <c r="L79" s="69">
        <f>AgeStanSec!M79/L$3</f>
        <v>307.09799739305606</v>
      </c>
      <c r="M79" s="69">
        <f>AgeStanSec!N79/M$3</f>
        <v>308.92</v>
      </c>
      <c r="N79" s="69">
        <f>AgeStanSec!O79/N$3</f>
        <v>311.5</v>
      </c>
      <c r="O79" s="69">
        <f>AgeStanSec!P79/O$3</f>
        <v>316.3170991823676</v>
      </c>
      <c r="P79" s="69">
        <f>AgeStanSec!Q79/P$3</f>
        <v>321.52</v>
      </c>
      <c r="Q79" s="69">
        <f>AgeStanSec!R79/Q$3</f>
        <v>363.82526047880378</v>
      </c>
      <c r="R79" s="69">
        <f>AgeStanSec!S79/R$3</f>
        <v>403.89</v>
      </c>
      <c r="S79" s="69">
        <f>AgeStanSec!T79/S$3</f>
        <v>453.12</v>
      </c>
      <c r="T79" s="69">
        <f>AgeStanSec!U79/T$3</f>
        <v>462.75998170683209</v>
      </c>
      <c r="U79" s="69">
        <f>AgeStanSec!V79/U$3</f>
        <v>493.065</v>
      </c>
      <c r="V79" s="47"/>
    </row>
    <row r="80" spans="1:22">
      <c r="A80" s="68">
        <v>79</v>
      </c>
      <c r="B80" s="69">
        <f>AgeStanSec!C80/B$3</f>
        <v>291</v>
      </c>
      <c r="C80" s="69">
        <f>AgeStanSec!D80/C$3</f>
        <v>291</v>
      </c>
      <c r="D80" s="69">
        <f>AgeStanSec!E80/D$3</f>
        <v>291.26774636125026</v>
      </c>
      <c r="E80" s="69">
        <f>AgeStanSec!F80/E$3</f>
        <v>291.25</v>
      </c>
      <c r="F80" s="69">
        <f>AgeStanSec!G80/F$3</f>
        <v>291.67163763620454</v>
      </c>
      <c r="G80" s="69">
        <f>AgeStanSec!H80/G$3</f>
        <v>291.60000000000002</v>
      </c>
      <c r="H80" s="69">
        <f>AgeStanSec!I80/H$3</f>
        <v>296.16666666666669</v>
      </c>
      <c r="I80" s="69">
        <f>AgeStanSec!J80/I$3</f>
        <v>302.39999999999998</v>
      </c>
      <c r="J80" s="69">
        <f>AgeStanSec!K80/J$3</f>
        <v>304.72043267318855</v>
      </c>
      <c r="K80" s="69">
        <f>AgeStanSec!L80/K$3</f>
        <v>312.7</v>
      </c>
      <c r="L80" s="69">
        <f>AgeStanSec!M80/L$3</f>
        <v>314.11304656949875</v>
      </c>
      <c r="M80" s="69">
        <f>AgeStanSec!N80/M$3</f>
        <v>316.16000000000003</v>
      </c>
      <c r="N80" s="69">
        <f>AgeStanSec!O80/N$3</f>
        <v>319</v>
      </c>
      <c r="O80" s="69">
        <f>AgeStanSec!P80/O$3</f>
        <v>324.25642848678751</v>
      </c>
      <c r="P80" s="69">
        <f>AgeStanSec!Q80/P$3</f>
        <v>329.58</v>
      </c>
      <c r="Q80" s="69">
        <f>AgeStanSec!R80/Q$3</f>
        <v>372.95941700469257</v>
      </c>
      <c r="R80" s="69">
        <f>AgeStanSec!S80/R$3</f>
        <v>414.02</v>
      </c>
      <c r="S80" s="69">
        <f>AgeStanSec!T80/S$3</f>
        <v>464.49333333333334</v>
      </c>
      <c r="T80" s="69">
        <f>AgeStanSec!U80/T$3</f>
        <v>474.37340928974783</v>
      </c>
      <c r="U80" s="69">
        <f>AgeStanSec!V80/U$3</f>
        <v>505.44</v>
      </c>
      <c r="V80" s="47"/>
    </row>
    <row r="81" spans="1:22">
      <c r="A81" s="70">
        <v>80</v>
      </c>
      <c r="B81" s="71">
        <f>AgeStanSec!C81/B$3</f>
        <v>297</v>
      </c>
      <c r="C81" s="71">
        <f>AgeStanSec!D81/C$3</f>
        <v>297</v>
      </c>
      <c r="D81" s="71">
        <f>AgeStanSec!E81/D$3</f>
        <v>297.48145828362362</v>
      </c>
      <c r="E81" s="71">
        <f>AgeStanSec!F81/E$3</f>
        <v>297.75</v>
      </c>
      <c r="F81" s="71">
        <f>AgeStanSec!G81/F$3</f>
        <v>298.13389803547284</v>
      </c>
      <c r="G81" s="71">
        <f>AgeStanSec!H81/G$3</f>
        <v>298.3</v>
      </c>
      <c r="H81" s="71">
        <f>AgeStanSec!I81/H$3</f>
        <v>301.75</v>
      </c>
      <c r="I81" s="71">
        <f>AgeStanSec!J81/I$3</f>
        <v>309.66666666666669</v>
      </c>
      <c r="J81" s="71">
        <f>AgeStanSec!K81/J$3</f>
        <v>312.11474986081282</v>
      </c>
      <c r="K81" s="71">
        <f>AgeStanSec!L81/K$3</f>
        <v>320.39999999999998</v>
      </c>
      <c r="L81" s="71">
        <f>AgeStanSec!M81/L$3</f>
        <v>321.93387842161394</v>
      </c>
      <c r="M81" s="71">
        <f>AgeStanSec!N81/M$3</f>
        <v>324.2</v>
      </c>
      <c r="N81" s="71">
        <f>AgeStanSec!O81/N$3</f>
        <v>327.39999999999998</v>
      </c>
      <c r="O81" s="71">
        <f>AgeStanSec!P81/O$3</f>
        <v>333.26223486195045</v>
      </c>
      <c r="P81" s="71">
        <f>AgeStanSec!Q81/P$3</f>
        <v>338.74</v>
      </c>
      <c r="Q81" s="71">
        <f>AgeStanSec!R81/Q$3</f>
        <v>383.31146106736657</v>
      </c>
      <c r="R81" s="71">
        <f>AgeStanSec!S81/R$3</f>
        <v>425.52</v>
      </c>
      <c r="S81" s="71">
        <f>AgeStanSec!T81/S$3</f>
        <v>477.39333333333332</v>
      </c>
      <c r="T81" s="71">
        <f>AgeStanSec!U81/T$3</f>
        <v>487.54647856517931</v>
      </c>
      <c r="U81" s="71">
        <f>AgeStanSec!V81/U$3</f>
        <v>519.48</v>
      </c>
      <c r="V81" s="47"/>
    </row>
    <row r="82" spans="1:22">
      <c r="A82" s="68">
        <v>81</v>
      </c>
      <c r="B82" s="69">
        <f>AgeStanSec!C82/B$3</f>
        <v>303.60000000000002</v>
      </c>
      <c r="C82" s="69">
        <f>AgeStanSec!D82/C$3</f>
        <v>304</v>
      </c>
      <c r="D82" s="69">
        <f>AgeStanSec!E82/D$3</f>
        <v>304.47188419629362</v>
      </c>
      <c r="E82" s="69">
        <f>AgeStanSec!F82/E$3</f>
        <v>305</v>
      </c>
      <c r="F82" s="69">
        <f>AgeStanSec!G82/F$3</f>
        <v>305.3418038654259</v>
      </c>
      <c r="G82" s="69">
        <f>AgeStanSec!H82/G$3</f>
        <v>305.89999999999998</v>
      </c>
      <c r="H82" s="69">
        <f>AgeStanSec!I82/H$3</f>
        <v>310.91666666666669</v>
      </c>
      <c r="I82" s="69">
        <f>AgeStanSec!J82/I$3</f>
        <v>317.8</v>
      </c>
      <c r="J82" s="69">
        <f>AgeStanSec!K82/J$3</f>
        <v>320.37898671756938</v>
      </c>
      <c r="K82" s="69">
        <f>AgeStanSec!L82/K$3</f>
        <v>329.1</v>
      </c>
      <c r="L82" s="69">
        <f>AgeStanSec!M82/L$3</f>
        <v>330.6552909112454</v>
      </c>
      <c r="M82" s="69">
        <f>AgeStanSec!N82/M$3</f>
        <v>333.32</v>
      </c>
      <c r="N82" s="69">
        <f>AgeStanSec!O82/N$3</f>
        <v>336.86666666666667</v>
      </c>
      <c r="O82" s="69">
        <f>AgeStanSec!P82/O$3</f>
        <v>343.47671525062214</v>
      </c>
      <c r="P82" s="69">
        <f>AgeStanSec!Q82/P$3</f>
        <v>349.14</v>
      </c>
      <c r="Q82" s="69">
        <f>AgeStanSec!R82/Q$3</f>
        <v>395.06780402449692</v>
      </c>
      <c r="R82" s="69">
        <f>AgeStanSec!S82/R$3</f>
        <v>438.58</v>
      </c>
      <c r="S82" s="69">
        <f>AgeStanSec!T82/S$3</f>
        <v>492.04</v>
      </c>
      <c r="T82" s="69">
        <f>AgeStanSec!U82/T$3</f>
        <v>502.50288316233195</v>
      </c>
      <c r="U82" s="69">
        <f>AgeStanSec!V82/U$3</f>
        <v>535.41499999999996</v>
      </c>
      <c r="V82" s="47"/>
    </row>
    <row r="83" spans="1:22">
      <c r="A83" s="68">
        <v>82</v>
      </c>
      <c r="B83" s="69">
        <f>AgeStanSec!C83/B$3</f>
        <v>311</v>
      </c>
      <c r="C83" s="69">
        <f>AgeStanSec!D83/C$3</f>
        <v>311.66666666666669</v>
      </c>
      <c r="D83" s="69">
        <f>AgeStanSec!E83/D$3</f>
        <v>312.23902409926029</v>
      </c>
      <c r="E83" s="69">
        <f>AgeStanSec!F83/E$3</f>
        <v>313.125</v>
      </c>
      <c r="F83" s="69">
        <f>AgeStanSec!G83/F$3</f>
        <v>313.66817784140619</v>
      </c>
      <c r="G83" s="69">
        <f>AgeStanSec!H83/G$3</f>
        <v>314.39999999999998</v>
      </c>
      <c r="H83" s="69">
        <f>AgeStanSec!I83/H$3</f>
        <v>319.75</v>
      </c>
      <c r="I83" s="69">
        <f>AgeStanSec!J83/I$3</f>
        <v>326.93333333333334</v>
      </c>
      <c r="J83" s="69">
        <f>AgeStanSec!K83/J$3</f>
        <v>329.57528036268189</v>
      </c>
      <c r="K83" s="69">
        <f>AgeStanSec!L83/K$3</f>
        <v>338.7</v>
      </c>
      <c r="L83" s="69">
        <f>AgeStanSec!M83/L$3</f>
        <v>340.37208200023701</v>
      </c>
      <c r="M83" s="69">
        <f>AgeStanSec!N83/M$3</f>
        <v>343.44</v>
      </c>
      <c r="N83" s="69">
        <f>AgeStanSec!O83/N$3</f>
        <v>347.5</v>
      </c>
      <c r="O83" s="69">
        <f>AgeStanSec!P83/O$3</f>
        <v>355.11316506695107</v>
      </c>
      <c r="P83" s="69">
        <f>AgeStanSec!Q83/P$3</f>
        <v>360.94</v>
      </c>
      <c r="Q83" s="69">
        <f>AgeStanSec!R83/Q$3</f>
        <v>408.43971208144433</v>
      </c>
      <c r="R83" s="69">
        <f>AgeStanSec!S83/R$3</f>
        <v>453.41</v>
      </c>
      <c r="S83" s="69">
        <f>AgeStanSec!T83/S$3</f>
        <v>508.68</v>
      </c>
      <c r="T83" s="69">
        <f>AgeStanSec!U83/T$3</f>
        <v>519.5035989819454</v>
      </c>
      <c r="U83" s="69">
        <f>AgeStanSec!V83/U$3</f>
        <v>553.52499999999998</v>
      </c>
      <c r="V83" s="47"/>
    </row>
    <row r="84" spans="1:22">
      <c r="A84" s="68">
        <v>83</v>
      </c>
      <c r="B84" s="69">
        <f>AgeStanSec!C84/B$3</f>
        <v>319.2</v>
      </c>
      <c r="C84" s="69">
        <f>AgeStanSec!D84/C$3</f>
        <v>320.16666666666669</v>
      </c>
      <c r="D84" s="69">
        <f>AgeStanSec!E84/D$3</f>
        <v>320.93822079058299</v>
      </c>
      <c r="E84" s="69">
        <f>AgeStanSec!F84/E$3</f>
        <v>322.375</v>
      </c>
      <c r="F84" s="69">
        <f>AgeStanSec!G84/F$3</f>
        <v>322.86447148651871</v>
      </c>
      <c r="G84" s="69">
        <f>AgeStanSec!H84/G$3</f>
        <v>324.10000000000002</v>
      </c>
      <c r="H84" s="69">
        <f>AgeStanSec!I84/H$3</f>
        <v>329.66666666666669</v>
      </c>
      <c r="I84" s="69">
        <f>AgeStanSec!J84/I$3</f>
        <v>337.2</v>
      </c>
      <c r="J84" s="69">
        <f>AgeStanSec!K84/J$3</f>
        <v>339.95217927304537</v>
      </c>
      <c r="K84" s="69">
        <f>AgeStanSec!L84/K$3</f>
        <v>349.45</v>
      </c>
      <c r="L84" s="69">
        <f>AgeStanSec!M84/L$3</f>
        <v>351.17904965043249</v>
      </c>
      <c r="M84" s="69">
        <f>AgeStanSec!N84/M$3</f>
        <v>354.8</v>
      </c>
      <c r="N84" s="69">
        <f>AgeStanSec!O84/N$3</f>
        <v>359.53333333333336</v>
      </c>
      <c r="O84" s="69">
        <f>AgeStanSec!P84/O$3</f>
        <v>368.337480744164</v>
      </c>
      <c r="P84" s="69">
        <f>AgeStanSec!Q84/P$3</f>
        <v>374.4</v>
      </c>
      <c r="Q84" s="69">
        <f>AgeStanSec!R84/Q$3</f>
        <v>423.663306291259</v>
      </c>
      <c r="R84" s="69">
        <f>AgeStanSec!S84/R$3</f>
        <v>470.31</v>
      </c>
      <c r="S84" s="69">
        <f>AgeStanSec!T84/S$3</f>
        <v>527.64666666666665</v>
      </c>
      <c r="T84" s="69">
        <f>AgeStanSec!U84/T$3</f>
        <v>538.86552533206077</v>
      </c>
      <c r="U84" s="69">
        <f>AgeStanSec!V84/U$3</f>
        <v>574.16499999999996</v>
      </c>
      <c r="V84" s="47"/>
    </row>
    <row r="85" spans="1:22">
      <c r="A85" s="68">
        <v>84</v>
      </c>
      <c r="B85" s="69">
        <f>AgeStanSec!C85/B$3</f>
        <v>328.2</v>
      </c>
      <c r="C85" s="69">
        <f>AgeStanSec!D85/C$3</f>
        <v>329.83333333333331</v>
      </c>
      <c r="D85" s="69">
        <f>AgeStanSec!E85/D$3</f>
        <v>330.72481706832099</v>
      </c>
      <c r="E85" s="69">
        <f>AgeStanSec!F85/E$3</f>
        <v>332.75</v>
      </c>
      <c r="F85" s="69">
        <f>AgeStanSec!G85/F$3</f>
        <v>333.30350751610592</v>
      </c>
      <c r="G85" s="69">
        <f>AgeStanSec!H85/G$3</f>
        <v>335.1</v>
      </c>
      <c r="H85" s="69">
        <f>AgeStanSec!I85/H$3</f>
        <v>340.91666666666669</v>
      </c>
      <c r="I85" s="69">
        <f>AgeStanSec!J85/I$3</f>
        <v>348.73333333333335</v>
      </c>
      <c r="J85" s="69">
        <f>AgeStanSec!K85/J$3</f>
        <v>351.63395768710728</v>
      </c>
      <c r="K85" s="69">
        <f>AgeStanSec!L85/K$3</f>
        <v>361.55</v>
      </c>
      <c r="L85" s="69">
        <f>AgeStanSec!M85/L$3</f>
        <v>363.3131887664415</v>
      </c>
      <c r="M85" s="69">
        <f>AgeStanSec!N85/M$3</f>
        <v>367.64</v>
      </c>
      <c r="N85" s="69">
        <f>AgeStanSec!O85/N$3</f>
        <v>373.1</v>
      </c>
      <c r="O85" s="69">
        <f>AgeStanSec!P85/O$3</f>
        <v>383.4814551487143</v>
      </c>
      <c r="P85" s="69">
        <f>AgeStanSec!Q85/P$3</f>
        <v>389.78</v>
      </c>
      <c r="Q85" s="69">
        <f>AgeStanSec!R85/Q$3</f>
        <v>441.07412709774911</v>
      </c>
      <c r="R85" s="69">
        <f>AgeStanSec!S85/R$3</f>
        <v>489.64</v>
      </c>
      <c r="S85" s="69">
        <f>AgeStanSec!T85/S$3</f>
        <v>549.32666666666671</v>
      </c>
      <c r="T85" s="69">
        <f>AgeStanSec!U85/T$3</f>
        <v>561.01119462339932</v>
      </c>
      <c r="U85" s="69">
        <f>AgeStanSec!V85/U$3</f>
        <v>597.76</v>
      </c>
      <c r="V85" s="47"/>
    </row>
    <row r="86" spans="1:22">
      <c r="A86" s="70">
        <v>85</v>
      </c>
      <c r="B86" s="71">
        <f>AgeStanSec!C86/B$3</f>
        <v>338.4</v>
      </c>
      <c r="C86" s="71">
        <f>AgeStanSec!D86/C$3</f>
        <v>340.5</v>
      </c>
      <c r="D86" s="71">
        <f>AgeStanSec!E86/D$3</f>
        <v>341.75415573053368</v>
      </c>
      <c r="E86" s="71">
        <f>AgeStanSec!F86/E$3</f>
        <v>344.5</v>
      </c>
      <c r="F86" s="71">
        <f>AgeStanSec!G86/F$3</f>
        <v>344.98528593016778</v>
      </c>
      <c r="G86" s="71">
        <f>AgeStanSec!H86/G$3</f>
        <v>347.6</v>
      </c>
      <c r="H86" s="71">
        <f>AgeStanSec!I86/H$3</f>
        <v>353.66666666666669</v>
      </c>
      <c r="I86" s="71">
        <f>AgeStanSec!J86/I$3</f>
        <v>361.8</v>
      </c>
      <c r="J86" s="71">
        <f>AgeStanSec!K86/J$3</f>
        <v>364.86916408176251</v>
      </c>
      <c r="K86" s="71">
        <f>AgeStanSec!L86/K$3</f>
        <v>375.15</v>
      </c>
      <c r="L86" s="71">
        <f>AgeStanSec!M86/L$3</f>
        <v>377.01149425287355</v>
      </c>
      <c r="M86" s="71">
        <f>AgeStanSec!N86/M$3</f>
        <v>382.24</v>
      </c>
      <c r="N86" s="71">
        <f>AgeStanSec!O86/N$3</f>
        <v>388.66666666666669</v>
      </c>
      <c r="O86" s="71">
        <f>AgeStanSec!P86/O$3</f>
        <v>400.87688114705531</v>
      </c>
      <c r="P86" s="71">
        <f>AgeStanSec!Q86/P$3</f>
        <v>407.46</v>
      </c>
      <c r="Q86" s="71">
        <f>AgeStanSec!R86/Q$3</f>
        <v>461.06985206394654</v>
      </c>
      <c r="R86" s="71">
        <f>AgeStanSec!S86/R$3</f>
        <v>511.85</v>
      </c>
      <c r="S86" s="71">
        <f>AgeStanSec!T86/S$3</f>
        <v>574.24</v>
      </c>
      <c r="T86" s="71">
        <f>AgeStanSec!U86/T$3</f>
        <v>586.45634494551814</v>
      </c>
      <c r="U86" s="71">
        <f>AgeStanSec!V86/U$3</f>
        <v>624.86500000000001</v>
      </c>
      <c r="V86" s="47"/>
    </row>
    <row r="87" spans="1:22">
      <c r="A87" s="68">
        <v>86</v>
      </c>
      <c r="B87" s="69">
        <f>AgeStanSec!C87/B$3</f>
        <v>350</v>
      </c>
      <c r="C87" s="69">
        <f>AgeStanSec!D87/C$3</f>
        <v>352.83333333333331</v>
      </c>
      <c r="D87" s="69">
        <f>AgeStanSec!E87/D$3</f>
        <v>354.33692237333969</v>
      </c>
      <c r="E87" s="69">
        <f>AgeStanSec!F87/E$3</f>
        <v>357.75</v>
      </c>
      <c r="F87" s="69">
        <f>AgeStanSec!G87/F$3</f>
        <v>358.4069036824942</v>
      </c>
      <c r="G87" s="69">
        <f>AgeStanSec!H87/G$3</f>
        <v>361.8</v>
      </c>
      <c r="H87" s="69">
        <f>AgeStanSec!I87/H$3</f>
        <v>368.08333333333331</v>
      </c>
      <c r="I87" s="69">
        <f>AgeStanSec!J87/I$3</f>
        <v>376.6</v>
      </c>
      <c r="J87" s="69">
        <f>AgeStanSec!K87/J$3</f>
        <v>379.71993557623477</v>
      </c>
      <c r="K87" s="69">
        <f>AgeStanSec!L87/K$3</f>
        <v>390.5</v>
      </c>
      <c r="L87" s="69">
        <f>AgeStanSec!M87/L$3</f>
        <v>392.41616305249437</v>
      </c>
      <c r="M87" s="69">
        <f>AgeStanSec!N87/M$3</f>
        <v>398.68</v>
      </c>
      <c r="N87" s="69">
        <f>AgeStanSec!O87/N$3</f>
        <v>406.33333333333331</v>
      </c>
      <c r="O87" s="69">
        <f>AgeStanSec!P87/O$3</f>
        <v>420.97404905794525</v>
      </c>
      <c r="P87" s="69">
        <f>AgeStanSec!Q87/P$3</f>
        <v>427.88</v>
      </c>
      <c r="Q87" s="69">
        <f>AgeStanSec!R87/Q$3</f>
        <v>484.18486041517536</v>
      </c>
      <c r="R87" s="69">
        <f>AgeStanSec!S87/R$3</f>
        <v>537.5</v>
      </c>
      <c r="S87" s="69">
        <f>AgeStanSec!T87/S$3</f>
        <v>603.02</v>
      </c>
      <c r="T87" s="69">
        <f>AgeStanSec!U87/T$3</f>
        <v>615.847202338344</v>
      </c>
      <c r="U87" s="69">
        <f>AgeStanSec!V87/U$3</f>
        <v>656.18499999999995</v>
      </c>
      <c r="V87" s="47"/>
    </row>
    <row r="88" spans="1:22">
      <c r="A88" s="68">
        <v>87</v>
      </c>
      <c r="B88" s="69">
        <f>AgeStanSec!C88/B$3</f>
        <v>363</v>
      </c>
      <c r="C88" s="69">
        <f>AgeStanSec!D88/C$3</f>
        <v>366.5</v>
      </c>
      <c r="D88" s="69">
        <f>AgeStanSec!E88/D$3</f>
        <v>368.31777419867967</v>
      </c>
      <c r="E88" s="69">
        <f>AgeStanSec!F88/E$3</f>
        <v>372.875</v>
      </c>
      <c r="F88" s="69">
        <f>AgeStanSec!G88/F$3</f>
        <v>373.56836077308515</v>
      </c>
      <c r="G88" s="69">
        <f>AgeStanSec!H88/G$3</f>
        <v>378</v>
      </c>
      <c r="H88" s="69">
        <f>AgeStanSec!I88/H$3</f>
        <v>384.58333333333331</v>
      </c>
      <c r="I88" s="69">
        <f>AgeStanSec!J88/I$3</f>
        <v>393.4</v>
      </c>
      <c r="J88" s="69">
        <f>AgeStanSec!K88/J$3</f>
        <v>396.68336912431397</v>
      </c>
      <c r="K88" s="69">
        <f>AgeStanSec!L88/K$3</f>
        <v>407.8</v>
      </c>
      <c r="L88" s="69">
        <f>AgeStanSec!M88/L$3</f>
        <v>409.85898803175729</v>
      </c>
      <c r="M88" s="69">
        <f>AgeStanSec!N88/M$3</f>
        <v>417.44</v>
      </c>
      <c r="N88" s="69">
        <f>AgeStanSec!O88/N$3</f>
        <v>426.63333333333333</v>
      </c>
      <c r="O88" s="69">
        <f>AgeStanSec!P88/O$3</f>
        <v>444.34174665244694</v>
      </c>
      <c r="P88" s="69">
        <f>AgeStanSec!Q88/P$3</f>
        <v>451.66</v>
      </c>
      <c r="Q88" s="69">
        <f>AgeStanSec!R88/Q$3</f>
        <v>511.0902330390519</v>
      </c>
      <c r="R88" s="69">
        <f>AgeStanSec!S88/R$3</f>
        <v>567.36</v>
      </c>
      <c r="S88" s="69">
        <f>AgeStanSec!T88/S$3</f>
        <v>636.52666666666664</v>
      </c>
      <c r="T88" s="69">
        <f>AgeStanSec!U88/T$3</f>
        <v>650.06611389485397</v>
      </c>
      <c r="U88" s="69">
        <f>AgeStanSec!V88/U$3</f>
        <v>692.64</v>
      </c>
      <c r="V88" s="47"/>
    </row>
    <row r="89" spans="1:22">
      <c r="A89" s="68">
        <v>88</v>
      </c>
      <c r="B89" s="69">
        <f>AgeStanSec!C89/B$3</f>
        <v>377.4</v>
      </c>
      <c r="C89" s="69">
        <f>AgeStanSec!D89/C$3</f>
        <v>382</v>
      </c>
      <c r="D89" s="69">
        <f>AgeStanSec!E89/D$3</f>
        <v>384.31808239879103</v>
      </c>
      <c r="E89" s="69">
        <f>AgeStanSec!F89/E$3</f>
        <v>390.125</v>
      </c>
      <c r="F89" s="69">
        <f>AgeStanSec!G89/F$3</f>
        <v>390.84247991728301</v>
      </c>
      <c r="G89" s="69">
        <f>AgeStanSec!H89/G$3</f>
        <v>396.7</v>
      </c>
      <c r="H89" s="69">
        <f>AgeStanSec!I89/H$3</f>
        <v>403.5</v>
      </c>
      <c r="I89" s="69">
        <f>AgeStanSec!J89/I$3</f>
        <v>412.66666666666669</v>
      </c>
      <c r="J89" s="69">
        <f>AgeStanSec!K89/J$3</f>
        <v>416.13228744134256</v>
      </c>
      <c r="K89" s="69">
        <f>AgeStanSec!L89/K$3</f>
        <v>427.75</v>
      </c>
      <c r="L89" s="69">
        <f>AgeStanSec!M89/L$3</f>
        <v>429.8613579808034</v>
      </c>
      <c r="M89" s="69">
        <f>AgeStanSec!N89/M$3</f>
        <v>439.12</v>
      </c>
      <c r="N89" s="69">
        <f>AgeStanSec!O89/N$3</f>
        <v>450.1</v>
      </c>
      <c r="O89" s="69">
        <f>AgeStanSec!P89/O$3</f>
        <v>471.80945609669391</v>
      </c>
      <c r="P89" s="69">
        <f>AgeStanSec!Q89/P$3</f>
        <v>479.58</v>
      </c>
      <c r="Q89" s="69">
        <f>AgeStanSec!R89/Q$3</f>
        <v>542.66831702855325</v>
      </c>
      <c r="R89" s="69">
        <f>AgeStanSec!S89/R$3</f>
        <v>602.42999999999995</v>
      </c>
      <c r="S89" s="69">
        <f>AgeStanSec!T89/S$3</f>
        <v>675.86</v>
      </c>
      <c r="T89" s="69">
        <f>AgeStanSec!U89/T$3</f>
        <v>690.2377614729977</v>
      </c>
      <c r="U89" s="69">
        <f>AgeStanSec!V89/U$3</f>
        <v>735.44500000000005</v>
      </c>
      <c r="V89" s="47"/>
    </row>
    <row r="90" spans="1:22">
      <c r="A90" s="68">
        <v>89</v>
      </c>
      <c r="B90" s="69">
        <f>AgeStanSec!C90/B$3</f>
        <v>394</v>
      </c>
      <c r="C90" s="69">
        <f>AgeStanSec!D90/C$3</f>
        <v>399.83333333333331</v>
      </c>
      <c r="D90" s="69">
        <f>AgeStanSec!E90/D$3</f>
        <v>402.64853256979239</v>
      </c>
      <c r="E90" s="69">
        <f>AgeStanSec!F90/E$3</f>
        <v>410.125</v>
      </c>
      <c r="F90" s="69">
        <f>AgeStanSec!G90/F$3</f>
        <v>410.72635806887774</v>
      </c>
      <c r="G90" s="69">
        <f>AgeStanSec!H90/G$3</f>
        <v>418.4</v>
      </c>
      <c r="H90" s="69">
        <f>AgeStanSec!I90/H$3</f>
        <v>425.41666666666669</v>
      </c>
      <c r="I90" s="69">
        <f>AgeStanSec!J90/I$3</f>
        <v>435</v>
      </c>
      <c r="J90" s="69">
        <f>AgeStanSec!K90/J$3</f>
        <v>438.50165036188656</v>
      </c>
      <c r="K90" s="69">
        <f>AgeStanSec!L90/K$3</f>
        <v>450.55</v>
      </c>
      <c r="L90" s="69">
        <f>AgeStanSec!M90/L$3</f>
        <v>452.75506576608603</v>
      </c>
      <c r="M90" s="69">
        <f>AgeStanSec!N90/M$3</f>
        <v>464.04</v>
      </c>
      <c r="N90" s="69">
        <f>AgeStanSec!O90/N$3</f>
        <v>477.56666666666666</v>
      </c>
      <c r="O90" s="69">
        <f>AgeStanSec!P90/O$3</f>
        <v>504.39625548050719</v>
      </c>
      <c r="P90" s="69">
        <f>AgeStanSec!Q90/P$3</f>
        <v>512.70000000000005</v>
      </c>
      <c r="Q90" s="69">
        <f>AgeStanSec!R90/Q$3</f>
        <v>580.14942734430917</v>
      </c>
      <c r="R90" s="69">
        <f>AgeStanSec!S90/R$3</f>
        <v>644.03</v>
      </c>
      <c r="S90" s="69">
        <f>AgeStanSec!T90/S$3</f>
        <v>722.54</v>
      </c>
      <c r="T90" s="69">
        <f>AgeStanSec!U90/T$3</f>
        <v>737.90935934144591</v>
      </c>
      <c r="U90" s="69">
        <f>AgeStanSec!V90/U$3</f>
        <v>786.24</v>
      </c>
      <c r="V90" s="47"/>
    </row>
    <row r="91" spans="1:22">
      <c r="A91" s="70">
        <v>90</v>
      </c>
      <c r="B91" s="71">
        <f>AgeStanSec!C91/B$3</f>
        <v>412.6</v>
      </c>
      <c r="C91" s="71">
        <f>AgeStanSec!D91/C$3</f>
        <v>420.16666666666669</v>
      </c>
      <c r="D91" s="71">
        <f>AgeStanSec!E91/D$3</f>
        <v>423.61981030780242</v>
      </c>
      <c r="E91" s="71">
        <f>AgeStanSec!F91/E$3</f>
        <v>433</v>
      </c>
      <c r="F91" s="71">
        <f>AgeStanSec!G91/F$3</f>
        <v>433.84136642010657</v>
      </c>
      <c r="G91" s="71">
        <f>AgeStanSec!H91/G$3</f>
        <v>443.7</v>
      </c>
      <c r="H91" s="71">
        <f>AgeStanSec!I91/H$3</f>
        <v>451</v>
      </c>
      <c r="I91" s="71">
        <f>AgeStanSec!J91/I$3</f>
        <v>460.73333333333335</v>
      </c>
      <c r="J91" s="71">
        <f>AgeStanSec!K91/J$3</f>
        <v>464.41282907818339</v>
      </c>
      <c r="K91" s="71">
        <f>AgeStanSec!L91/K$3</f>
        <v>477</v>
      </c>
      <c r="L91" s="71">
        <f>AgeStanSec!M91/L$3</f>
        <v>479.20369712051189</v>
      </c>
      <c r="M91" s="71">
        <f>AgeStanSec!N91/M$3</f>
        <v>493.16</v>
      </c>
      <c r="N91" s="71">
        <f>AgeStanSec!O91/N$3</f>
        <v>510</v>
      </c>
      <c r="O91" s="71">
        <f>AgeStanSec!P91/O$3</f>
        <v>543.5715132124659</v>
      </c>
      <c r="P91" s="71">
        <f>AgeStanSec!Q91/P$3</f>
        <v>552.52</v>
      </c>
      <c r="Q91" s="71">
        <f>AgeStanSec!R91/Q$3</f>
        <v>625.21126620536063</v>
      </c>
      <c r="R91" s="71">
        <f>AgeStanSec!S91/R$3</f>
        <v>694.06</v>
      </c>
      <c r="S91" s="71">
        <f>AgeStanSec!T91/S$3</f>
        <v>778.66</v>
      </c>
      <c r="T91" s="71">
        <f>AgeStanSec!U91/T$3</f>
        <v>795.22463811341754</v>
      </c>
      <c r="U91" s="71">
        <f>AgeStanSec!V91/U$3</f>
        <v>847.31</v>
      </c>
      <c r="V91" s="47"/>
    </row>
    <row r="92" spans="1:22">
      <c r="A92" s="68">
        <v>91</v>
      </c>
      <c r="B92" s="69">
        <f>AgeStanSec!C92/B$3</f>
        <v>434.2</v>
      </c>
      <c r="C92" s="69">
        <f>AgeStanSec!D92/C$3</f>
        <v>443.66666666666669</v>
      </c>
      <c r="D92" s="69">
        <f>AgeStanSec!E92/D$3</f>
        <v>448.00862960311775</v>
      </c>
      <c r="E92" s="69">
        <f>AgeStanSec!F92/E$3</f>
        <v>460</v>
      </c>
      <c r="F92" s="69">
        <f>AgeStanSec!G92/F$3</f>
        <v>461.05742464010177</v>
      </c>
      <c r="G92" s="69">
        <f>AgeStanSec!H92/G$3</f>
        <v>473.7</v>
      </c>
      <c r="H92" s="69">
        <f>AgeStanSec!I92/H$3</f>
        <v>481.08333333333331</v>
      </c>
      <c r="I92" s="69">
        <f>AgeStanSec!J92/I$3</f>
        <v>491.2</v>
      </c>
      <c r="J92" s="69">
        <f>AgeStanSec!K92/J$3</f>
        <v>494.98429173626022</v>
      </c>
      <c r="K92" s="69">
        <f>AgeStanSec!L92/K$3</f>
        <v>507.95</v>
      </c>
      <c r="L92" s="69">
        <f>AgeStanSec!M92/L$3</f>
        <v>510.25002962436309</v>
      </c>
      <c r="M92" s="69">
        <f>AgeStanSec!N92/M$3</f>
        <v>527.72</v>
      </c>
      <c r="N92" s="69">
        <f>AgeStanSec!O92/N$3</f>
        <v>548.66666666666663</v>
      </c>
      <c r="O92" s="69">
        <f>AgeStanSec!P92/O$3</f>
        <v>591.42078445313427</v>
      </c>
      <c r="P92" s="69">
        <f>AgeStanSec!Q92/P$3</f>
        <v>601.16</v>
      </c>
      <c r="Q92" s="69">
        <f>AgeStanSec!R92/Q$3</f>
        <v>680.25232641374373</v>
      </c>
      <c r="R92" s="69">
        <f>AgeStanSec!S92/R$3</f>
        <v>755.15</v>
      </c>
      <c r="S92" s="69">
        <f>AgeStanSec!T92/S$3</f>
        <v>847.20666666666671</v>
      </c>
      <c r="T92" s="69">
        <f>AgeStanSec!U92/T$3</f>
        <v>865.22831663087561</v>
      </c>
      <c r="U92" s="69">
        <f>AgeStanSec!V92/U$3</f>
        <v>921.89499999999998</v>
      </c>
      <c r="V92" s="47"/>
    </row>
    <row r="93" spans="1:22">
      <c r="A93" s="68">
        <v>92</v>
      </c>
      <c r="B93" s="69">
        <f>AgeStanSec!C93/B$3</f>
        <v>459</v>
      </c>
      <c r="C93" s="69">
        <f>AgeStanSec!D93/C$3</f>
        <v>471</v>
      </c>
      <c r="D93" s="69">
        <f>AgeStanSec!E93/D$3</f>
        <v>476.43636164797579</v>
      </c>
      <c r="E93" s="69">
        <f>AgeStanSec!F93/E$3</f>
        <v>491.875</v>
      </c>
      <c r="F93" s="69">
        <f>AgeStanSec!G93/F$3</f>
        <v>492.99590392110076</v>
      </c>
      <c r="G93" s="69">
        <f>AgeStanSec!H93/G$3</f>
        <v>509.4</v>
      </c>
      <c r="H93" s="69">
        <f>AgeStanSec!I93/H$3</f>
        <v>517</v>
      </c>
      <c r="I93" s="69">
        <f>AgeStanSec!J93/I$3</f>
        <v>527.26666666666665</v>
      </c>
      <c r="J93" s="69">
        <f>AgeStanSec!K93/J$3</f>
        <v>531.148095124473</v>
      </c>
      <c r="K93" s="69">
        <f>AgeStanSec!L93/K$3</f>
        <v>544.54999999999995</v>
      </c>
      <c r="L93" s="69">
        <f>AgeStanSec!M93/L$3</f>
        <v>546.74724493423389</v>
      </c>
      <c r="M93" s="69">
        <f>AgeStanSec!N93/M$3</f>
        <v>568.91999999999996</v>
      </c>
      <c r="N93" s="69">
        <f>AgeStanSec!O93/N$3</f>
        <v>595.43333333333328</v>
      </c>
      <c r="O93" s="69">
        <f>AgeStanSec!P93/O$3</f>
        <v>651.02500296243625</v>
      </c>
      <c r="P93" s="69">
        <f>AgeStanSec!Q93/P$3</f>
        <v>661.74</v>
      </c>
      <c r="Q93" s="69">
        <f>AgeStanSec!R93/Q$3</f>
        <v>748.80199634136636</v>
      </c>
      <c r="R93" s="69">
        <f>AgeStanSec!S93/R$3</f>
        <v>831.25</v>
      </c>
      <c r="S93" s="69">
        <f>AgeStanSec!T93/S$3</f>
        <v>932.58</v>
      </c>
      <c r="T93" s="69">
        <f>AgeStanSec!U93/T$3</f>
        <v>952.41912232561833</v>
      </c>
      <c r="U93" s="69">
        <f>AgeStanSec!V93/U$3</f>
        <v>1014.8</v>
      </c>
      <c r="V93" s="47"/>
    </row>
    <row r="94" spans="1:22">
      <c r="A94" s="68">
        <v>93</v>
      </c>
      <c r="B94" s="69">
        <f>AgeStanSec!C94/B$3</f>
        <v>488.2</v>
      </c>
      <c r="C94" s="69">
        <f>AgeStanSec!D94/C$3</f>
        <v>503.33333333333331</v>
      </c>
      <c r="D94" s="69">
        <f>AgeStanSec!E94/D$3</f>
        <v>510.14574882685116</v>
      </c>
      <c r="E94" s="69">
        <f>AgeStanSec!F94/E$3</f>
        <v>530.125</v>
      </c>
      <c r="F94" s="69">
        <f>AgeStanSec!G94/F$3</f>
        <v>531.39664360136794</v>
      </c>
      <c r="G94" s="69">
        <f>AgeStanSec!H94/G$3</f>
        <v>552.9</v>
      </c>
      <c r="H94" s="69">
        <f>AgeStanSec!I94/H$3</f>
        <v>560.41666666666663</v>
      </c>
      <c r="I94" s="69">
        <f>AgeStanSec!J94/I$3</f>
        <v>570.73333333333335</v>
      </c>
      <c r="J94" s="69">
        <f>AgeStanSec!K94/J$3</f>
        <v>574.70621570031017</v>
      </c>
      <c r="K94" s="69">
        <f>AgeStanSec!L94/K$3</f>
        <v>588.15</v>
      </c>
      <c r="L94" s="69">
        <f>AgeStanSec!M94/L$3</f>
        <v>590.44910534423514</v>
      </c>
      <c r="M94" s="69">
        <f>AgeStanSec!N94/M$3</f>
        <v>618.76</v>
      </c>
      <c r="N94" s="69">
        <f>AgeStanSec!O94/N$3</f>
        <v>653.23333333333335</v>
      </c>
      <c r="O94" s="69">
        <f>AgeStanSec!P94/O$3</f>
        <v>727.12406683256313</v>
      </c>
      <c r="P94" s="69">
        <f>AgeStanSec!Q94/P$3</f>
        <v>739.08</v>
      </c>
      <c r="Q94" s="69">
        <f>AgeStanSec!R94/Q$3</f>
        <v>836.31591505607253</v>
      </c>
      <c r="R94" s="69">
        <f>AgeStanSec!S94/R$3</f>
        <v>928.41</v>
      </c>
      <c r="S94" s="69">
        <f>AgeStanSec!T94/S$3</f>
        <v>1041.5866666666666</v>
      </c>
      <c r="T94" s="69">
        <f>AgeStanSec!U94/T$3</f>
        <v>1063.7377714149368</v>
      </c>
      <c r="U94" s="69">
        <f>AgeStanSec!V94/U$3</f>
        <v>1133.4100000000001</v>
      </c>
      <c r="V94" s="47"/>
    </row>
    <row r="95" spans="1:22">
      <c r="A95" s="68">
        <v>94</v>
      </c>
      <c r="B95" s="69">
        <f>AgeStanSec!C95/B$3</f>
        <v>522.4</v>
      </c>
      <c r="C95" s="69">
        <f>AgeStanSec!D95/C$3</f>
        <v>541.83333333333337</v>
      </c>
      <c r="D95" s="69">
        <f>AgeStanSec!E95/D$3</f>
        <v>550.37953352421857</v>
      </c>
      <c r="E95" s="69">
        <f>AgeStanSec!F95/E$3</f>
        <v>576.625</v>
      </c>
      <c r="F95" s="69">
        <f>AgeStanSec!G95/F$3</f>
        <v>577.999483019168</v>
      </c>
      <c r="G95" s="69">
        <f>AgeStanSec!H95/G$3</f>
        <v>606.5</v>
      </c>
      <c r="H95" s="69">
        <f>AgeStanSec!I95/H$3</f>
        <v>613.91666666666663</v>
      </c>
      <c r="I95" s="69">
        <f>AgeStanSec!J95/I$3</f>
        <v>623.93333333333328</v>
      </c>
      <c r="J95" s="69">
        <f>AgeStanSec!K95/J$3</f>
        <v>627.77131551737841</v>
      </c>
      <c r="K95" s="69">
        <f>AgeStanSec!L95/K$3</f>
        <v>641.4</v>
      </c>
      <c r="L95" s="69">
        <f>AgeStanSec!M95/L$3</f>
        <v>643.58336295769641</v>
      </c>
      <c r="M95" s="69">
        <f>AgeStanSec!N95/M$3</f>
        <v>680.52</v>
      </c>
      <c r="N95" s="69">
        <f>AgeStanSec!O95/N$3</f>
        <v>726.36666666666667</v>
      </c>
      <c r="O95" s="69">
        <f>AgeStanSec!P95/O$3</f>
        <v>827.42031046332499</v>
      </c>
      <c r="P95" s="69">
        <f>AgeStanSec!Q95/P$3</f>
        <v>841.02</v>
      </c>
      <c r="Q95" s="69">
        <f>AgeStanSec!R95/Q$3</f>
        <v>951.67969060685584</v>
      </c>
      <c r="R95" s="69">
        <f>AgeStanSec!S95/R$3</f>
        <v>1056.47</v>
      </c>
      <c r="S95" s="69">
        <f>AgeStanSec!T95/S$3</f>
        <v>1185.2533333333333</v>
      </c>
      <c r="T95" s="69">
        <f>AgeStanSec!U95/T$3</f>
        <v>1210.4621510379384</v>
      </c>
      <c r="U95" s="69">
        <f>AgeStanSec!V95/U$3</f>
        <v>1289.7449999999999</v>
      </c>
      <c r="V95" s="47"/>
    </row>
    <row r="96" spans="1:22">
      <c r="A96" s="70">
        <v>95</v>
      </c>
      <c r="B96" s="71">
        <f>AgeStanSec!C96/B$3</f>
        <v>563.20000000000005</v>
      </c>
      <c r="C96" s="71">
        <f>AgeStanSec!D96/C$3</f>
        <v>588.66666666666663</v>
      </c>
      <c r="D96" s="71">
        <f>AgeStanSec!E96/D$3</f>
        <v>599.46785771096791</v>
      </c>
      <c r="E96" s="71">
        <f>AgeStanSec!F96/E$3</f>
        <v>634.25</v>
      </c>
      <c r="F96" s="71">
        <f>AgeStanSec!G96/F$3</f>
        <v>636.03555237413502</v>
      </c>
      <c r="G96" s="71">
        <f>AgeStanSec!H96/G$3</f>
        <v>674.5</v>
      </c>
      <c r="H96" s="71">
        <f>AgeStanSec!I96/H$3</f>
        <v>681.33333333333337</v>
      </c>
      <c r="I96" s="71">
        <f>AgeStanSec!J96/I$3</f>
        <v>690.86666666666667</v>
      </c>
      <c r="J96" s="71">
        <f>AgeStanSec!K96/J$3</f>
        <v>694.44444444444434</v>
      </c>
      <c r="K96" s="71">
        <f>AgeStanSec!L96/K$3</f>
        <v>707.75</v>
      </c>
      <c r="L96" s="71">
        <f>AgeStanSec!M96/L$3</f>
        <v>709.75234032468302</v>
      </c>
      <c r="M96" s="71">
        <f>AgeStanSec!N96/M$3</f>
        <v>759.16</v>
      </c>
      <c r="N96" s="71">
        <f>AgeStanSec!O96/N$3</f>
        <v>821.26666666666665</v>
      </c>
      <c r="O96" s="71">
        <f>AgeStanSec!P96/O$3</f>
        <v>965.30394596516169</v>
      </c>
      <c r="P96" s="71">
        <f>AgeStanSec!Q96/P$3</f>
        <v>981.2</v>
      </c>
      <c r="Q96" s="71">
        <f>AgeStanSec!R96/Q$3</f>
        <v>1110.2909011373577</v>
      </c>
      <c r="R96" s="71">
        <f>AgeStanSec!S96/R$3</f>
        <v>1232.55</v>
      </c>
      <c r="S96" s="71">
        <f>AgeStanSec!T96/S$3</f>
        <v>1382.7933333333333</v>
      </c>
      <c r="T96" s="71">
        <f>AgeStanSec!U96/T$3</f>
        <v>1412.208949733556</v>
      </c>
      <c r="U96" s="71">
        <f>AgeStanSec!V96/U$3</f>
        <v>1504.7</v>
      </c>
      <c r="V96" s="47"/>
    </row>
    <row r="97" spans="1:22">
      <c r="A97" s="68">
        <v>96</v>
      </c>
      <c r="B97" s="69">
        <f>AgeStanSec!C97/B$3</f>
        <v>613</v>
      </c>
      <c r="C97" s="69">
        <f>AgeStanSec!D97/C$3</f>
        <v>646.33333333333337</v>
      </c>
      <c r="D97" s="69">
        <f>AgeStanSec!E97/D$3</f>
        <v>660.82826294440463</v>
      </c>
      <c r="E97" s="69">
        <f>AgeStanSec!F97/E$3</f>
        <v>707.25</v>
      </c>
      <c r="F97" s="69">
        <f>AgeStanSec!G97/F$3</f>
        <v>709.73017577348276</v>
      </c>
      <c r="G97" s="69">
        <f>AgeStanSec!H97/G$3</f>
        <v>763</v>
      </c>
      <c r="H97" s="69">
        <f>AgeStanSec!I97/H$3</f>
        <v>768.41666666666663</v>
      </c>
      <c r="I97" s="69">
        <f>AgeStanSec!J97/I$3</f>
        <v>776.5333333333333</v>
      </c>
      <c r="J97" s="69">
        <f>AgeStanSec!K97/J$3</f>
        <v>780.0072576155253</v>
      </c>
      <c r="K97" s="69">
        <f>AgeStanSec!L97/K$3</f>
        <v>791.95</v>
      </c>
      <c r="L97" s="69">
        <f>AgeStanSec!M97/L$3</f>
        <v>793.5537385946202</v>
      </c>
      <c r="M97" s="69">
        <f>AgeStanSec!N97/M$3</f>
        <v>861.64</v>
      </c>
      <c r="N97" s="69">
        <f>AgeStanSec!O97/N$3</f>
        <v>949.63333333333333</v>
      </c>
      <c r="O97" s="69">
        <f>AgeStanSec!P97/O$3</f>
        <v>1166.4178220168267</v>
      </c>
      <c r="P97" s="69">
        <f>AgeStanSec!Q97/P$3</f>
        <v>1185.5999999999999</v>
      </c>
      <c r="Q97" s="69">
        <f>AgeStanSec!R97/Q$3</f>
        <v>1341.6025411596277</v>
      </c>
      <c r="R97" s="69">
        <f>AgeStanSec!S97/R$3</f>
        <v>1489.33</v>
      </c>
      <c r="S97" s="69">
        <f>AgeStanSec!T97/S$3</f>
        <v>1670.8733333333332</v>
      </c>
      <c r="T97" s="69">
        <f>AgeStanSec!U97/T$3</f>
        <v>1706.4157818340889</v>
      </c>
      <c r="U97" s="69">
        <f>AgeStanSec!V97/U$3</f>
        <v>1818.18</v>
      </c>
      <c r="V97" s="47"/>
    </row>
    <row r="98" spans="1:22">
      <c r="A98" s="68">
        <v>97</v>
      </c>
      <c r="B98" s="69">
        <f>AgeStanSec!C98/B$3</f>
        <v>674.4</v>
      </c>
      <c r="C98" s="69">
        <f>AgeStanSec!D98/C$3</f>
        <v>718.83333333333337</v>
      </c>
      <c r="D98" s="69">
        <f>AgeStanSec!E98/D$3</f>
        <v>738.49966197407139</v>
      </c>
      <c r="E98" s="69">
        <f>AgeStanSec!F98/E$3</f>
        <v>803.125</v>
      </c>
      <c r="F98" s="69">
        <f>AgeStanSec!G98/F$3</f>
        <v>806.16698480871707</v>
      </c>
      <c r="G98" s="69">
        <f>AgeStanSec!H98/G$3</f>
        <v>882.9</v>
      </c>
      <c r="H98" s="69">
        <f>AgeStanSec!I98/H$3</f>
        <v>885.58333333333337</v>
      </c>
      <c r="I98" s="69">
        <f>AgeStanSec!J98/I$3</f>
        <v>890.6</v>
      </c>
      <c r="J98" s="69">
        <f>AgeStanSec!K98/J$3</f>
        <v>893.28322596039129</v>
      </c>
      <c r="K98" s="69">
        <f>AgeStanSec!L98/K$3</f>
        <v>902.9</v>
      </c>
      <c r="L98" s="69">
        <f>AgeStanSec!M98/L$3</f>
        <v>903.42457637160805</v>
      </c>
      <c r="M98" s="69">
        <f>AgeStanSec!N98/M$3</f>
        <v>1000.56</v>
      </c>
      <c r="N98" s="69">
        <f>AgeStanSec!O98/N$3</f>
        <v>1131.8666666666666</v>
      </c>
      <c r="O98" s="69">
        <f>AgeStanSec!P98/O$3</f>
        <v>1486.4083422206422</v>
      </c>
      <c r="P98" s="69">
        <f>AgeStanSec!Q98/P$3</f>
        <v>1510.86</v>
      </c>
      <c r="Q98" s="69">
        <f>AgeStanSec!R98/Q$3</f>
        <v>1709.6406983218005</v>
      </c>
      <c r="R98" s="69">
        <f>AgeStanSec!S98/R$3</f>
        <v>1897.91</v>
      </c>
      <c r="S98" s="69">
        <f>AgeStanSec!T98/S$3</f>
        <v>2129.2600000000002</v>
      </c>
      <c r="T98" s="69">
        <f>AgeStanSec!U98/T$3</f>
        <v>2174.5506243537739</v>
      </c>
      <c r="U98" s="69">
        <f>AgeStanSec!V98/U$3</f>
        <v>2316.9749999999999</v>
      </c>
      <c r="V98" s="47"/>
    </row>
    <row r="99" spans="1:22">
      <c r="A99" s="68">
        <v>98</v>
      </c>
      <c r="B99" s="69">
        <f>AgeStanSec!C99/B$3</f>
        <v>751.8</v>
      </c>
      <c r="C99" s="69">
        <f>AgeStanSec!D99/C$3</f>
        <v>813.16666666666663</v>
      </c>
      <c r="D99" s="69">
        <f>AgeStanSec!E99/D$3</f>
        <v>840.40453750099414</v>
      </c>
      <c r="E99" s="69">
        <f>AgeStanSec!F99/E$3</f>
        <v>933.625</v>
      </c>
      <c r="F99" s="69">
        <f>AgeStanSec!G99/F$3</f>
        <v>937.52485484768943</v>
      </c>
      <c r="G99" s="69">
        <f>AgeStanSec!H99/G$3</f>
        <v>1053.7</v>
      </c>
      <c r="H99" s="69">
        <f>AgeStanSec!I99/H$3</f>
        <v>1051.25</v>
      </c>
      <c r="I99" s="69">
        <f>AgeStanSec!J99/I$3</f>
        <v>1049.5333333333333</v>
      </c>
      <c r="J99" s="69">
        <f>AgeStanSec!K99/J$3</f>
        <v>1050.5522747156604</v>
      </c>
      <c r="K99" s="69">
        <f>AgeStanSec!L99/K$3</f>
        <v>1054.95</v>
      </c>
      <c r="L99" s="69">
        <f>AgeStanSec!M99/L$3</f>
        <v>1054.2007346842042</v>
      </c>
      <c r="M99" s="69">
        <f>AgeStanSec!N99/M$3</f>
        <v>1200.8</v>
      </c>
      <c r="N99" s="69">
        <f>AgeStanSec!O99/N$3</f>
        <v>1411.5666666666666</v>
      </c>
      <c r="O99" s="69">
        <f>AgeStanSec!P99/O$3</f>
        <v>2073.6343168621875</v>
      </c>
      <c r="P99" s="69">
        <f>AgeStanSec!Q99/P$3</f>
        <v>2107.7399999999998</v>
      </c>
      <c r="Q99" s="69">
        <f>AgeStanSec!R99/Q$3</f>
        <v>2385.0587568599376</v>
      </c>
      <c r="R99" s="69">
        <f>AgeStanSec!S99/R$3</f>
        <v>2647.7</v>
      </c>
      <c r="S99" s="69">
        <f>AgeStanSec!T99/S$3</f>
        <v>2970.4466666666667</v>
      </c>
      <c r="T99" s="69">
        <f>AgeStanSec!U99/T$3</f>
        <v>3033.6273661814998</v>
      </c>
      <c r="U99" s="69">
        <f>AgeStanSec!V99/U$3</f>
        <v>3232.3249999999998</v>
      </c>
      <c r="V99" s="47"/>
    </row>
    <row r="100" spans="1:22">
      <c r="A100" s="68">
        <v>99</v>
      </c>
      <c r="B100" s="69">
        <f>AgeStanSec!C100/B$3</f>
        <v>853</v>
      </c>
      <c r="C100" s="69">
        <f>AgeStanSec!D100/C$3</f>
        <v>940</v>
      </c>
      <c r="D100" s="69">
        <f>AgeStanSec!E100/D$3</f>
        <v>979.59168456215696</v>
      </c>
      <c r="E100" s="69">
        <f>AgeStanSec!F100/E$3</f>
        <v>1121.125</v>
      </c>
      <c r="F100" s="69">
        <f>AgeStanSec!G100/F$3</f>
        <v>1127.1673427185237</v>
      </c>
      <c r="G100" s="69">
        <f>AgeStanSec!H100/G$3</f>
        <v>1316.6</v>
      </c>
      <c r="H100" s="72">
        <f>AgeStanSec!I100/H$3</f>
        <v>1301.8333333333333</v>
      </c>
      <c r="I100" s="73">
        <f>AgeStanSec!J100/I$3</f>
        <v>1285.8666666666666</v>
      </c>
      <c r="J100" s="69">
        <f>AgeStanSec!K100/J$3</f>
        <v>1282.572277897081</v>
      </c>
      <c r="K100" s="69">
        <f>AgeStanSec!L100/K$3</f>
        <v>1275.9000000000001</v>
      </c>
      <c r="L100" s="69">
        <f>AgeStanSec!M100/L$3</f>
        <v>1271.6198601730064</v>
      </c>
      <c r="M100" s="69">
        <f>AgeStanSec!N100/M$3</f>
        <v>1511.32</v>
      </c>
      <c r="N100" s="69">
        <f>AgeStanSec!O100/N$3</f>
        <v>1892.3666666666666</v>
      </c>
      <c r="O100" s="69">
        <f>AgeStanSec!P100/O$3</f>
        <v>3499.277165540941</v>
      </c>
      <c r="P100" s="69">
        <f>AgeStanSec!Q100/P$3</f>
        <v>3556.82</v>
      </c>
      <c r="Q100" s="69">
        <f>AgeStanSec!R100/Q$3</f>
        <v>4024.7951960550381</v>
      </c>
      <c r="R100" s="69">
        <f>AgeStanSec!S100/R$3</f>
        <v>4467.99</v>
      </c>
      <c r="S100" s="69">
        <f>AgeStanSec!T100/S$3</f>
        <v>5012.626666666667</v>
      </c>
      <c r="T100" s="69">
        <f>AgeStanSec!U100/T$3</f>
        <v>5119.2535592141885</v>
      </c>
      <c r="U100" s="69">
        <f>AgeStanSec!V100/U$3</f>
        <v>5454.5450000000001</v>
      </c>
      <c r="V100" s="47"/>
    </row>
    <row r="101" spans="1:22">
      <c r="A101" s="70">
        <v>100</v>
      </c>
      <c r="B101" s="71">
        <f>AgeStanSec!C101/B$3</f>
        <v>990.2</v>
      </c>
      <c r="C101" s="71">
        <f>AgeStanSec!D101/C$3</f>
        <v>1120.5</v>
      </c>
      <c r="D101" s="71">
        <f>AgeStanSec!E101/D$3</f>
        <v>1181.6926648373499</v>
      </c>
      <c r="E101" s="71">
        <f>AgeStanSec!F101/E$3</f>
        <v>1415.75</v>
      </c>
      <c r="F101" s="71">
        <f>AgeStanSec!G101/F$3</f>
        <v>1424.8041438002067</v>
      </c>
      <c r="G101" s="71">
        <f>AgeStanSec!H101/G$3</f>
        <v>1773.9</v>
      </c>
      <c r="H101" s="74">
        <f>AgeStanSec!I101/H$3</f>
        <v>1726.3333333333333</v>
      </c>
      <c r="I101" s="75">
        <f>AgeStanSec!J101/I$3</f>
        <v>1675.6</v>
      </c>
      <c r="J101" s="71">
        <f>AgeStanSec!K101/J$3</f>
        <v>1661.6708422810784</v>
      </c>
      <c r="K101" s="71">
        <f>AgeStanSec!L101/K$3</f>
        <v>1625.7</v>
      </c>
      <c r="L101" s="71">
        <f>AgeStanSec!M101/L$3</f>
        <v>1613.6035075245882</v>
      </c>
      <c r="M101" s="71">
        <f>AgeStanSec!N101/M$3</f>
        <v>2059.48</v>
      </c>
      <c r="N101" s="71">
        <f>AgeStanSec!O101/N$3</f>
        <v>2916</v>
      </c>
      <c r="O101" s="71">
        <f>AgeStanSec!P101/O$3</f>
        <v>11997.487854011139</v>
      </c>
      <c r="P101" s="71">
        <f>AgeStanSec!Q101/P$3</f>
        <v>12194.8</v>
      </c>
      <c r="Q101" s="71">
        <f>AgeStanSec!R101/Q$3</f>
        <v>13799.287162968265</v>
      </c>
      <c r="R101" s="71">
        <f>AgeStanSec!S101/R$3</f>
        <v>15318.83</v>
      </c>
      <c r="S101" s="71">
        <f>AgeStanSec!T101/S$3</f>
        <v>17186.146666666667</v>
      </c>
      <c r="T101" s="71">
        <f>AgeStanSec!U101/T$3</f>
        <v>17551.716724329912</v>
      </c>
      <c r="U101" s="71">
        <f>AgeStanSec!V101/U$3</f>
        <v>18701.3</v>
      </c>
      <c r="V101" s="47"/>
    </row>
    <row r="102" spans="1:2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D12" sqref="D12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3" style="1" customWidth="1"/>
    <col min="11" max="11" width="12.33203125" style="1" customWidth="1"/>
    <col min="12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20" t="s">
        <v>69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J1" s="246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</row>
    <row r="2" spans="1:21" ht="15.95" customHeight="1">
      <c r="A2" s="220"/>
      <c r="B2" s="221"/>
      <c r="C2" s="222"/>
      <c r="D2" s="223"/>
      <c r="E2" s="223"/>
      <c r="F2" s="323">
        <f>(+H$3-H$4)*F$4/2</f>
        <v>2.81E-2</v>
      </c>
      <c r="G2" s="324">
        <f>(+I$4-I$3)*G$4/2</f>
        <v>6.2629499999999991E-2</v>
      </c>
      <c r="H2" s="225"/>
      <c r="I2" s="225"/>
      <c r="J2" s="246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</row>
    <row r="3" spans="1:21" ht="15.95" customHeight="1">
      <c r="A3" s="220"/>
      <c r="B3" s="221"/>
      <c r="C3" s="222"/>
      <c r="D3" s="223"/>
      <c r="E3" s="223"/>
      <c r="F3" s="325">
        <f>F4/(2*(+H3-H4))</f>
        <v>1.75625E-3</v>
      </c>
      <c r="G3" s="326">
        <f>G4/(2*(+I4-I3))</f>
        <v>3.7635658914728684E-4</v>
      </c>
      <c r="H3" s="226">
        <v>22</v>
      </c>
      <c r="I3" s="227">
        <v>30.1</v>
      </c>
      <c r="J3" s="281" t="s">
        <v>154</v>
      </c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ht="15.75">
      <c r="A4" s="221"/>
      <c r="B4" s="221"/>
      <c r="C4" s="221"/>
      <c r="D4" s="282">
        <f>Parameters!G13</f>
        <v>9.8726851851851857E-3</v>
      </c>
      <c r="E4" s="229">
        <f>D4*1440</f>
        <v>14.216666666666667</v>
      </c>
      <c r="F4" s="230">
        <v>1.405E-2</v>
      </c>
      <c r="G4" s="219">
        <v>9.7099999999999999E-3</v>
      </c>
      <c r="H4" s="226">
        <v>18</v>
      </c>
      <c r="I4" s="227">
        <v>43</v>
      </c>
      <c r="J4" s="283" t="s">
        <v>56</v>
      </c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</row>
    <row r="5" spans="1:21" ht="15.75">
      <c r="A5" s="221"/>
      <c r="B5" s="221"/>
      <c r="C5" s="221"/>
      <c r="D5" s="228"/>
      <c r="E5" s="221">
        <f>OC*60</f>
        <v>853</v>
      </c>
      <c r="F5" s="230">
        <v>7.3999999999999999E-4</v>
      </c>
      <c r="G5" s="219">
        <v>4.0000000000000002E-4</v>
      </c>
      <c r="H5" s="226">
        <v>15</v>
      </c>
      <c r="I5" s="227">
        <v>77</v>
      </c>
      <c r="J5" s="283" t="s">
        <v>57</v>
      </c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</row>
    <row r="6" spans="1:21" ht="66.75" customHeight="1">
      <c r="A6" s="232" t="s">
        <v>70</v>
      </c>
      <c r="B6" s="232" t="s">
        <v>989</v>
      </c>
      <c r="C6" s="232" t="s">
        <v>990</v>
      </c>
      <c r="D6" s="232" t="s">
        <v>1066</v>
      </c>
      <c r="E6" s="232" t="s">
        <v>1025</v>
      </c>
      <c r="F6" s="232" t="s">
        <v>959</v>
      </c>
      <c r="G6" s="232" t="s">
        <v>1172</v>
      </c>
      <c r="H6" s="232" t="s">
        <v>958</v>
      </c>
      <c r="I6" s="233" t="s">
        <v>70</v>
      </c>
      <c r="J6" s="284" t="s">
        <v>1067</v>
      </c>
      <c r="K6" s="235" t="s">
        <v>992</v>
      </c>
      <c r="L6" s="285" t="s">
        <v>427</v>
      </c>
      <c r="M6" s="286" t="s">
        <v>428</v>
      </c>
      <c r="N6" s="286" t="s">
        <v>429</v>
      </c>
      <c r="O6" s="287" t="s">
        <v>430</v>
      </c>
      <c r="P6" s="287" t="s">
        <v>431</v>
      </c>
      <c r="Q6" s="288" t="s">
        <v>432</v>
      </c>
      <c r="R6" s="287" t="s">
        <v>433</v>
      </c>
      <c r="S6" s="287" t="s">
        <v>434</v>
      </c>
      <c r="T6" s="289" t="s">
        <v>435</v>
      </c>
      <c r="U6" s="224"/>
    </row>
    <row r="7" spans="1:21">
      <c r="A7" s="224">
        <v>1</v>
      </c>
      <c r="B7" s="224"/>
      <c r="C7" s="224"/>
      <c r="D7" s="224"/>
      <c r="E7" s="224"/>
      <c r="F7" s="224"/>
      <c r="G7" s="224"/>
      <c r="H7" s="224"/>
      <c r="I7" s="224">
        <v>1</v>
      </c>
      <c r="J7" s="290"/>
      <c r="K7" s="291"/>
      <c r="L7" s="292"/>
      <c r="M7" s="292"/>
      <c r="N7" s="292"/>
      <c r="O7" s="292"/>
      <c r="P7" s="292"/>
      <c r="Q7" s="292"/>
      <c r="R7" s="292"/>
      <c r="S7" s="292"/>
      <c r="T7" s="292"/>
      <c r="U7" s="292"/>
    </row>
    <row r="8" spans="1:21">
      <c r="A8" s="224">
        <v>2</v>
      </c>
      <c r="B8" s="224"/>
      <c r="C8" s="224"/>
      <c r="D8" s="224"/>
      <c r="E8" s="224"/>
      <c r="F8" s="224"/>
      <c r="G8" s="224"/>
      <c r="H8" s="224"/>
      <c r="I8" s="224">
        <v>2</v>
      </c>
      <c r="J8" s="290"/>
      <c r="K8" s="291"/>
      <c r="L8" s="292"/>
      <c r="M8" s="292"/>
      <c r="N8" s="292"/>
      <c r="O8" s="292"/>
      <c r="P8" s="292"/>
      <c r="Q8" s="292"/>
      <c r="R8" s="292"/>
      <c r="S8" s="292"/>
      <c r="T8" s="292"/>
      <c r="U8" s="292"/>
    </row>
    <row r="9" spans="1:21">
      <c r="A9" s="224">
        <v>3</v>
      </c>
      <c r="B9" s="293">
        <v>3.1805555555555552E-2</v>
      </c>
      <c r="C9" s="231">
        <f>B9*1440</f>
        <v>45.8</v>
      </c>
      <c r="D9" s="231">
        <f t="shared" ref="D9:D41" si="0">OC/E9</f>
        <v>21.71809756594358</v>
      </c>
      <c r="E9" s="246">
        <f t="shared" ref="E9:E32" si="1">ROUND(1-IF(A9&gt;=H$3,0,IF(A9&gt;=H$4,F$3*(A9-H$3)^2,F$2+F$4*(H$4-A9)+(A9&lt;H$5)*F$5*(H$5-A9)^2)),4)</f>
        <v>0.65459999999999996</v>
      </c>
      <c r="F9" s="246">
        <v>22.350323624595472</v>
      </c>
      <c r="G9" s="246"/>
      <c r="H9" s="247"/>
      <c r="I9" s="224">
        <v>3</v>
      </c>
      <c r="J9" s="243">
        <f t="shared" ref="J9:J41" si="2">100*F9/+C9</f>
        <v>48.799833241474829</v>
      </c>
      <c r="K9" s="244">
        <f t="shared" ref="K9:K40" si="3">100*(D9/C9)</f>
        <v>47.419426999876819</v>
      </c>
      <c r="L9" s="294" t="s">
        <v>160</v>
      </c>
      <c r="M9" s="262" t="s">
        <v>239</v>
      </c>
      <c r="N9" s="262" t="s">
        <v>240</v>
      </c>
      <c r="O9" s="262" t="s">
        <v>241</v>
      </c>
      <c r="P9" s="295">
        <v>40644</v>
      </c>
      <c r="Q9" s="263"/>
      <c r="R9" s="262" t="s">
        <v>242</v>
      </c>
      <c r="S9" s="295">
        <v>42077</v>
      </c>
      <c r="T9" s="296"/>
      <c r="U9" s="297"/>
    </row>
    <row r="10" spans="1:21">
      <c r="A10" s="224">
        <v>4</v>
      </c>
      <c r="B10" s="298">
        <v>2.0763888888888887E-2</v>
      </c>
      <c r="C10" s="231">
        <f>B10*1440</f>
        <v>29.9</v>
      </c>
      <c r="D10" s="231">
        <f t="shared" si="0"/>
        <v>20.73307082786447</v>
      </c>
      <c r="E10" s="246">
        <f t="shared" si="1"/>
        <v>0.68569999999999998</v>
      </c>
      <c r="F10" s="246">
        <v>21.312503013645788</v>
      </c>
      <c r="G10" s="246">
        <v>38.516666666666666</v>
      </c>
      <c r="H10" s="247">
        <f t="shared" ref="H10:H73" si="4">((F10-D10)/F10)</f>
        <v>2.7187430092576369E-2</v>
      </c>
      <c r="I10" s="224">
        <v>4</v>
      </c>
      <c r="J10" s="243">
        <f t="shared" si="2"/>
        <v>71.279274293129731</v>
      </c>
      <c r="K10" s="244">
        <f t="shared" si="3"/>
        <v>69.341374006235696</v>
      </c>
      <c r="L10" s="294" t="s">
        <v>161</v>
      </c>
      <c r="M10" s="262" t="s">
        <v>243</v>
      </c>
      <c r="N10" s="262" t="s">
        <v>244</v>
      </c>
      <c r="O10" s="262" t="s">
        <v>241</v>
      </c>
      <c r="P10" s="295">
        <v>41445</v>
      </c>
      <c r="Q10" s="263"/>
      <c r="R10" s="262" t="s">
        <v>245</v>
      </c>
      <c r="S10" s="295">
        <v>42959</v>
      </c>
      <c r="T10" s="296"/>
      <c r="U10" s="297"/>
    </row>
    <row r="11" spans="1:21">
      <c r="A11" s="224">
        <v>5</v>
      </c>
      <c r="B11" s="298">
        <v>1.5486111111111112E-2</v>
      </c>
      <c r="C11" s="231">
        <f t="shared" ref="C11:C74" si="5">B11*1440</f>
        <v>22.3</v>
      </c>
      <c r="D11" s="231">
        <f t="shared" si="0"/>
        <v>19.875110676173165</v>
      </c>
      <c r="E11" s="246">
        <f t="shared" si="1"/>
        <v>0.71530000000000005</v>
      </c>
      <c r="F11" s="246">
        <v>20.406278855032319</v>
      </c>
      <c r="G11" s="246">
        <v>28.083333333333336</v>
      </c>
      <c r="H11" s="247">
        <f t="shared" si="4"/>
        <v>2.6029644240020994E-2</v>
      </c>
      <c r="I11" s="224">
        <v>5</v>
      </c>
      <c r="J11" s="243">
        <f t="shared" si="2"/>
        <v>91.507976928396047</v>
      </c>
      <c r="K11" s="244">
        <f t="shared" si="3"/>
        <v>89.12605684382585</v>
      </c>
      <c r="L11" s="294" t="s">
        <v>162</v>
      </c>
      <c r="M11" s="262" t="s">
        <v>246</v>
      </c>
      <c r="N11" s="262" t="s">
        <v>244</v>
      </c>
      <c r="O11" s="262" t="s">
        <v>241</v>
      </c>
      <c r="P11" s="295">
        <v>40412</v>
      </c>
      <c r="Q11" s="263"/>
      <c r="R11" s="262" t="s">
        <v>247</v>
      </c>
      <c r="S11" s="295">
        <v>42547</v>
      </c>
      <c r="T11" s="296"/>
      <c r="U11" s="297"/>
    </row>
    <row r="12" spans="1:21">
      <c r="A12" s="224">
        <v>6</v>
      </c>
      <c r="B12" s="298">
        <v>1.4560185185185185E-2</v>
      </c>
      <c r="C12" s="231">
        <f t="shared" si="5"/>
        <v>20.966666666666665</v>
      </c>
      <c r="D12" s="231">
        <f t="shared" si="0"/>
        <v>19.123845395031836</v>
      </c>
      <c r="E12" s="246">
        <f t="shared" si="1"/>
        <v>0.74339999999999995</v>
      </c>
      <c r="F12" s="246">
        <v>19.610452992590623</v>
      </c>
      <c r="G12" s="246">
        <v>22.3</v>
      </c>
      <c r="H12" s="247">
        <f t="shared" si="4"/>
        <v>2.4813684708998893E-2</v>
      </c>
      <c r="I12" s="224">
        <v>6</v>
      </c>
      <c r="J12" s="243">
        <f t="shared" si="2"/>
        <v>93.531572301704102</v>
      </c>
      <c r="K12" s="244">
        <f t="shared" si="3"/>
        <v>91.210709356272673</v>
      </c>
      <c r="L12" s="294" t="s">
        <v>163</v>
      </c>
      <c r="M12" s="262" t="s">
        <v>246</v>
      </c>
      <c r="N12" s="262" t="s">
        <v>244</v>
      </c>
      <c r="O12" s="262" t="s">
        <v>241</v>
      </c>
      <c r="P12" s="295">
        <v>40412</v>
      </c>
      <c r="Q12" s="263"/>
      <c r="R12" s="262" t="s">
        <v>248</v>
      </c>
      <c r="S12" s="295">
        <v>42952</v>
      </c>
      <c r="T12" s="296"/>
      <c r="U12" s="297"/>
    </row>
    <row r="13" spans="1:21">
      <c r="A13" s="224">
        <v>7</v>
      </c>
      <c r="B13" s="298">
        <v>1.2824074074074075E-2</v>
      </c>
      <c r="C13" s="231">
        <f t="shared" si="5"/>
        <v>18.466666666666669</v>
      </c>
      <c r="D13" s="231">
        <f t="shared" si="0"/>
        <v>18.463203463203463</v>
      </c>
      <c r="E13" s="246">
        <f t="shared" si="1"/>
        <v>0.77</v>
      </c>
      <c r="F13" s="246">
        <v>18.908281998631075</v>
      </c>
      <c r="G13" s="246">
        <v>21.75</v>
      </c>
      <c r="H13" s="247">
        <f t="shared" si="4"/>
        <v>2.3538814127049459E-2</v>
      </c>
      <c r="I13" s="224">
        <v>7</v>
      </c>
      <c r="J13" s="243">
        <f t="shared" si="2"/>
        <v>102.39141876515022</v>
      </c>
      <c r="K13" s="244">
        <f t="shared" si="3"/>
        <v>99.981246190632461</v>
      </c>
      <c r="L13" s="294" t="s">
        <v>164</v>
      </c>
      <c r="M13" s="262" t="s">
        <v>249</v>
      </c>
      <c r="N13" s="262" t="s">
        <v>250</v>
      </c>
      <c r="O13" s="262" t="s">
        <v>241</v>
      </c>
      <c r="P13" s="295">
        <v>39321</v>
      </c>
      <c r="Q13" s="263"/>
      <c r="R13" s="262" t="s">
        <v>251</v>
      </c>
      <c r="S13" s="295">
        <v>42070</v>
      </c>
      <c r="T13" s="296"/>
      <c r="U13" s="297"/>
    </row>
    <row r="14" spans="1:21">
      <c r="A14" s="224">
        <v>8</v>
      </c>
      <c r="B14" s="298">
        <v>1.2905092592592593E-2</v>
      </c>
      <c r="C14" s="231">
        <f t="shared" si="5"/>
        <v>18.583333333333336</v>
      </c>
      <c r="D14" s="231">
        <f t="shared" si="0"/>
        <v>17.880350480023477</v>
      </c>
      <c r="E14" s="246">
        <f t="shared" si="1"/>
        <v>0.79510000000000003</v>
      </c>
      <c r="F14" s="246">
        <v>18.286376235985273</v>
      </c>
      <c r="G14" s="246">
        <v>20.7</v>
      </c>
      <c r="H14" s="247">
        <f t="shared" si="4"/>
        <v>2.2203729745141558E-2</v>
      </c>
      <c r="I14" s="224">
        <v>8</v>
      </c>
      <c r="J14" s="243">
        <f t="shared" si="2"/>
        <v>98.40202458826154</v>
      </c>
      <c r="K14" s="244">
        <f t="shared" si="3"/>
        <v>96.217132627929018</v>
      </c>
      <c r="L14" s="294" t="s">
        <v>165</v>
      </c>
      <c r="M14" s="262" t="s">
        <v>249</v>
      </c>
      <c r="N14" s="262" t="s">
        <v>250</v>
      </c>
      <c r="O14" s="262" t="s">
        <v>241</v>
      </c>
      <c r="P14" s="295">
        <v>39321</v>
      </c>
      <c r="Q14" s="263"/>
      <c r="R14" s="262" t="s">
        <v>252</v>
      </c>
      <c r="S14" s="295">
        <v>42555</v>
      </c>
      <c r="T14" s="296"/>
      <c r="U14" s="297"/>
    </row>
    <row r="15" spans="1:21">
      <c r="A15" s="224">
        <v>9</v>
      </c>
      <c r="B15" s="298">
        <v>1.2430555555555556E-2</v>
      </c>
      <c r="C15" s="231">
        <f t="shared" si="5"/>
        <v>17.899999999999999</v>
      </c>
      <c r="D15" s="231">
        <f t="shared" si="0"/>
        <v>17.362807360364762</v>
      </c>
      <c r="E15" s="246">
        <f t="shared" si="1"/>
        <v>0.81879999999999997</v>
      </c>
      <c r="F15" s="246">
        <v>17.733911089712727</v>
      </c>
      <c r="G15" s="246">
        <v>18.783333333333335</v>
      </c>
      <c r="H15" s="247">
        <f t="shared" si="4"/>
        <v>2.0926220249476643E-2</v>
      </c>
      <c r="I15" s="224">
        <v>9</v>
      </c>
      <c r="J15" s="243">
        <f t="shared" si="2"/>
        <v>99.07212899280853</v>
      </c>
      <c r="K15" s="244">
        <f t="shared" si="3"/>
        <v>96.998923800920466</v>
      </c>
      <c r="L15" s="294" t="s">
        <v>166</v>
      </c>
      <c r="M15" s="262" t="s">
        <v>249</v>
      </c>
      <c r="N15" s="262" t="s">
        <v>250</v>
      </c>
      <c r="O15" s="262" t="s">
        <v>241</v>
      </c>
      <c r="P15" s="295">
        <v>39321</v>
      </c>
      <c r="Q15" s="263"/>
      <c r="R15" s="262" t="s">
        <v>253</v>
      </c>
      <c r="S15" s="295">
        <v>42610</v>
      </c>
      <c r="T15" s="296"/>
      <c r="U15" s="297"/>
    </row>
    <row r="16" spans="1:21">
      <c r="A16" s="224">
        <v>10</v>
      </c>
      <c r="B16" s="298">
        <v>1.2453703703703703E-2</v>
      </c>
      <c r="C16" s="231">
        <f t="shared" si="5"/>
        <v>17.933333333333334</v>
      </c>
      <c r="D16" s="231">
        <f t="shared" si="0"/>
        <v>16.904478795085218</v>
      </c>
      <c r="E16" s="246">
        <f t="shared" si="1"/>
        <v>0.84099999999999997</v>
      </c>
      <c r="F16" s="246">
        <v>17.242051882192314</v>
      </c>
      <c r="G16" s="246">
        <v>18.316666666666666</v>
      </c>
      <c r="H16" s="247">
        <f t="shared" si="4"/>
        <v>1.9578475312195469E-2</v>
      </c>
      <c r="I16" s="224">
        <v>10</v>
      </c>
      <c r="J16" s="243">
        <f t="shared" si="2"/>
        <v>96.145270718544495</v>
      </c>
      <c r="K16" s="244">
        <f t="shared" si="3"/>
        <v>94.262892909397124</v>
      </c>
      <c r="L16" s="294" t="s">
        <v>167</v>
      </c>
      <c r="M16" s="262" t="s">
        <v>249</v>
      </c>
      <c r="N16" s="262" t="s">
        <v>250</v>
      </c>
      <c r="O16" s="262" t="s">
        <v>241</v>
      </c>
      <c r="P16" s="295">
        <v>39321</v>
      </c>
      <c r="Q16" s="263"/>
      <c r="R16" s="262" t="s">
        <v>254</v>
      </c>
      <c r="S16" s="295">
        <v>43023</v>
      </c>
      <c r="T16" s="296"/>
      <c r="U16" s="297"/>
    </row>
    <row r="17" spans="1:21">
      <c r="A17" s="224">
        <v>11</v>
      </c>
      <c r="B17" s="298">
        <v>1.2141203703703704E-2</v>
      </c>
      <c r="C17" s="231">
        <f t="shared" si="5"/>
        <v>17.483333333333334</v>
      </c>
      <c r="D17" s="231">
        <f t="shared" si="0"/>
        <v>16.498394646241923</v>
      </c>
      <c r="E17" s="246">
        <f t="shared" si="1"/>
        <v>0.86170000000000002</v>
      </c>
      <c r="F17" s="246">
        <v>16.803527980535282</v>
      </c>
      <c r="G17" s="246">
        <v>17.75</v>
      </c>
      <c r="H17" s="247">
        <f t="shared" si="4"/>
        <v>1.8158885125005679E-2</v>
      </c>
      <c r="I17" s="224">
        <v>11</v>
      </c>
      <c r="J17" s="243">
        <f t="shared" si="2"/>
        <v>96.111694836236111</v>
      </c>
      <c r="K17" s="244">
        <f t="shared" si="3"/>
        <v>94.366413610535304</v>
      </c>
      <c r="L17" s="294" t="s">
        <v>168</v>
      </c>
      <c r="M17" s="262" t="s">
        <v>255</v>
      </c>
      <c r="N17" s="262" t="s">
        <v>256</v>
      </c>
      <c r="O17" s="262" t="s">
        <v>241</v>
      </c>
      <c r="P17" s="295">
        <v>37809</v>
      </c>
      <c r="Q17" s="263"/>
      <c r="R17" s="262" t="s">
        <v>257</v>
      </c>
      <c r="S17" s="295">
        <v>42175</v>
      </c>
      <c r="T17" s="296"/>
      <c r="U17" s="297"/>
    </row>
    <row r="18" spans="1:21">
      <c r="A18" s="224">
        <v>12</v>
      </c>
      <c r="B18" s="298">
        <v>1.2002314814814815E-2</v>
      </c>
      <c r="C18" s="231">
        <f t="shared" si="5"/>
        <v>17.283333333333331</v>
      </c>
      <c r="D18" s="231">
        <f t="shared" si="0"/>
        <v>16.138797442010066</v>
      </c>
      <c r="E18" s="246">
        <f t="shared" si="1"/>
        <v>0.88090000000000002</v>
      </c>
      <c r="F18" s="246">
        <v>16.412312947903903</v>
      </c>
      <c r="G18" s="246">
        <v>18.433333333333334</v>
      </c>
      <c r="H18" s="247">
        <f t="shared" si="4"/>
        <v>1.6665262645309768E-2</v>
      </c>
      <c r="I18" s="224">
        <v>12</v>
      </c>
      <c r="J18" s="243">
        <f t="shared" si="2"/>
        <v>94.96034492519135</v>
      </c>
      <c r="K18" s="244">
        <f t="shared" si="3"/>
        <v>93.377805836123827</v>
      </c>
      <c r="L18" s="294" t="s">
        <v>169</v>
      </c>
      <c r="M18" s="262" t="s">
        <v>258</v>
      </c>
      <c r="N18" s="262" t="s">
        <v>259</v>
      </c>
      <c r="O18" s="262" t="s">
        <v>241</v>
      </c>
      <c r="P18" s="295">
        <v>38101</v>
      </c>
      <c r="Q18" s="263"/>
      <c r="R18" s="262" t="s">
        <v>260</v>
      </c>
      <c r="S18" s="295">
        <v>42812</v>
      </c>
      <c r="T18" s="296"/>
      <c r="U18" s="297"/>
    </row>
    <row r="19" spans="1:21">
      <c r="A19" s="224">
        <v>13</v>
      </c>
      <c r="B19" s="298">
        <v>1.1527777777777777E-2</v>
      </c>
      <c r="C19" s="231">
        <f t="shared" si="5"/>
        <v>16.599999999999998</v>
      </c>
      <c r="D19" s="231">
        <f t="shared" si="0"/>
        <v>15.819146174103334</v>
      </c>
      <c r="E19" s="246">
        <f t="shared" si="1"/>
        <v>0.89870000000000005</v>
      </c>
      <c r="F19" s="246">
        <v>16.0633813054223</v>
      </c>
      <c r="G19" s="246">
        <v>16.716666666666665</v>
      </c>
      <c r="H19" s="247">
        <f t="shared" si="4"/>
        <v>1.5204465776861248E-2</v>
      </c>
      <c r="I19" s="224">
        <v>13</v>
      </c>
      <c r="J19" s="243">
        <f t="shared" si="2"/>
        <v>96.767357261580145</v>
      </c>
      <c r="K19" s="244">
        <f t="shared" si="3"/>
        <v>95.296061289779132</v>
      </c>
      <c r="L19" s="294" t="s">
        <v>170</v>
      </c>
      <c r="M19" s="262" t="s">
        <v>255</v>
      </c>
      <c r="N19" s="262" t="s">
        <v>256</v>
      </c>
      <c r="O19" s="262" t="s">
        <v>241</v>
      </c>
      <c r="P19" s="295">
        <v>37809</v>
      </c>
      <c r="Q19" s="263"/>
      <c r="R19" s="262" t="s">
        <v>261</v>
      </c>
      <c r="S19" s="295">
        <v>42698</v>
      </c>
      <c r="T19" s="296"/>
      <c r="U19" s="297"/>
    </row>
    <row r="20" spans="1:21">
      <c r="A20" s="224">
        <v>14</v>
      </c>
      <c r="B20" s="298">
        <v>1.1435185185185185E-2</v>
      </c>
      <c r="C20" s="231">
        <f t="shared" si="5"/>
        <v>16.466666666666669</v>
      </c>
      <c r="D20" s="231">
        <f t="shared" si="0"/>
        <v>15.537340619307832</v>
      </c>
      <c r="E20" s="246">
        <f t="shared" si="1"/>
        <v>0.91500000000000004</v>
      </c>
      <c r="F20" s="246">
        <v>15.752521472611283</v>
      </c>
      <c r="G20" s="246">
        <v>16.466666666666669</v>
      </c>
      <c r="H20" s="247">
        <f t="shared" si="4"/>
        <v>1.3660089508691258E-2</v>
      </c>
      <c r="I20" s="224">
        <v>14</v>
      </c>
      <c r="J20" s="243">
        <f t="shared" si="2"/>
        <v>95.663085866060413</v>
      </c>
      <c r="K20" s="244">
        <f t="shared" si="3"/>
        <v>94.356319550452412</v>
      </c>
      <c r="L20" s="294" t="s">
        <v>171</v>
      </c>
      <c r="M20" s="262" t="s">
        <v>262</v>
      </c>
      <c r="N20" s="262" t="s">
        <v>263</v>
      </c>
      <c r="O20" s="262" t="s">
        <v>264</v>
      </c>
      <c r="P20" s="295">
        <v>34851</v>
      </c>
      <c r="Q20" s="263"/>
      <c r="R20" s="262" t="s">
        <v>265</v>
      </c>
      <c r="S20" s="295">
        <v>40220</v>
      </c>
      <c r="T20" s="296"/>
      <c r="U20" s="297"/>
    </row>
    <row r="21" spans="1:21">
      <c r="A21" s="224">
        <v>15</v>
      </c>
      <c r="B21" s="298">
        <v>1.1273148148148148E-2</v>
      </c>
      <c r="C21" s="231">
        <f t="shared" si="5"/>
        <v>16.233333333333334</v>
      </c>
      <c r="D21" s="231">
        <f t="shared" si="0"/>
        <v>15.290026529002654</v>
      </c>
      <c r="E21" s="246">
        <f t="shared" si="1"/>
        <v>0.92979999999999996</v>
      </c>
      <c r="F21" s="246">
        <v>15.476190476190478</v>
      </c>
      <c r="G21" s="246">
        <v>16.233333333333334</v>
      </c>
      <c r="H21" s="247">
        <f t="shared" si="4"/>
        <v>1.2029055049059384E-2</v>
      </c>
      <c r="I21" s="224">
        <v>15</v>
      </c>
      <c r="J21" s="243">
        <f t="shared" si="2"/>
        <v>95.335875623349949</v>
      </c>
      <c r="K21" s="244">
        <f t="shared" si="3"/>
        <v>94.189075127326404</v>
      </c>
      <c r="L21" s="294" t="s">
        <v>172</v>
      </c>
      <c r="M21" s="262" t="s">
        <v>266</v>
      </c>
      <c r="N21" s="262" t="s">
        <v>267</v>
      </c>
      <c r="O21" s="262" t="s">
        <v>268</v>
      </c>
      <c r="P21" s="295">
        <v>28549</v>
      </c>
      <c r="Q21" s="263"/>
      <c r="R21" s="262" t="s">
        <v>269</v>
      </c>
      <c r="S21" s="295">
        <v>34334</v>
      </c>
      <c r="T21" s="296"/>
      <c r="U21" s="297"/>
    </row>
    <row r="22" spans="1:21">
      <c r="A22" s="224">
        <v>16</v>
      </c>
      <c r="B22" s="298">
        <v>1.0636574074074074E-2</v>
      </c>
      <c r="C22" s="231">
        <f t="shared" si="5"/>
        <v>15.316666666666666</v>
      </c>
      <c r="D22" s="231">
        <f t="shared" si="0"/>
        <v>15.063219608674155</v>
      </c>
      <c r="E22" s="246">
        <f t="shared" si="1"/>
        <v>0.94379999999999997</v>
      </c>
      <c r="F22" s="246">
        <v>15.220385674931132</v>
      </c>
      <c r="G22" s="246">
        <v>15.316666666666666</v>
      </c>
      <c r="H22" s="247">
        <f t="shared" si="4"/>
        <v>1.0326023900684636E-2</v>
      </c>
      <c r="I22" s="224">
        <v>16</v>
      </c>
      <c r="J22" s="243">
        <f t="shared" si="2"/>
        <v>99.371397224795203</v>
      </c>
      <c r="K22" s="244">
        <f t="shared" si="3"/>
        <v>98.345285802007538</v>
      </c>
      <c r="L22" s="294" t="s">
        <v>173</v>
      </c>
      <c r="M22" s="262" t="s">
        <v>270</v>
      </c>
      <c r="N22" s="262" t="s">
        <v>271</v>
      </c>
      <c r="O22" s="262" t="s">
        <v>272</v>
      </c>
      <c r="P22" s="295">
        <v>31199</v>
      </c>
      <c r="Q22" s="263" t="s">
        <v>273</v>
      </c>
      <c r="R22" s="262" t="s">
        <v>274</v>
      </c>
      <c r="S22" s="295">
        <v>37353</v>
      </c>
      <c r="T22" s="296"/>
      <c r="U22" s="297"/>
    </row>
    <row r="23" spans="1:21">
      <c r="A23" s="224">
        <v>17</v>
      </c>
      <c r="B23" s="298">
        <v>1.0416666666666666E-2</v>
      </c>
      <c r="C23" s="231">
        <f t="shared" si="5"/>
        <v>15</v>
      </c>
      <c r="D23" s="231">
        <f t="shared" si="0"/>
        <v>14.841493544907262</v>
      </c>
      <c r="E23" s="246">
        <f t="shared" si="1"/>
        <v>0.95789999999999997</v>
      </c>
      <c r="F23" s="246">
        <v>14.972899728997291</v>
      </c>
      <c r="G23" s="246">
        <v>15</v>
      </c>
      <c r="H23" s="247">
        <f t="shared" si="4"/>
        <v>8.7762682224833636E-3</v>
      </c>
      <c r="I23" s="224">
        <v>17</v>
      </c>
      <c r="J23" s="243">
        <f t="shared" si="2"/>
        <v>99.819331526648597</v>
      </c>
      <c r="K23" s="244">
        <f t="shared" si="3"/>
        <v>98.943290299381744</v>
      </c>
      <c r="L23" s="294" t="s">
        <v>174</v>
      </c>
      <c r="M23" s="262" t="s">
        <v>270</v>
      </c>
      <c r="N23" s="262" t="s">
        <v>271</v>
      </c>
      <c r="O23" s="262" t="s">
        <v>272</v>
      </c>
      <c r="P23" s="295">
        <v>31199</v>
      </c>
      <c r="Q23" s="263" t="s">
        <v>273</v>
      </c>
      <c r="R23" s="262" t="s">
        <v>274</v>
      </c>
      <c r="S23" s="295">
        <v>37724</v>
      </c>
      <c r="T23" s="296"/>
      <c r="U23" s="297"/>
    </row>
    <row r="24" spans="1:21">
      <c r="A24" s="224">
        <v>18</v>
      </c>
      <c r="B24" s="298">
        <v>1.0185185185185186E-2</v>
      </c>
      <c r="C24" s="231">
        <f t="shared" si="5"/>
        <v>14.666666666666668</v>
      </c>
      <c r="D24" s="231">
        <f t="shared" si="0"/>
        <v>14.627705182288988</v>
      </c>
      <c r="E24" s="246">
        <f t="shared" si="1"/>
        <v>0.97189999999999999</v>
      </c>
      <c r="F24" s="246">
        <v>14.792503346720215</v>
      </c>
      <c r="G24" s="246">
        <v>15.083333333333334</v>
      </c>
      <c r="H24" s="247">
        <f t="shared" si="4"/>
        <v>1.114065419277164E-2</v>
      </c>
      <c r="I24" s="224">
        <v>18</v>
      </c>
      <c r="J24" s="243">
        <f t="shared" si="2"/>
        <v>100.85797736400147</v>
      </c>
      <c r="K24" s="244">
        <f t="shared" si="3"/>
        <v>99.734353515606728</v>
      </c>
      <c r="L24" s="294" t="s">
        <v>993</v>
      </c>
      <c r="M24" s="262" t="s">
        <v>1002</v>
      </c>
      <c r="N24" s="262" t="s">
        <v>1003</v>
      </c>
      <c r="O24" s="262" t="s">
        <v>272</v>
      </c>
      <c r="P24" s="295">
        <v>38355</v>
      </c>
      <c r="Q24" s="267" t="s">
        <v>1004</v>
      </c>
      <c r="R24" s="267" t="s">
        <v>1005</v>
      </c>
      <c r="S24" s="295">
        <v>45291</v>
      </c>
      <c r="T24" s="296"/>
      <c r="U24" s="297"/>
    </row>
    <row r="25" spans="1:21" ht="15.75" customHeight="1">
      <c r="A25" s="224">
        <v>19</v>
      </c>
      <c r="B25" s="298">
        <v>1.0162037037037037E-2</v>
      </c>
      <c r="C25" s="231">
        <f t="shared" si="5"/>
        <v>14.633333333333333</v>
      </c>
      <c r="D25" s="231">
        <f t="shared" si="0"/>
        <v>14.444896023843393</v>
      </c>
      <c r="E25" s="246">
        <f t="shared" si="1"/>
        <v>0.98419999999999996</v>
      </c>
      <c r="F25" s="246">
        <v>14.733333333333334</v>
      </c>
      <c r="G25" s="246">
        <v>14.850000000000001</v>
      </c>
      <c r="H25" s="247">
        <f t="shared" si="4"/>
        <v>1.9577192951805968E-2</v>
      </c>
      <c r="I25" s="224">
        <v>19</v>
      </c>
      <c r="J25" s="243">
        <f t="shared" si="2"/>
        <v>100.68337129840548</v>
      </c>
      <c r="K25" s="244">
        <f t="shared" si="3"/>
        <v>98.712273511458264</v>
      </c>
      <c r="L25" s="294" t="s">
        <v>994</v>
      </c>
      <c r="M25" s="262" t="s">
        <v>1006</v>
      </c>
      <c r="N25" s="263" t="s">
        <v>1003</v>
      </c>
      <c r="O25" s="262" t="s">
        <v>272</v>
      </c>
      <c r="P25" s="295">
        <v>38355</v>
      </c>
      <c r="Q25" s="299" t="s">
        <v>1007</v>
      </c>
      <c r="R25" s="299" t="s">
        <v>981</v>
      </c>
      <c r="S25" s="300">
        <v>45409</v>
      </c>
      <c r="T25" s="296"/>
      <c r="U25" s="297"/>
    </row>
    <row r="26" spans="1:21">
      <c r="A26" s="224">
        <v>20</v>
      </c>
      <c r="B26" s="298">
        <v>1.0393518518518519E-2</v>
      </c>
      <c r="C26" s="231">
        <f t="shared" si="5"/>
        <v>14.966666666666667</v>
      </c>
      <c r="D26" s="231">
        <f t="shared" si="0"/>
        <v>14.316884860691507</v>
      </c>
      <c r="E26" s="246">
        <f t="shared" si="1"/>
        <v>0.99299999999999999</v>
      </c>
      <c r="F26" s="246">
        <v>14.733333333333334</v>
      </c>
      <c r="G26" s="246">
        <v>14.95</v>
      </c>
      <c r="H26" s="247">
        <f t="shared" si="4"/>
        <v>2.8265733437228071E-2</v>
      </c>
      <c r="I26" s="224">
        <v>20</v>
      </c>
      <c r="J26" s="243">
        <f t="shared" si="2"/>
        <v>98.440979955456584</v>
      </c>
      <c r="K26" s="244">
        <f t="shared" si="3"/>
        <v>95.658473456736132</v>
      </c>
      <c r="L26" s="294" t="s">
        <v>175</v>
      </c>
      <c r="M26" s="262" t="s">
        <v>276</v>
      </c>
      <c r="N26" s="262" t="s">
        <v>277</v>
      </c>
      <c r="O26" s="262" t="s">
        <v>268</v>
      </c>
      <c r="P26" s="295">
        <v>28256</v>
      </c>
      <c r="Q26" s="263"/>
      <c r="R26" s="262" t="s">
        <v>278</v>
      </c>
      <c r="S26" s="295">
        <v>35589</v>
      </c>
      <c r="T26" s="296"/>
      <c r="U26" s="297"/>
    </row>
    <row r="27" spans="1:21">
      <c r="A27" s="224">
        <v>21</v>
      </c>
      <c r="B27" s="298">
        <v>9.9421296296296289E-3</v>
      </c>
      <c r="C27" s="231">
        <f t="shared" si="5"/>
        <v>14.316666666666666</v>
      </c>
      <c r="D27" s="231">
        <f t="shared" si="0"/>
        <v>14.242302811727777</v>
      </c>
      <c r="E27" s="246">
        <f t="shared" si="1"/>
        <v>0.99819999999999998</v>
      </c>
      <c r="F27" s="246">
        <v>14.733333333333334</v>
      </c>
      <c r="G27" s="246">
        <v>15.283333333333335</v>
      </c>
      <c r="H27" s="247">
        <f t="shared" si="4"/>
        <v>3.3327863457390763E-2</v>
      </c>
      <c r="I27" s="224">
        <v>21</v>
      </c>
      <c r="J27" s="243">
        <f t="shared" si="2"/>
        <v>102.91036088474972</v>
      </c>
      <c r="K27" s="244">
        <f t="shared" si="3"/>
        <v>99.480578428831961</v>
      </c>
      <c r="L27" s="294" t="s">
        <v>995</v>
      </c>
      <c r="M27" s="262" t="s">
        <v>1008</v>
      </c>
      <c r="N27" s="262" t="s">
        <v>1009</v>
      </c>
      <c r="O27" s="262"/>
      <c r="P27" s="295">
        <v>36566</v>
      </c>
      <c r="Q27" s="267" t="s">
        <v>1004</v>
      </c>
      <c r="R27" s="267" t="s">
        <v>1005</v>
      </c>
      <c r="S27" s="295">
        <v>44561</v>
      </c>
      <c r="T27" s="296"/>
      <c r="U27" s="297"/>
    </row>
    <row r="28" spans="1:21">
      <c r="A28" s="404">
        <v>22</v>
      </c>
      <c r="B28" s="405">
        <v>9.8726851851851857E-3</v>
      </c>
      <c r="C28" s="406">
        <f t="shared" si="5"/>
        <v>14.216666666666667</v>
      </c>
      <c r="D28" s="406">
        <f t="shared" si="0"/>
        <v>14.216666666666667</v>
      </c>
      <c r="E28" s="407">
        <f t="shared" si="1"/>
        <v>1</v>
      </c>
      <c r="F28" s="407">
        <v>14.733333333333334</v>
      </c>
      <c r="G28" s="407">
        <v>14.766666666666666</v>
      </c>
      <c r="H28" s="408">
        <f t="shared" si="4"/>
        <v>3.5067873303167477E-2</v>
      </c>
      <c r="I28" s="224">
        <v>22</v>
      </c>
      <c r="J28" s="243">
        <f>100*D27/+C27</f>
        <v>99.480578428831976</v>
      </c>
      <c r="K28" s="244">
        <f t="shared" si="3"/>
        <v>100</v>
      </c>
      <c r="L28" s="301" t="s">
        <v>996</v>
      </c>
      <c r="M28" s="302" t="s">
        <v>972</v>
      </c>
      <c r="N28" s="302" t="s">
        <v>973</v>
      </c>
      <c r="O28" s="302" t="s">
        <v>268</v>
      </c>
      <c r="P28" s="303">
        <v>36914</v>
      </c>
      <c r="Q28" s="304" t="s">
        <v>1010</v>
      </c>
      <c r="R28" s="302" t="s">
        <v>1011</v>
      </c>
      <c r="S28" s="303">
        <v>45305</v>
      </c>
      <c r="T28" s="305" t="s">
        <v>1012</v>
      </c>
      <c r="U28" s="297"/>
    </row>
    <row r="29" spans="1:21">
      <c r="A29" s="404">
        <v>23</v>
      </c>
      <c r="B29" s="405">
        <v>9.8726851851851857E-3</v>
      </c>
      <c r="C29" s="406">
        <f t="shared" si="5"/>
        <v>14.216666666666667</v>
      </c>
      <c r="D29" s="406">
        <f t="shared" si="0"/>
        <v>14.216666666666667</v>
      </c>
      <c r="E29" s="407">
        <f t="shared" si="1"/>
        <v>1</v>
      </c>
      <c r="F29" s="407">
        <v>14.733333333333334</v>
      </c>
      <c r="G29" s="407">
        <v>14.933333333333334</v>
      </c>
      <c r="H29" s="408">
        <f t="shared" si="4"/>
        <v>3.5067873303167477E-2</v>
      </c>
      <c r="I29" s="224">
        <v>23</v>
      </c>
      <c r="J29" s="243">
        <f t="shared" si="2"/>
        <v>103.63423212192264</v>
      </c>
      <c r="K29" s="244">
        <f t="shared" si="3"/>
        <v>100</v>
      </c>
      <c r="L29" s="301" t="s">
        <v>996</v>
      </c>
      <c r="M29" s="302" t="s">
        <v>1013</v>
      </c>
      <c r="N29" s="302" t="s">
        <v>1014</v>
      </c>
      <c r="O29" s="302" t="s">
        <v>268</v>
      </c>
      <c r="P29" s="303">
        <v>36590</v>
      </c>
      <c r="Q29" s="306" t="s">
        <v>1004</v>
      </c>
      <c r="R29" s="306" t="s">
        <v>1005</v>
      </c>
      <c r="S29" s="303">
        <v>45291</v>
      </c>
      <c r="T29" s="305" t="s">
        <v>976</v>
      </c>
      <c r="U29" s="297"/>
    </row>
    <row r="30" spans="1:21">
      <c r="A30" s="224">
        <v>24</v>
      </c>
      <c r="B30" s="298">
        <v>1.0277777777777778E-2</v>
      </c>
      <c r="C30" s="231">
        <f t="shared" si="5"/>
        <v>14.8</v>
      </c>
      <c r="D30" s="231">
        <f t="shared" si="0"/>
        <v>14.216666666666667</v>
      </c>
      <c r="E30" s="246">
        <f t="shared" si="1"/>
        <v>1</v>
      </c>
      <c r="F30" s="246">
        <v>14.733333333333334</v>
      </c>
      <c r="G30" s="246">
        <v>14.883333333333333</v>
      </c>
      <c r="H30" s="247">
        <f t="shared" si="4"/>
        <v>3.5067873303167477E-2</v>
      </c>
      <c r="I30" s="224">
        <v>24</v>
      </c>
      <c r="J30" s="243">
        <f t="shared" si="2"/>
        <v>99.549549549549553</v>
      </c>
      <c r="K30" s="244">
        <f t="shared" si="3"/>
        <v>96.058558558558559</v>
      </c>
      <c r="L30" s="294" t="s">
        <v>176</v>
      </c>
      <c r="M30" s="262" t="s">
        <v>280</v>
      </c>
      <c r="N30" s="262" t="s">
        <v>281</v>
      </c>
      <c r="O30" s="262" t="s">
        <v>272</v>
      </c>
      <c r="P30" s="295">
        <v>33277</v>
      </c>
      <c r="Q30" s="263" t="s">
        <v>273</v>
      </c>
      <c r="R30" s="262" t="s">
        <v>274</v>
      </c>
      <c r="S30" s="295">
        <v>42092</v>
      </c>
      <c r="T30" s="296"/>
      <c r="U30" s="297"/>
    </row>
    <row r="31" spans="1:21" ht="15.75">
      <c r="A31" s="224">
        <v>25</v>
      </c>
      <c r="B31" s="298">
        <v>1.0173611111111111E-2</v>
      </c>
      <c r="C31" s="231">
        <f t="shared" si="5"/>
        <v>14.649999999999999</v>
      </c>
      <c r="D31" s="231">
        <f t="shared" si="0"/>
        <v>14.216666666666667</v>
      </c>
      <c r="E31" s="246">
        <f t="shared" si="1"/>
        <v>1</v>
      </c>
      <c r="F31" s="246">
        <v>14.733333333333334</v>
      </c>
      <c r="G31" s="246">
        <v>14.916666666666664</v>
      </c>
      <c r="H31" s="247">
        <f t="shared" si="4"/>
        <v>3.5067873303167477E-2</v>
      </c>
      <c r="I31" s="224">
        <v>25</v>
      </c>
      <c r="J31" s="243">
        <f t="shared" si="2"/>
        <v>100.56882821387943</v>
      </c>
      <c r="K31" s="244">
        <f t="shared" si="3"/>
        <v>97.042093287827086</v>
      </c>
      <c r="L31" s="294" t="s">
        <v>997</v>
      </c>
      <c r="M31" s="262" t="s">
        <v>1015</v>
      </c>
      <c r="N31" s="262" t="s">
        <v>1016</v>
      </c>
      <c r="O31" s="262" t="s">
        <v>272</v>
      </c>
      <c r="P31" s="295">
        <v>35273</v>
      </c>
      <c r="Q31" s="263" t="s">
        <v>1017</v>
      </c>
      <c r="R31" s="307" t="s">
        <v>768</v>
      </c>
      <c r="S31" s="295">
        <v>44506</v>
      </c>
      <c r="T31" s="296"/>
      <c r="U31" s="297"/>
    </row>
    <row r="32" spans="1:21">
      <c r="A32" s="224">
        <v>26</v>
      </c>
      <c r="B32" s="298">
        <v>1.005787037037037E-2</v>
      </c>
      <c r="C32" s="231">
        <f t="shared" si="5"/>
        <v>14.483333333333333</v>
      </c>
      <c r="D32" s="231">
        <f t="shared" si="0"/>
        <v>14.216666666666667</v>
      </c>
      <c r="E32" s="246">
        <f t="shared" si="1"/>
        <v>1</v>
      </c>
      <c r="F32" s="246">
        <v>14.733333333333334</v>
      </c>
      <c r="G32" s="246">
        <v>14.883333333333333</v>
      </c>
      <c r="H32" s="247">
        <f t="shared" si="4"/>
        <v>3.5067873303167477E-2</v>
      </c>
      <c r="I32" s="224">
        <v>26</v>
      </c>
      <c r="J32" s="243">
        <f t="shared" si="2"/>
        <v>101.72612197928655</v>
      </c>
      <c r="K32" s="244">
        <f t="shared" si="3"/>
        <v>98.158803222094377</v>
      </c>
      <c r="L32" s="294" t="s">
        <v>998</v>
      </c>
      <c r="M32" s="262" t="s">
        <v>1018</v>
      </c>
      <c r="N32" s="262" t="s">
        <v>1019</v>
      </c>
      <c r="O32" s="262" t="s">
        <v>272</v>
      </c>
      <c r="P32" s="295">
        <v>34822</v>
      </c>
      <c r="Q32" s="262" t="s">
        <v>980</v>
      </c>
      <c r="R32" s="263" t="s">
        <v>981</v>
      </c>
      <c r="S32" s="295">
        <v>44451</v>
      </c>
      <c r="T32" s="296"/>
      <c r="U32" s="297"/>
    </row>
    <row r="33" spans="1:21">
      <c r="A33" s="224">
        <v>27</v>
      </c>
      <c r="B33" s="298">
        <v>1.0381944444444444E-2</v>
      </c>
      <c r="C33" s="231">
        <f t="shared" si="5"/>
        <v>14.95</v>
      </c>
      <c r="D33" s="231">
        <f t="shared" si="0"/>
        <v>14.216666666666667</v>
      </c>
      <c r="E33" s="246">
        <f t="shared" ref="E33:E64" si="6">ROUND(1-IF(A33&lt;I$3,0,IF(A33&lt;I$4,G$3*(A33-I$3)^2,G$2+G$4*(A33-I$4)+(A33&gt;I$5)*G$5*(A33-I$5)^2)),4)</f>
        <v>1</v>
      </c>
      <c r="F33" s="246">
        <v>14.733333333333334</v>
      </c>
      <c r="G33" s="246">
        <v>14.95</v>
      </c>
      <c r="H33" s="247">
        <f t="shared" si="4"/>
        <v>3.5067873303167477E-2</v>
      </c>
      <c r="I33" s="224">
        <v>27</v>
      </c>
      <c r="J33" s="243">
        <f t="shared" si="2"/>
        <v>98.550724637681171</v>
      </c>
      <c r="K33" s="244">
        <f t="shared" si="3"/>
        <v>95.094760312151621</v>
      </c>
      <c r="L33" s="294" t="s">
        <v>177</v>
      </c>
      <c r="M33" s="262" t="s">
        <v>282</v>
      </c>
      <c r="N33" s="262" t="s">
        <v>283</v>
      </c>
      <c r="O33" s="262" t="s">
        <v>284</v>
      </c>
      <c r="P33" s="295">
        <v>27015</v>
      </c>
      <c r="Q33" s="263"/>
      <c r="R33" s="262" t="s">
        <v>285</v>
      </c>
      <c r="S33" s="295">
        <v>37136</v>
      </c>
      <c r="T33" s="296"/>
      <c r="U33" s="297"/>
    </row>
    <row r="34" spans="1:21">
      <c r="A34" s="224">
        <v>28</v>
      </c>
      <c r="B34" s="298">
        <v>1.0532407407407407E-2</v>
      </c>
      <c r="C34" s="231">
        <f t="shared" si="5"/>
        <v>15.166666666666666</v>
      </c>
      <c r="D34" s="231">
        <f t="shared" si="0"/>
        <v>14.216666666666667</v>
      </c>
      <c r="E34" s="246">
        <f t="shared" si="6"/>
        <v>1</v>
      </c>
      <c r="F34" s="246">
        <v>14.733333333333334</v>
      </c>
      <c r="G34" s="246">
        <v>15.166666666666666</v>
      </c>
      <c r="H34" s="247">
        <f t="shared" si="4"/>
        <v>3.5067873303167477E-2</v>
      </c>
      <c r="I34" s="224">
        <v>28</v>
      </c>
      <c r="J34" s="243">
        <f t="shared" si="2"/>
        <v>97.142857142857153</v>
      </c>
      <c r="K34" s="244">
        <f t="shared" si="3"/>
        <v>93.736263736263737</v>
      </c>
      <c r="L34" s="294" t="s">
        <v>178</v>
      </c>
      <c r="M34" s="262" t="s">
        <v>286</v>
      </c>
      <c r="N34" s="262" t="s">
        <v>287</v>
      </c>
      <c r="O34" s="262" t="s">
        <v>288</v>
      </c>
      <c r="P34" s="295">
        <v>24390</v>
      </c>
      <c r="Q34" s="263"/>
      <c r="R34" s="262" t="s">
        <v>289</v>
      </c>
      <c r="S34" s="295">
        <v>34623</v>
      </c>
      <c r="T34" s="296"/>
      <c r="U34" s="297"/>
    </row>
    <row r="35" spans="1:21" ht="15.75">
      <c r="A35" s="224">
        <v>29</v>
      </c>
      <c r="B35" s="298">
        <v>1.0219907407407407E-2</v>
      </c>
      <c r="C35" s="231">
        <f t="shared" si="5"/>
        <v>14.716666666666665</v>
      </c>
      <c r="D35" s="231">
        <f t="shared" si="0"/>
        <v>14.216666666666667</v>
      </c>
      <c r="E35" s="246">
        <f t="shared" si="6"/>
        <v>1</v>
      </c>
      <c r="F35" s="246">
        <v>14.733333333333334</v>
      </c>
      <c r="G35" s="246">
        <v>14.783333333333331</v>
      </c>
      <c r="H35" s="247">
        <f t="shared" si="4"/>
        <v>3.5067873303167477E-2</v>
      </c>
      <c r="I35" s="224">
        <v>29</v>
      </c>
      <c r="J35" s="243">
        <f t="shared" si="2"/>
        <v>100.11325028312572</v>
      </c>
      <c r="K35" s="244">
        <f t="shared" si="3"/>
        <v>96.602491506228787</v>
      </c>
      <c r="L35" s="294" t="s">
        <v>999</v>
      </c>
      <c r="M35" s="262" t="s">
        <v>1013</v>
      </c>
      <c r="N35" s="262" t="s">
        <v>1020</v>
      </c>
      <c r="O35" s="262" t="s">
        <v>268</v>
      </c>
      <c r="P35" s="295">
        <v>33425</v>
      </c>
      <c r="Q35" s="263" t="s">
        <v>1021</v>
      </c>
      <c r="R35" s="308" t="s">
        <v>1022</v>
      </c>
      <c r="S35" s="295">
        <v>44241</v>
      </c>
      <c r="T35" s="296"/>
      <c r="U35" s="297"/>
    </row>
    <row r="36" spans="1:21">
      <c r="A36" s="224">
        <v>30</v>
      </c>
      <c r="B36" s="298">
        <v>1.0300925925925925E-2</v>
      </c>
      <c r="C36" s="231">
        <f t="shared" si="5"/>
        <v>14.833333333333332</v>
      </c>
      <c r="D36" s="231">
        <f t="shared" si="0"/>
        <v>14.216666666666667</v>
      </c>
      <c r="E36" s="246">
        <f t="shared" si="6"/>
        <v>1</v>
      </c>
      <c r="F36" s="246">
        <v>14.733333333333334</v>
      </c>
      <c r="G36" s="246">
        <v>15.066666666666668</v>
      </c>
      <c r="H36" s="247">
        <f t="shared" si="4"/>
        <v>3.5067873303167477E-2</v>
      </c>
      <c r="I36" s="224">
        <v>30</v>
      </c>
      <c r="J36" s="243">
        <f t="shared" si="2"/>
        <v>99.325842696629238</v>
      </c>
      <c r="K36" s="244">
        <f t="shared" si="3"/>
        <v>95.842696629213492</v>
      </c>
      <c r="L36" s="294" t="s">
        <v>179</v>
      </c>
      <c r="M36" s="262" t="s">
        <v>292</v>
      </c>
      <c r="N36" s="262" t="s">
        <v>293</v>
      </c>
      <c r="O36" s="262" t="s">
        <v>241</v>
      </c>
      <c r="P36" s="295">
        <v>30925</v>
      </c>
      <c r="Q36" s="263"/>
      <c r="R36" s="262" t="s">
        <v>279</v>
      </c>
      <c r="S36" s="295">
        <v>42112</v>
      </c>
      <c r="T36" s="296"/>
      <c r="U36" s="297"/>
    </row>
    <row r="37" spans="1:21">
      <c r="A37" s="224">
        <v>31</v>
      </c>
      <c r="B37" s="298">
        <v>1.0324074074074074E-2</v>
      </c>
      <c r="C37" s="231">
        <f t="shared" si="5"/>
        <v>14.866666666666667</v>
      </c>
      <c r="D37" s="231">
        <f t="shared" si="0"/>
        <v>14.220932946550631</v>
      </c>
      <c r="E37" s="246">
        <f t="shared" si="6"/>
        <v>0.99970000000000003</v>
      </c>
      <c r="F37" s="246">
        <v>14.736280589451225</v>
      </c>
      <c r="G37" s="246">
        <v>15.266666666666669</v>
      </c>
      <c r="H37" s="247">
        <f t="shared" si="4"/>
        <v>3.4971351133847056E-2</v>
      </c>
      <c r="I37" s="224">
        <v>31</v>
      </c>
      <c r="J37" s="243">
        <f t="shared" si="2"/>
        <v>99.122963606174139</v>
      </c>
      <c r="K37" s="244">
        <f t="shared" si="3"/>
        <v>95.65649964047509</v>
      </c>
      <c r="L37" s="294" t="s">
        <v>180</v>
      </c>
      <c r="M37" s="262" t="s">
        <v>294</v>
      </c>
      <c r="N37" s="262" t="s">
        <v>295</v>
      </c>
      <c r="O37" s="262" t="s">
        <v>272</v>
      </c>
      <c r="P37" s="295">
        <v>30605</v>
      </c>
      <c r="Q37" s="263"/>
      <c r="R37" s="262" t="s">
        <v>279</v>
      </c>
      <c r="S37" s="295">
        <v>42112</v>
      </c>
      <c r="T37" s="296"/>
      <c r="U37" s="297"/>
    </row>
    <row r="38" spans="1:21">
      <c r="A38" s="224">
        <v>32</v>
      </c>
      <c r="B38" s="298">
        <v>1.037037037037037E-2</v>
      </c>
      <c r="C38" s="231">
        <f t="shared" si="5"/>
        <v>14.933333333333334</v>
      </c>
      <c r="D38" s="231">
        <f t="shared" si="0"/>
        <v>14.236597903731891</v>
      </c>
      <c r="E38" s="246">
        <f t="shared" si="6"/>
        <v>0.99860000000000004</v>
      </c>
      <c r="F38" s="246">
        <v>14.748081414748082</v>
      </c>
      <c r="G38" s="246">
        <v>14.916666666666664</v>
      </c>
      <c r="H38" s="247">
        <f t="shared" si="4"/>
        <v>3.4681359332930435E-2</v>
      </c>
      <c r="I38" s="224">
        <v>32</v>
      </c>
      <c r="J38" s="243">
        <f t="shared" si="2"/>
        <v>98.759473759473764</v>
      </c>
      <c r="K38" s="244">
        <f t="shared" si="3"/>
        <v>95.334360962490337</v>
      </c>
      <c r="L38" s="294" t="s">
        <v>181</v>
      </c>
      <c r="M38" s="262" t="s">
        <v>292</v>
      </c>
      <c r="N38" s="262" t="s">
        <v>293</v>
      </c>
      <c r="O38" s="262" t="s">
        <v>241</v>
      </c>
      <c r="P38" s="295">
        <v>30925</v>
      </c>
      <c r="Q38" s="263"/>
      <c r="R38" s="262" t="s">
        <v>279</v>
      </c>
      <c r="S38" s="295">
        <v>42840</v>
      </c>
      <c r="T38" s="296"/>
      <c r="U38" s="297"/>
    </row>
    <row r="39" spans="1:21">
      <c r="A39" s="224">
        <v>33</v>
      </c>
      <c r="B39" s="298">
        <v>1.0590277777777778E-2</v>
      </c>
      <c r="C39" s="231">
        <f t="shared" si="5"/>
        <v>15.25</v>
      </c>
      <c r="D39" s="231">
        <f t="shared" si="0"/>
        <v>14.262306046013911</v>
      </c>
      <c r="E39" s="246">
        <f t="shared" si="6"/>
        <v>0.99680000000000002</v>
      </c>
      <c r="F39" s="246">
        <v>14.768778401496926</v>
      </c>
      <c r="G39" s="246">
        <v>15.249999999999998</v>
      </c>
      <c r="H39" s="247">
        <f t="shared" si="4"/>
        <v>3.4293449445465266E-2</v>
      </c>
      <c r="I39" s="224">
        <v>33</v>
      </c>
      <c r="J39" s="243">
        <f t="shared" si="2"/>
        <v>96.844448534406069</v>
      </c>
      <c r="K39" s="244">
        <f t="shared" si="3"/>
        <v>93.523318334517455</v>
      </c>
      <c r="L39" s="294" t="s">
        <v>182</v>
      </c>
      <c r="M39" s="262" t="s">
        <v>296</v>
      </c>
      <c r="N39" s="262" t="s">
        <v>297</v>
      </c>
      <c r="O39" s="262" t="s">
        <v>241</v>
      </c>
      <c r="P39" s="295">
        <v>21798</v>
      </c>
      <c r="Q39" s="263"/>
      <c r="R39" s="262" t="s">
        <v>298</v>
      </c>
      <c r="S39" s="295">
        <v>34013</v>
      </c>
      <c r="T39" s="296"/>
      <c r="U39" s="297"/>
    </row>
    <row r="40" spans="1:21">
      <c r="A40" s="224">
        <v>34</v>
      </c>
      <c r="B40" s="298">
        <v>1.0486111111111111E-2</v>
      </c>
      <c r="C40" s="231">
        <f t="shared" si="5"/>
        <v>15.1</v>
      </c>
      <c r="D40" s="231">
        <f t="shared" si="0"/>
        <v>14.298166214086963</v>
      </c>
      <c r="E40" s="246">
        <f t="shared" si="6"/>
        <v>0.99429999999999996</v>
      </c>
      <c r="F40" s="246">
        <v>14.796960262461921</v>
      </c>
      <c r="G40" s="246">
        <v>15.1</v>
      </c>
      <c r="H40" s="247">
        <f t="shared" si="4"/>
        <v>3.3709224024905782E-2</v>
      </c>
      <c r="I40" s="224">
        <v>34</v>
      </c>
      <c r="J40" s="243">
        <f t="shared" si="2"/>
        <v>97.993114320939881</v>
      </c>
      <c r="K40" s="244">
        <f t="shared" si="3"/>
        <v>94.689842477397107</v>
      </c>
      <c r="L40" s="294" t="s">
        <v>183</v>
      </c>
      <c r="M40" s="262" t="s">
        <v>299</v>
      </c>
      <c r="N40" s="262" t="s">
        <v>300</v>
      </c>
      <c r="O40" s="262" t="s">
        <v>301</v>
      </c>
      <c r="P40" s="295">
        <v>25535</v>
      </c>
      <c r="Q40" s="263"/>
      <c r="R40" s="262" t="s">
        <v>285</v>
      </c>
      <c r="S40" s="295">
        <v>38235</v>
      </c>
      <c r="T40" s="296"/>
      <c r="U40" s="297"/>
    </row>
    <row r="41" spans="1:21">
      <c r="A41" s="224">
        <v>35</v>
      </c>
      <c r="B41" s="298">
        <v>1.0694444444444444E-2</v>
      </c>
      <c r="C41" s="231">
        <f t="shared" si="5"/>
        <v>15.399999999999999</v>
      </c>
      <c r="D41" s="231">
        <f t="shared" si="0"/>
        <v>14.345778674739321</v>
      </c>
      <c r="E41" s="246">
        <f t="shared" si="6"/>
        <v>0.99099999999999999</v>
      </c>
      <c r="F41" s="246">
        <v>14.832712507131113</v>
      </c>
      <c r="G41" s="246">
        <v>15.383333333333333</v>
      </c>
      <c r="H41" s="247">
        <f t="shared" si="4"/>
        <v>3.2828373917291848E-2</v>
      </c>
      <c r="I41" s="224">
        <v>35</v>
      </c>
      <c r="J41" s="243">
        <f t="shared" si="2"/>
        <v>96.31631498137088</v>
      </c>
      <c r="K41" s="244">
        <f t="shared" ref="K41:K72" si="7">100*(D41/C41)</f>
        <v>93.154406978826771</v>
      </c>
      <c r="L41" s="294" t="s">
        <v>184</v>
      </c>
      <c r="M41" s="262" t="s">
        <v>286</v>
      </c>
      <c r="N41" s="262" t="s">
        <v>287</v>
      </c>
      <c r="O41" s="262" t="s">
        <v>288</v>
      </c>
      <c r="P41" s="295">
        <v>24390</v>
      </c>
      <c r="Q41" s="263"/>
      <c r="R41" s="262" t="s">
        <v>289</v>
      </c>
      <c r="S41" s="295">
        <v>37514</v>
      </c>
      <c r="T41" s="296"/>
      <c r="U41" s="297"/>
    </row>
    <row r="42" spans="1:21">
      <c r="A42" s="224">
        <v>36</v>
      </c>
      <c r="B42" s="298">
        <v>1.0763888888888889E-2</v>
      </c>
      <c r="C42" s="231">
        <f t="shared" si="5"/>
        <v>15.5</v>
      </c>
      <c r="D42" s="231">
        <f t="shared" ref="D42:D73" si="8">OC/E42</f>
        <v>14.405377106765291</v>
      </c>
      <c r="E42" s="246">
        <f t="shared" si="6"/>
        <v>0.9869</v>
      </c>
      <c r="F42" s="246">
        <v>14.879148993469334</v>
      </c>
      <c r="G42" s="246">
        <v>15.483333333333331</v>
      </c>
      <c r="H42" s="247">
        <f t="shared" si="4"/>
        <v>3.1841329562059491E-2</v>
      </c>
      <c r="I42" s="224">
        <v>36</v>
      </c>
      <c r="J42" s="243">
        <f t="shared" ref="J42:J73" si="9">100*F42/+C42</f>
        <v>95.994509635286036</v>
      </c>
      <c r="K42" s="244">
        <f t="shared" si="7"/>
        <v>92.937916817840588</v>
      </c>
      <c r="L42" s="294" t="s">
        <v>185</v>
      </c>
      <c r="M42" s="262" t="s">
        <v>302</v>
      </c>
      <c r="N42" s="262" t="s">
        <v>303</v>
      </c>
      <c r="O42" s="262" t="s">
        <v>241</v>
      </c>
      <c r="P42" s="295">
        <v>23992</v>
      </c>
      <c r="Q42" s="263"/>
      <c r="R42" s="262" t="s">
        <v>289</v>
      </c>
      <c r="S42" s="295">
        <v>37150</v>
      </c>
      <c r="T42" s="296"/>
      <c r="U42" s="297"/>
    </row>
    <row r="43" spans="1:21">
      <c r="A43" s="224">
        <v>37</v>
      </c>
      <c r="B43" s="298">
        <v>1.0763888888888889E-2</v>
      </c>
      <c r="C43" s="231">
        <f t="shared" si="5"/>
        <v>15.5</v>
      </c>
      <c r="D43" s="231">
        <f t="shared" si="8"/>
        <v>14.475783185690528</v>
      </c>
      <c r="E43" s="246">
        <f t="shared" si="6"/>
        <v>0.98209999999999997</v>
      </c>
      <c r="F43" s="246">
        <v>14.933441448746537</v>
      </c>
      <c r="G43" s="246">
        <v>15.500000000000002</v>
      </c>
      <c r="H43" s="247">
        <f t="shared" si="4"/>
        <v>3.0646536809800371E-2</v>
      </c>
      <c r="I43" s="224">
        <v>37</v>
      </c>
      <c r="J43" s="243">
        <f t="shared" si="9"/>
        <v>96.344783540300241</v>
      </c>
      <c r="K43" s="244">
        <f t="shared" si="7"/>
        <v>93.392149585100185</v>
      </c>
      <c r="L43" s="294" t="s">
        <v>185</v>
      </c>
      <c r="M43" s="262" t="s">
        <v>304</v>
      </c>
      <c r="N43" s="262" t="s">
        <v>305</v>
      </c>
      <c r="O43" s="262" t="s">
        <v>241</v>
      </c>
      <c r="P43" s="295">
        <v>23483</v>
      </c>
      <c r="Q43" s="263" t="s">
        <v>273</v>
      </c>
      <c r="R43" s="262" t="s">
        <v>274</v>
      </c>
      <c r="S43" s="295">
        <v>37353</v>
      </c>
      <c r="T43" s="296"/>
      <c r="U43" s="297"/>
    </row>
    <row r="44" spans="1:21">
      <c r="A44" s="224">
        <v>38</v>
      </c>
      <c r="B44" s="298">
        <v>1.0694444444444444E-2</v>
      </c>
      <c r="C44" s="231">
        <f t="shared" si="5"/>
        <v>15.399999999999999</v>
      </c>
      <c r="D44" s="231">
        <f t="shared" si="8"/>
        <v>14.558798429766171</v>
      </c>
      <c r="E44" s="246">
        <f t="shared" si="6"/>
        <v>0.97650000000000003</v>
      </c>
      <c r="F44" s="246">
        <v>14.995759117896522</v>
      </c>
      <c r="G44" s="246">
        <v>15.399999999999999</v>
      </c>
      <c r="H44" s="247">
        <f t="shared" si="4"/>
        <v>2.9138950865706153E-2</v>
      </c>
      <c r="I44" s="224">
        <v>38</v>
      </c>
      <c r="J44" s="243">
        <f t="shared" si="9"/>
        <v>97.375059207120287</v>
      </c>
      <c r="K44" s="244">
        <f t="shared" si="7"/>
        <v>94.537652141338782</v>
      </c>
      <c r="L44" s="294" t="s">
        <v>184</v>
      </c>
      <c r="M44" s="262" t="s">
        <v>306</v>
      </c>
      <c r="N44" s="262" t="s">
        <v>307</v>
      </c>
      <c r="O44" s="262" t="s">
        <v>241</v>
      </c>
      <c r="P44" s="295">
        <v>21401</v>
      </c>
      <c r="Q44" s="263"/>
      <c r="R44" s="262" t="s">
        <v>308</v>
      </c>
      <c r="S44" s="295">
        <v>35414</v>
      </c>
      <c r="T44" s="296"/>
      <c r="U44" s="297"/>
    </row>
    <row r="45" spans="1:21">
      <c r="A45" s="224">
        <v>39</v>
      </c>
      <c r="B45" s="298">
        <v>1.087962962962963E-2</v>
      </c>
      <c r="C45" s="231">
        <f t="shared" si="5"/>
        <v>15.666666666666666</v>
      </c>
      <c r="D45" s="231">
        <f t="shared" si="8"/>
        <v>14.653336081907511</v>
      </c>
      <c r="E45" s="246">
        <f t="shared" si="6"/>
        <v>0.97019999999999995</v>
      </c>
      <c r="F45" s="246">
        <v>15.067839367287108</v>
      </c>
      <c r="G45" s="246">
        <v>15.666666666666666</v>
      </c>
      <c r="H45" s="247">
        <f t="shared" si="4"/>
        <v>2.7509138853676698E-2</v>
      </c>
      <c r="I45" s="224">
        <v>39</v>
      </c>
      <c r="J45" s="243">
        <f t="shared" si="9"/>
        <v>96.177698089066652</v>
      </c>
      <c r="K45" s="244">
        <f t="shared" si="7"/>
        <v>93.531932437707525</v>
      </c>
      <c r="L45" s="294" t="s">
        <v>186</v>
      </c>
      <c r="M45" s="262" t="s">
        <v>309</v>
      </c>
      <c r="N45" s="262" t="s">
        <v>310</v>
      </c>
      <c r="O45" s="262" t="s">
        <v>268</v>
      </c>
      <c r="P45" s="295">
        <v>24566</v>
      </c>
      <c r="Q45" s="263"/>
      <c r="R45" s="262" t="s">
        <v>311</v>
      </c>
      <c r="S45" s="295">
        <v>38857</v>
      </c>
      <c r="T45" s="296"/>
      <c r="U45" s="297"/>
    </row>
    <row r="46" spans="1:21">
      <c r="A46" s="224">
        <v>40</v>
      </c>
      <c r="B46" s="298">
        <v>1.0972222222222222E-2</v>
      </c>
      <c r="C46" s="231">
        <f t="shared" si="5"/>
        <v>15.799999999999999</v>
      </c>
      <c r="D46" s="231">
        <f t="shared" si="8"/>
        <v>14.761360883258922</v>
      </c>
      <c r="E46" s="246">
        <f t="shared" si="6"/>
        <v>0.96309999999999996</v>
      </c>
      <c r="F46" s="246">
        <v>15.149957155098544</v>
      </c>
      <c r="G46" s="246">
        <v>15.783333333333333</v>
      </c>
      <c r="H46" s="247">
        <f t="shared" si="4"/>
        <v>2.5649991472671916E-2</v>
      </c>
      <c r="I46" s="224">
        <v>40</v>
      </c>
      <c r="J46" s="243">
        <f t="shared" si="9"/>
        <v>95.885804779104717</v>
      </c>
      <c r="K46" s="244">
        <f t="shared" si="7"/>
        <v>93.426334704170401</v>
      </c>
      <c r="L46" s="294" t="s">
        <v>187</v>
      </c>
      <c r="M46" s="262" t="s">
        <v>304</v>
      </c>
      <c r="N46" s="262" t="s">
        <v>305</v>
      </c>
      <c r="O46" s="262" t="s">
        <v>241</v>
      </c>
      <c r="P46" s="295">
        <v>23483</v>
      </c>
      <c r="Q46" s="263" t="s">
        <v>312</v>
      </c>
      <c r="R46" s="262" t="s">
        <v>313</v>
      </c>
      <c r="S46" s="295">
        <v>38143</v>
      </c>
      <c r="T46" s="296"/>
      <c r="U46" s="297"/>
    </row>
    <row r="47" spans="1:21">
      <c r="A47" s="224">
        <v>41</v>
      </c>
      <c r="B47" s="298">
        <v>1.1030092592592593E-2</v>
      </c>
      <c r="C47" s="231">
        <f t="shared" si="5"/>
        <v>15.883333333333335</v>
      </c>
      <c r="D47" s="231">
        <f t="shared" si="8"/>
        <v>14.881887016295055</v>
      </c>
      <c r="E47" s="246">
        <f t="shared" si="6"/>
        <v>0.95530000000000004</v>
      </c>
      <c r="F47" s="246">
        <v>15.240853763663322</v>
      </c>
      <c r="G47" s="246">
        <v>16.016666666666666</v>
      </c>
      <c r="H47" s="247">
        <f t="shared" si="4"/>
        <v>2.3552929050740096E-2</v>
      </c>
      <c r="I47" s="224">
        <v>41</v>
      </c>
      <c r="J47" s="243">
        <f t="shared" si="9"/>
        <v>95.955007955907575</v>
      </c>
      <c r="K47" s="244">
        <f t="shared" si="7"/>
        <v>93.694986461458896</v>
      </c>
      <c r="L47" s="294" t="s">
        <v>188</v>
      </c>
      <c r="M47" s="262" t="s">
        <v>314</v>
      </c>
      <c r="N47" s="262" t="s">
        <v>315</v>
      </c>
      <c r="O47" s="262" t="s">
        <v>241</v>
      </c>
      <c r="P47" s="295">
        <v>27211</v>
      </c>
      <c r="Q47" s="263" t="s">
        <v>273</v>
      </c>
      <c r="R47" s="262" t="s">
        <v>274</v>
      </c>
      <c r="S47" s="295">
        <v>42463</v>
      </c>
      <c r="T47" s="296"/>
      <c r="U47" s="297"/>
    </row>
    <row r="48" spans="1:21">
      <c r="A48" s="224">
        <v>42</v>
      </c>
      <c r="B48" s="298">
        <v>1.0972222222222222E-2</v>
      </c>
      <c r="C48" s="231">
        <f t="shared" si="5"/>
        <v>15.799999999999999</v>
      </c>
      <c r="D48" s="231">
        <f t="shared" si="8"/>
        <v>15.017076863490722</v>
      </c>
      <c r="E48" s="246">
        <f t="shared" si="6"/>
        <v>0.94669999999999999</v>
      </c>
      <c r="F48" s="246">
        <v>15.342427713561735</v>
      </c>
      <c r="G48" s="246">
        <v>15.916666666666666</v>
      </c>
      <c r="H48" s="247">
        <f t="shared" si="4"/>
        <v>2.1205956198406813E-2</v>
      </c>
      <c r="I48" s="224">
        <v>42</v>
      </c>
      <c r="J48" s="243">
        <f t="shared" si="9"/>
        <v>97.103972870643901</v>
      </c>
      <c r="K48" s="244">
        <f t="shared" si="7"/>
        <v>95.044790275257739</v>
      </c>
      <c r="L48" s="294" t="s">
        <v>187</v>
      </c>
      <c r="M48" s="262" t="s">
        <v>316</v>
      </c>
      <c r="N48" s="262" t="s">
        <v>317</v>
      </c>
      <c r="O48" s="262" t="s">
        <v>241</v>
      </c>
      <c r="P48" s="295">
        <v>26709</v>
      </c>
      <c r="Q48" s="263"/>
      <c r="R48" s="262" t="s">
        <v>261</v>
      </c>
      <c r="S48" s="295">
        <v>42274</v>
      </c>
      <c r="T48" s="296"/>
      <c r="U48" s="297"/>
    </row>
    <row r="49" spans="1:21">
      <c r="A49" s="224">
        <v>43</v>
      </c>
      <c r="B49" s="298">
        <v>1.1400462962962963E-2</v>
      </c>
      <c r="C49" s="231">
        <f t="shared" si="5"/>
        <v>16.416666666666668</v>
      </c>
      <c r="D49" s="231">
        <f t="shared" si="8"/>
        <v>15.166062157741271</v>
      </c>
      <c r="E49" s="246">
        <f t="shared" si="6"/>
        <v>0.93740000000000001</v>
      </c>
      <c r="F49" s="246">
        <v>15.455085842162314</v>
      </c>
      <c r="G49" s="246">
        <v>16.416666666666668</v>
      </c>
      <c r="H49" s="247">
        <f t="shared" si="4"/>
        <v>1.870087862162308E-2</v>
      </c>
      <c r="I49" s="224">
        <v>43</v>
      </c>
      <c r="J49" s="243">
        <f t="shared" si="9"/>
        <v>94.142654876115614</v>
      </c>
      <c r="K49" s="244">
        <f t="shared" si="7"/>
        <v>92.382104514160019</v>
      </c>
      <c r="L49" s="294" t="s">
        <v>189</v>
      </c>
      <c r="M49" s="262" t="s">
        <v>318</v>
      </c>
      <c r="N49" s="262" t="s">
        <v>319</v>
      </c>
      <c r="O49" s="262" t="s">
        <v>320</v>
      </c>
      <c r="P49" s="295">
        <v>22400</v>
      </c>
      <c r="Q49" s="263"/>
      <c r="R49" s="262" t="s">
        <v>321</v>
      </c>
      <c r="S49" s="295">
        <v>38402</v>
      </c>
      <c r="T49" s="296"/>
      <c r="U49" s="297"/>
    </row>
    <row r="50" spans="1:21">
      <c r="A50" s="224">
        <v>44</v>
      </c>
      <c r="B50" s="298">
        <v>1.1122685185185185E-2</v>
      </c>
      <c r="C50" s="231">
        <f t="shared" si="5"/>
        <v>16.016666666666666</v>
      </c>
      <c r="D50" s="231">
        <f t="shared" si="8"/>
        <v>15.324637993604254</v>
      </c>
      <c r="E50" s="246">
        <f t="shared" si="6"/>
        <v>0.92769999999999997</v>
      </c>
      <c r="F50" s="246">
        <v>15.577641502784241</v>
      </c>
      <c r="G50" s="246">
        <v>16.016666666666666</v>
      </c>
      <c r="H50" s="247">
        <f t="shared" si="4"/>
        <v>1.6241451514644664E-2</v>
      </c>
      <c r="I50" s="224">
        <v>44</v>
      </c>
      <c r="J50" s="243">
        <f t="shared" si="9"/>
        <v>97.258947988247087</v>
      </c>
      <c r="K50" s="244">
        <f t="shared" si="7"/>
        <v>95.679321500130627</v>
      </c>
      <c r="L50" s="294" t="s">
        <v>190</v>
      </c>
      <c r="M50" s="262" t="s">
        <v>318</v>
      </c>
      <c r="N50" s="262" t="s">
        <v>319</v>
      </c>
      <c r="O50" s="262" t="s">
        <v>320</v>
      </c>
      <c r="P50" s="295">
        <v>22400</v>
      </c>
      <c r="Q50" s="263"/>
      <c r="R50" s="262" t="s">
        <v>322</v>
      </c>
      <c r="S50" s="295">
        <v>38745</v>
      </c>
      <c r="T50" s="296"/>
      <c r="U50" s="297"/>
    </row>
    <row r="51" spans="1:21">
      <c r="A51" s="224">
        <v>45</v>
      </c>
      <c r="B51" s="298">
        <v>1.1342592592592593E-2</v>
      </c>
      <c r="C51" s="231">
        <f t="shared" si="5"/>
        <v>16.333333333333336</v>
      </c>
      <c r="D51" s="231">
        <f t="shared" si="8"/>
        <v>15.486564996368918</v>
      </c>
      <c r="E51" s="246">
        <f t="shared" si="6"/>
        <v>0.91800000000000004</v>
      </c>
      <c r="F51" s="246">
        <v>15.712203618783549</v>
      </c>
      <c r="G51" s="246">
        <v>16.583333333333332</v>
      </c>
      <c r="H51" s="247">
        <f t="shared" si="4"/>
        <v>1.4360724179063367E-2</v>
      </c>
      <c r="I51" s="224">
        <v>45</v>
      </c>
      <c r="J51" s="243">
        <f t="shared" si="9"/>
        <v>96.197165012960482</v>
      </c>
      <c r="K51" s="244">
        <f t="shared" si="7"/>
        <v>94.815704059401511</v>
      </c>
      <c r="L51" s="294" t="s">
        <v>191</v>
      </c>
      <c r="M51" s="262" t="s">
        <v>323</v>
      </c>
      <c r="N51" s="262" t="s">
        <v>324</v>
      </c>
      <c r="O51" s="262" t="s">
        <v>301</v>
      </c>
      <c r="P51" s="295">
        <v>25537</v>
      </c>
      <c r="Q51" s="263"/>
      <c r="R51" s="262" t="s">
        <v>325</v>
      </c>
      <c r="S51" s="295">
        <v>42248</v>
      </c>
      <c r="T51" s="296"/>
      <c r="U51" s="297"/>
    </row>
    <row r="52" spans="1:21">
      <c r="A52" s="224">
        <v>46</v>
      </c>
      <c r="B52" s="298">
        <v>1.150462962962963E-2</v>
      </c>
      <c r="C52" s="231">
        <f t="shared" si="5"/>
        <v>16.566666666666666</v>
      </c>
      <c r="D52" s="231">
        <f t="shared" si="8"/>
        <v>15.653673933788445</v>
      </c>
      <c r="E52" s="246">
        <f t="shared" si="6"/>
        <v>0.90820000000000001</v>
      </c>
      <c r="F52" s="246">
        <v>15.857640010045564</v>
      </c>
      <c r="G52" s="246">
        <v>16.566666666666666</v>
      </c>
      <c r="H52" s="247">
        <f t="shared" si="4"/>
        <v>1.2862322270395209E-2</v>
      </c>
      <c r="I52" s="224">
        <v>46</v>
      </c>
      <c r="J52" s="243">
        <f t="shared" si="9"/>
        <v>95.720161026431981</v>
      </c>
      <c r="K52" s="244">
        <f t="shared" si="7"/>
        <v>94.488977467535889</v>
      </c>
      <c r="L52" s="294" t="s">
        <v>192</v>
      </c>
      <c r="M52" s="262" t="s">
        <v>326</v>
      </c>
      <c r="N52" s="262" t="s">
        <v>327</v>
      </c>
      <c r="O52" s="262" t="s">
        <v>328</v>
      </c>
      <c r="P52" s="295">
        <v>20152</v>
      </c>
      <c r="Q52" s="263"/>
      <c r="R52" s="262" t="s">
        <v>329</v>
      </c>
      <c r="S52" s="295">
        <v>37112</v>
      </c>
      <c r="T52" s="296"/>
      <c r="U52" s="297"/>
    </row>
    <row r="53" spans="1:21">
      <c r="A53" s="224">
        <v>47</v>
      </c>
      <c r="B53" s="298">
        <v>1.1307870370370371E-2</v>
      </c>
      <c r="C53" s="231">
        <f t="shared" si="5"/>
        <v>16.283333333333335</v>
      </c>
      <c r="D53" s="231">
        <f t="shared" si="8"/>
        <v>15.822667408644037</v>
      </c>
      <c r="E53" s="246">
        <f t="shared" si="6"/>
        <v>0.89849999999999997</v>
      </c>
      <c r="F53" s="246">
        <v>16.017974922084512</v>
      </c>
      <c r="G53" s="246">
        <v>16.283333333333335</v>
      </c>
      <c r="H53" s="247">
        <f t="shared" si="4"/>
        <v>1.2193021551756748E-2</v>
      </c>
      <c r="I53" s="224">
        <v>47</v>
      </c>
      <c r="J53" s="243">
        <f t="shared" si="9"/>
        <v>98.370367996424847</v>
      </c>
      <c r="K53" s="244">
        <f t="shared" si="7"/>
        <v>97.17093597939018</v>
      </c>
      <c r="L53" s="294" t="s">
        <v>193</v>
      </c>
      <c r="M53" s="262" t="s">
        <v>326</v>
      </c>
      <c r="N53" s="262" t="s">
        <v>327</v>
      </c>
      <c r="O53" s="262" t="s">
        <v>328</v>
      </c>
      <c r="P53" s="295">
        <v>20152</v>
      </c>
      <c r="Q53" s="263"/>
      <c r="R53" s="262" t="s">
        <v>329</v>
      </c>
      <c r="S53" s="295">
        <v>37476</v>
      </c>
      <c r="T53" s="296"/>
      <c r="U53" s="297"/>
    </row>
    <row r="54" spans="1:21">
      <c r="A54" s="224">
        <v>48</v>
      </c>
      <c r="B54" s="298">
        <v>1.1273148148148148E-2</v>
      </c>
      <c r="C54" s="231">
        <f t="shared" si="5"/>
        <v>16.233333333333334</v>
      </c>
      <c r="D54" s="231">
        <f t="shared" si="8"/>
        <v>15.995349534953494</v>
      </c>
      <c r="E54" s="246">
        <f t="shared" si="6"/>
        <v>0.88880000000000003</v>
      </c>
      <c r="F54" s="246">
        <v>16.186918625943019</v>
      </c>
      <c r="G54" s="246">
        <v>16.216666666666661</v>
      </c>
      <c r="H54" s="247">
        <f t="shared" si="4"/>
        <v>1.1834809046515748E-2</v>
      </c>
      <c r="I54" s="224">
        <v>48</v>
      </c>
      <c r="J54" s="243">
        <f t="shared" si="9"/>
        <v>99.714077777883077</v>
      </c>
      <c r="K54" s="244">
        <f t="shared" si="7"/>
        <v>98.53398070813239</v>
      </c>
      <c r="L54" s="294" t="s">
        <v>172</v>
      </c>
      <c r="M54" s="262" t="s">
        <v>330</v>
      </c>
      <c r="N54" s="262" t="s">
        <v>331</v>
      </c>
      <c r="O54" s="262" t="s">
        <v>241</v>
      </c>
      <c r="P54" s="295">
        <v>22408</v>
      </c>
      <c r="Q54" s="263" t="s">
        <v>332</v>
      </c>
      <c r="R54" s="262" t="s">
        <v>261</v>
      </c>
      <c r="S54" s="295">
        <v>40143</v>
      </c>
      <c r="T54" s="296"/>
      <c r="U54" s="297"/>
    </row>
    <row r="55" spans="1:21">
      <c r="A55" s="224">
        <v>49</v>
      </c>
      <c r="B55" s="298">
        <v>1.1446759259259259E-2</v>
      </c>
      <c r="C55" s="231">
        <f t="shared" si="5"/>
        <v>16.483333333333334</v>
      </c>
      <c r="D55" s="231">
        <f t="shared" si="8"/>
        <v>16.171842414590682</v>
      </c>
      <c r="E55" s="246">
        <f t="shared" si="6"/>
        <v>0.87909999999999999</v>
      </c>
      <c r="F55" s="246">
        <v>16.361280769942628</v>
      </c>
      <c r="G55" s="246">
        <v>16.466666666666669</v>
      </c>
      <c r="H55" s="247">
        <f t="shared" si="4"/>
        <v>1.1578455135368376E-2</v>
      </c>
      <c r="I55" s="224">
        <v>49</v>
      </c>
      <c r="J55" s="243">
        <f t="shared" si="9"/>
        <v>99.259539554758092</v>
      </c>
      <c r="K55" s="244">
        <f t="shared" si="7"/>
        <v>98.110267429266003</v>
      </c>
      <c r="L55" s="294" t="s">
        <v>194</v>
      </c>
      <c r="M55" s="262" t="s">
        <v>326</v>
      </c>
      <c r="N55" s="262" t="s">
        <v>327</v>
      </c>
      <c r="O55" s="262" t="s">
        <v>328</v>
      </c>
      <c r="P55" s="295">
        <v>20152</v>
      </c>
      <c r="Q55" s="263"/>
      <c r="R55" s="262" t="s">
        <v>329</v>
      </c>
      <c r="S55" s="295">
        <v>38211</v>
      </c>
      <c r="T55" s="296"/>
      <c r="U55" s="297"/>
    </row>
    <row r="56" spans="1:21">
      <c r="A56" s="224">
        <v>50</v>
      </c>
      <c r="B56" s="298">
        <v>1.15625E-2</v>
      </c>
      <c r="C56" s="231">
        <f t="shared" si="5"/>
        <v>16.649999999999999</v>
      </c>
      <c r="D56" s="231">
        <f t="shared" si="8"/>
        <v>16.352273598650413</v>
      </c>
      <c r="E56" s="246">
        <f t="shared" si="6"/>
        <v>0.86939999999999995</v>
      </c>
      <c r="F56" s="246">
        <v>16.539440203562343</v>
      </c>
      <c r="G56" s="246">
        <v>16.633333333333333</v>
      </c>
      <c r="H56" s="247">
        <f t="shared" si="4"/>
        <v>1.1316380881598217E-2</v>
      </c>
      <c r="I56" s="224">
        <v>50</v>
      </c>
      <c r="J56" s="243">
        <f t="shared" si="9"/>
        <v>99.335977198572635</v>
      </c>
      <c r="K56" s="244">
        <f t="shared" si="7"/>
        <v>98.211853445347828</v>
      </c>
      <c r="L56" s="294" t="s">
        <v>195</v>
      </c>
      <c r="M56" s="262" t="s">
        <v>326</v>
      </c>
      <c r="N56" s="262" t="s">
        <v>327</v>
      </c>
      <c r="O56" s="262" t="s">
        <v>328</v>
      </c>
      <c r="P56" s="295">
        <v>20152</v>
      </c>
      <c r="Q56" s="263"/>
      <c r="R56" s="262" t="s">
        <v>329</v>
      </c>
      <c r="S56" s="295">
        <v>38575</v>
      </c>
      <c r="T56" s="296"/>
      <c r="U56" s="297"/>
    </row>
    <row r="57" spans="1:21">
      <c r="A57" s="224">
        <v>51</v>
      </c>
      <c r="B57" s="298">
        <v>1.1851851851851851E-2</v>
      </c>
      <c r="C57" s="231">
        <f t="shared" si="5"/>
        <v>17.066666666666666</v>
      </c>
      <c r="D57" s="231">
        <f t="shared" si="8"/>
        <v>16.536776394866425</v>
      </c>
      <c r="E57" s="246">
        <f t="shared" si="6"/>
        <v>0.85970000000000002</v>
      </c>
      <c r="F57" s="246">
        <v>16.72152233949987</v>
      </c>
      <c r="G57" s="246">
        <v>17.216666666666665</v>
      </c>
      <c r="H57" s="247">
        <f t="shared" si="4"/>
        <v>1.1048392657230417E-2</v>
      </c>
      <c r="I57" s="224">
        <v>51</v>
      </c>
      <c r="J57" s="243">
        <f t="shared" si="9"/>
        <v>97.977669958007056</v>
      </c>
      <c r="K57" s="244">
        <f t="shared" si="7"/>
        <v>96.895174188670467</v>
      </c>
      <c r="L57" s="294" t="s">
        <v>196</v>
      </c>
      <c r="M57" s="262" t="s">
        <v>333</v>
      </c>
      <c r="N57" s="262" t="s">
        <v>334</v>
      </c>
      <c r="O57" s="262" t="s">
        <v>241</v>
      </c>
      <c r="P57" s="295">
        <v>20858</v>
      </c>
      <c r="Q57" s="263" t="s">
        <v>335</v>
      </c>
      <c r="R57" s="262" t="s">
        <v>336</v>
      </c>
      <c r="S57" s="295">
        <v>40349</v>
      </c>
      <c r="T57" s="296"/>
      <c r="U57" s="297"/>
    </row>
    <row r="58" spans="1:21">
      <c r="A58" s="224">
        <v>52</v>
      </c>
      <c r="B58" s="298">
        <v>1.1828703703703704E-2</v>
      </c>
      <c r="C58" s="231">
        <f t="shared" si="5"/>
        <v>17.033333333333335</v>
      </c>
      <c r="D58" s="231">
        <f t="shared" si="8"/>
        <v>16.725490196078432</v>
      </c>
      <c r="E58" s="246">
        <f t="shared" si="6"/>
        <v>0.85</v>
      </c>
      <c r="F58" s="246">
        <v>16.909598683958837</v>
      </c>
      <c r="G58" s="246">
        <v>17.033333333333335</v>
      </c>
      <c r="H58" s="247">
        <f t="shared" si="4"/>
        <v>1.0887809422411533E-2</v>
      </c>
      <c r="I58" s="224">
        <v>52</v>
      </c>
      <c r="J58" s="243">
        <f t="shared" si="9"/>
        <v>99.273573487038163</v>
      </c>
      <c r="K58" s="244">
        <f t="shared" si="7"/>
        <v>98.192701738229545</v>
      </c>
      <c r="L58" s="294" t="s">
        <v>197</v>
      </c>
      <c r="M58" s="262" t="s">
        <v>337</v>
      </c>
      <c r="N58" s="262" t="s">
        <v>338</v>
      </c>
      <c r="O58" s="262" t="s">
        <v>339</v>
      </c>
      <c r="P58" s="295">
        <v>22396</v>
      </c>
      <c r="Q58" s="263"/>
      <c r="R58" s="262" t="s">
        <v>340</v>
      </c>
      <c r="S58" s="295">
        <v>41395</v>
      </c>
      <c r="T58" s="296"/>
      <c r="U58" s="297"/>
    </row>
    <row r="59" spans="1:21">
      <c r="A59" s="224">
        <v>53</v>
      </c>
      <c r="B59" s="298">
        <v>1.2256944444444445E-2</v>
      </c>
      <c r="C59" s="231">
        <f t="shared" si="5"/>
        <v>17.650000000000002</v>
      </c>
      <c r="D59" s="231">
        <f t="shared" si="8"/>
        <v>16.918560831449085</v>
      </c>
      <c r="E59" s="246">
        <f t="shared" si="6"/>
        <v>0.84030000000000005</v>
      </c>
      <c r="F59" s="246">
        <v>17.099969049829774</v>
      </c>
      <c r="G59" s="246">
        <v>17.633333333333333</v>
      </c>
      <c r="H59" s="247">
        <f t="shared" si="4"/>
        <v>1.0608686942769336E-2</v>
      </c>
      <c r="I59" s="224">
        <v>53</v>
      </c>
      <c r="J59" s="243">
        <f t="shared" si="9"/>
        <v>96.883677336146022</v>
      </c>
      <c r="K59" s="244">
        <f t="shared" si="7"/>
        <v>95.855868733422568</v>
      </c>
      <c r="L59" s="294" t="s">
        <v>198</v>
      </c>
      <c r="M59" s="262" t="s">
        <v>341</v>
      </c>
      <c r="N59" s="262" t="s">
        <v>342</v>
      </c>
      <c r="O59" s="262" t="s">
        <v>241</v>
      </c>
      <c r="P59" s="295">
        <v>20956</v>
      </c>
      <c r="Q59" s="263"/>
      <c r="R59" s="262" t="s">
        <v>289</v>
      </c>
      <c r="S59" s="295">
        <v>40440</v>
      </c>
      <c r="T59" s="296"/>
      <c r="U59" s="297"/>
    </row>
    <row r="60" spans="1:21">
      <c r="A60" s="224">
        <v>54</v>
      </c>
      <c r="B60" s="298">
        <v>1.2361111111111111E-2</v>
      </c>
      <c r="C60" s="231">
        <f t="shared" si="5"/>
        <v>17.8</v>
      </c>
      <c r="D60" s="231">
        <f t="shared" si="8"/>
        <v>17.116140942290713</v>
      </c>
      <c r="E60" s="246">
        <f t="shared" si="6"/>
        <v>0.8306</v>
      </c>
      <c r="F60" s="246">
        <v>17.294674648824198</v>
      </c>
      <c r="G60" s="246">
        <v>18.350000000000001</v>
      </c>
      <c r="H60" s="247">
        <f t="shared" si="4"/>
        <v>1.032304510831741E-2</v>
      </c>
      <c r="I60" s="224">
        <v>54</v>
      </c>
      <c r="J60" s="243">
        <f t="shared" si="9"/>
        <v>97.161093532720216</v>
      </c>
      <c r="K60" s="244">
        <f t="shared" si="7"/>
        <v>96.158095181408498</v>
      </c>
      <c r="L60" s="294" t="s">
        <v>199</v>
      </c>
      <c r="M60" s="262" t="s">
        <v>343</v>
      </c>
      <c r="N60" s="262" t="s">
        <v>344</v>
      </c>
      <c r="O60" s="262" t="s">
        <v>345</v>
      </c>
      <c r="P60" s="295">
        <v>21769</v>
      </c>
      <c r="Q60" s="263"/>
      <c r="R60" s="262" t="s">
        <v>346</v>
      </c>
      <c r="S60" s="295">
        <v>41777</v>
      </c>
      <c r="T60" s="296"/>
      <c r="U60" s="297"/>
    </row>
    <row r="61" spans="1:21">
      <c r="A61" s="224">
        <v>55</v>
      </c>
      <c r="B61" s="298">
        <v>1.2465277777777778E-2</v>
      </c>
      <c r="C61" s="231">
        <f t="shared" si="5"/>
        <v>17.95</v>
      </c>
      <c r="D61" s="231">
        <f t="shared" si="8"/>
        <v>17.318390384537299</v>
      </c>
      <c r="E61" s="246">
        <f t="shared" si="6"/>
        <v>0.82089999999999996</v>
      </c>
      <c r="F61" s="246">
        <v>17.493865273490069</v>
      </c>
      <c r="G61" s="246">
        <v>18.383333333333333</v>
      </c>
      <c r="H61" s="247">
        <f t="shared" si="4"/>
        <v>1.0030652815114697E-2</v>
      </c>
      <c r="I61" s="224">
        <v>55</v>
      </c>
      <c r="J61" s="243">
        <f t="shared" si="9"/>
        <v>97.458859462340214</v>
      </c>
      <c r="K61" s="244">
        <f t="shared" si="7"/>
        <v>96.481283479316431</v>
      </c>
      <c r="L61" s="294" t="s">
        <v>200</v>
      </c>
      <c r="M61" s="262" t="s">
        <v>347</v>
      </c>
      <c r="N61" s="262" t="s">
        <v>348</v>
      </c>
      <c r="O61" s="262" t="s">
        <v>284</v>
      </c>
      <c r="P61" s="295">
        <v>20644</v>
      </c>
      <c r="Q61" s="263"/>
      <c r="R61" s="262" t="s">
        <v>349</v>
      </c>
      <c r="S61" s="295">
        <v>40737</v>
      </c>
      <c r="T61" s="296"/>
      <c r="U61" s="297"/>
    </row>
    <row r="62" spans="1:21">
      <c r="A62" s="224">
        <v>56</v>
      </c>
      <c r="B62" s="298">
        <v>1.2280092592592592E-2</v>
      </c>
      <c r="C62" s="231">
        <f t="shared" si="5"/>
        <v>17.683333333333334</v>
      </c>
      <c r="D62" s="231">
        <f t="shared" si="8"/>
        <v>17.527637364895408</v>
      </c>
      <c r="E62" s="246">
        <f t="shared" si="6"/>
        <v>0.81110000000000004</v>
      </c>
      <c r="F62" s="246">
        <v>17.697697697697699</v>
      </c>
      <c r="G62" s="246">
        <v>18.533333333333335</v>
      </c>
      <c r="H62" s="247">
        <f t="shared" si="4"/>
        <v>9.6091783070977235E-3</v>
      </c>
      <c r="I62" s="224">
        <v>56</v>
      </c>
      <c r="J62" s="243">
        <f t="shared" si="9"/>
        <v>100.08123108971367</v>
      </c>
      <c r="K62" s="244">
        <f t="shared" si="7"/>
        <v>99.119532694978744</v>
      </c>
      <c r="L62" s="294" t="s">
        <v>201</v>
      </c>
      <c r="M62" s="262" t="s">
        <v>337</v>
      </c>
      <c r="N62" s="262" t="s">
        <v>338</v>
      </c>
      <c r="O62" s="262" t="s">
        <v>339</v>
      </c>
      <c r="P62" s="295">
        <v>22396</v>
      </c>
      <c r="Q62" s="263"/>
      <c r="R62" s="262" t="s">
        <v>350</v>
      </c>
      <c r="S62" s="295">
        <v>42914</v>
      </c>
      <c r="T62" s="296"/>
      <c r="U62" s="297"/>
    </row>
    <row r="63" spans="1:21">
      <c r="A63" s="224">
        <v>57</v>
      </c>
      <c r="B63" s="298">
        <v>1.2870370370370371E-2</v>
      </c>
      <c r="C63" s="231">
        <f t="shared" si="5"/>
        <v>18.533333333333335</v>
      </c>
      <c r="D63" s="231">
        <f t="shared" si="8"/>
        <v>17.739788703102903</v>
      </c>
      <c r="E63" s="246">
        <f t="shared" si="6"/>
        <v>0.8014</v>
      </c>
      <c r="F63" s="246">
        <v>17.906336088154273</v>
      </c>
      <c r="G63" s="246">
        <v>18.7</v>
      </c>
      <c r="H63" s="247">
        <f t="shared" si="4"/>
        <v>9.3010308882534257E-3</v>
      </c>
      <c r="I63" s="224">
        <v>57</v>
      </c>
      <c r="J63" s="243">
        <f t="shared" si="9"/>
        <v>96.616921338961902</v>
      </c>
      <c r="K63" s="244">
        <f t="shared" si="7"/>
        <v>95.71828436926026</v>
      </c>
      <c r="L63" s="294" t="s">
        <v>202</v>
      </c>
      <c r="M63" s="262" t="s">
        <v>351</v>
      </c>
      <c r="N63" s="262" t="s">
        <v>352</v>
      </c>
      <c r="O63" s="262" t="s">
        <v>241</v>
      </c>
      <c r="P63" s="295">
        <v>20087</v>
      </c>
      <c r="Q63" s="263" t="s">
        <v>353</v>
      </c>
      <c r="R63" s="262" t="s">
        <v>354</v>
      </c>
      <c r="S63" s="295">
        <v>41094</v>
      </c>
      <c r="T63" s="296"/>
      <c r="U63" s="309" t="s">
        <v>355</v>
      </c>
    </row>
    <row r="64" spans="1:21">
      <c r="A64" s="224">
        <v>58</v>
      </c>
      <c r="B64" s="298">
        <v>1.3043981481481481E-2</v>
      </c>
      <c r="C64" s="231">
        <f t="shared" si="5"/>
        <v>18.783333333333331</v>
      </c>
      <c r="D64" s="231">
        <f t="shared" si="8"/>
        <v>17.957138646793819</v>
      </c>
      <c r="E64" s="246">
        <f t="shared" si="6"/>
        <v>0.79169999999999996</v>
      </c>
      <c r="F64" s="246">
        <v>18.119952445373674</v>
      </c>
      <c r="G64" s="246">
        <v>19.200000000000003</v>
      </c>
      <c r="H64" s="247">
        <f t="shared" si="4"/>
        <v>8.9853325537520186E-3</v>
      </c>
      <c r="I64" s="224">
        <v>58</v>
      </c>
      <c r="J64" s="243">
        <f t="shared" si="9"/>
        <v>96.468247269070147</v>
      </c>
      <c r="K64" s="244">
        <f t="shared" si="7"/>
        <v>95.601447986479968</v>
      </c>
      <c r="L64" s="294" t="s">
        <v>203</v>
      </c>
      <c r="M64" s="262" t="s">
        <v>275</v>
      </c>
      <c r="N64" s="262" t="s">
        <v>356</v>
      </c>
      <c r="O64" s="262" t="s">
        <v>301</v>
      </c>
      <c r="P64" s="295">
        <v>21848</v>
      </c>
      <c r="Q64" s="263"/>
      <c r="R64" s="262" t="s">
        <v>325</v>
      </c>
      <c r="S64" s="295">
        <v>43071</v>
      </c>
      <c r="T64" s="296"/>
      <c r="U64" s="297"/>
    </row>
    <row r="65" spans="1:21">
      <c r="A65" s="224">
        <v>59</v>
      </c>
      <c r="B65" s="298">
        <v>1.3171296296296296E-2</v>
      </c>
      <c r="C65" s="231">
        <f t="shared" si="5"/>
        <v>18.966666666666665</v>
      </c>
      <c r="D65" s="231">
        <f t="shared" si="8"/>
        <v>18.17988064791134</v>
      </c>
      <c r="E65" s="246">
        <f t="shared" ref="E65:E96" si="10">ROUND(1-IF(A65&lt;I$3,0,IF(A65&lt;I$4,G$3*(A65-I$3)^2,G$2+G$4*(A65-I$4)+(A65&gt;I$5)*G$5*(A65-I$5)^2)),4)</f>
        <v>0.78200000000000003</v>
      </c>
      <c r="F65" s="246">
        <v>18.338727076591155</v>
      </c>
      <c r="G65" s="246">
        <v>18.966666666666661</v>
      </c>
      <c r="H65" s="247">
        <f t="shared" si="4"/>
        <v>8.6618023168346554E-3</v>
      </c>
      <c r="I65" s="224">
        <v>59</v>
      </c>
      <c r="J65" s="243">
        <f t="shared" si="9"/>
        <v>96.689246449514016</v>
      </c>
      <c r="K65" s="244">
        <f t="shared" si="7"/>
        <v>95.851743310604604</v>
      </c>
      <c r="L65" s="294" t="s">
        <v>204</v>
      </c>
      <c r="M65" s="262" t="s">
        <v>357</v>
      </c>
      <c r="N65" s="262" t="s">
        <v>358</v>
      </c>
      <c r="O65" s="262" t="s">
        <v>284</v>
      </c>
      <c r="P65" s="295">
        <v>18405</v>
      </c>
      <c r="Q65" s="263"/>
      <c r="R65" s="262" t="s">
        <v>359</v>
      </c>
      <c r="S65" s="295">
        <v>39985</v>
      </c>
      <c r="T65" s="296"/>
      <c r="U65" s="297"/>
    </row>
    <row r="66" spans="1:21">
      <c r="A66" s="224">
        <v>60</v>
      </c>
      <c r="B66" s="298">
        <v>1.324074074074074E-2</v>
      </c>
      <c r="C66" s="231">
        <f t="shared" si="5"/>
        <v>19.066666666666666</v>
      </c>
      <c r="D66" s="231">
        <f t="shared" si="8"/>
        <v>18.408217877336096</v>
      </c>
      <c r="E66" s="246">
        <f t="shared" si="10"/>
        <v>0.77229999999999999</v>
      </c>
      <c r="F66" s="246">
        <v>18.562849103355592</v>
      </c>
      <c r="G66" s="246">
        <v>19.066666666666666</v>
      </c>
      <c r="H66" s="247">
        <f t="shared" si="4"/>
        <v>8.3301450740955532E-3</v>
      </c>
      <c r="I66" s="224">
        <v>60</v>
      </c>
      <c r="J66" s="243">
        <f t="shared" si="9"/>
        <v>97.357600192424442</v>
      </c>
      <c r="K66" s="244">
        <f t="shared" si="7"/>
        <v>96.546597258755753</v>
      </c>
      <c r="L66" s="294" t="s">
        <v>205</v>
      </c>
      <c r="M66" s="262" t="s">
        <v>360</v>
      </c>
      <c r="N66" s="262" t="s">
        <v>361</v>
      </c>
      <c r="O66" s="262" t="s">
        <v>241</v>
      </c>
      <c r="P66" s="295">
        <v>18901</v>
      </c>
      <c r="Q66" s="263" t="s">
        <v>362</v>
      </c>
      <c r="R66" s="262" t="s">
        <v>363</v>
      </c>
      <c r="S66" s="295">
        <v>40818</v>
      </c>
      <c r="T66" s="296"/>
      <c r="U66" s="310" t="s">
        <v>364</v>
      </c>
    </row>
    <row r="67" spans="1:21">
      <c r="A67" s="224">
        <v>61</v>
      </c>
      <c r="B67" s="298">
        <v>1.3356481481481481E-2</v>
      </c>
      <c r="C67" s="231">
        <f t="shared" si="5"/>
        <v>19.233333333333334</v>
      </c>
      <c r="D67" s="231">
        <f t="shared" si="8"/>
        <v>18.642363842993269</v>
      </c>
      <c r="E67" s="246">
        <f t="shared" si="10"/>
        <v>0.76259999999999994</v>
      </c>
      <c r="F67" s="246">
        <v>18.792517006802722</v>
      </c>
      <c r="G67" s="246">
        <v>19.216666666666669</v>
      </c>
      <c r="H67" s="247">
        <f t="shared" si="4"/>
        <v>7.9900507076885209E-3</v>
      </c>
      <c r="I67" s="224">
        <v>61</v>
      </c>
      <c r="J67" s="243">
        <f t="shared" si="9"/>
        <v>97.708060693948298</v>
      </c>
      <c r="K67" s="244">
        <f t="shared" si="7"/>
        <v>96.927368334453732</v>
      </c>
      <c r="L67" s="294" t="s">
        <v>206</v>
      </c>
      <c r="M67" s="262" t="s">
        <v>365</v>
      </c>
      <c r="N67" s="262" t="s">
        <v>366</v>
      </c>
      <c r="O67" s="262" t="s">
        <v>241</v>
      </c>
      <c r="P67" s="295">
        <v>17959</v>
      </c>
      <c r="Q67" s="263" t="s">
        <v>367</v>
      </c>
      <c r="R67" s="262" t="s">
        <v>368</v>
      </c>
      <c r="S67" s="295">
        <v>40334</v>
      </c>
      <c r="T67" s="296"/>
      <c r="U67" s="297"/>
    </row>
    <row r="68" spans="1:21">
      <c r="A68" s="224">
        <v>62</v>
      </c>
      <c r="B68" s="298">
        <v>1.3263888888888889E-2</v>
      </c>
      <c r="C68" s="231">
        <f t="shared" si="5"/>
        <v>19.100000000000001</v>
      </c>
      <c r="D68" s="231">
        <f t="shared" si="8"/>
        <v>18.882543055740026</v>
      </c>
      <c r="E68" s="246">
        <f t="shared" si="10"/>
        <v>0.75290000000000001</v>
      </c>
      <c r="F68" s="246">
        <v>19.03039696891415</v>
      </c>
      <c r="G68" s="246">
        <v>19.100000000000001</v>
      </c>
      <c r="H68" s="247">
        <f t="shared" si="4"/>
        <v>7.7693551750728758E-3</v>
      </c>
      <c r="I68" s="224">
        <v>62</v>
      </c>
      <c r="J68" s="243">
        <f t="shared" si="9"/>
        <v>99.635586224681418</v>
      </c>
      <c r="K68" s="244">
        <f t="shared" si="7"/>
        <v>98.861481967225259</v>
      </c>
      <c r="L68" s="294" t="s">
        <v>207</v>
      </c>
      <c r="M68" s="262" t="s">
        <v>360</v>
      </c>
      <c r="N68" s="262" t="s">
        <v>361</v>
      </c>
      <c r="O68" s="262" t="s">
        <v>241</v>
      </c>
      <c r="P68" s="295">
        <v>18901</v>
      </c>
      <c r="Q68" s="263" t="s">
        <v>362</v>
      </c>
      <c r="R68" s="262" t="s">
        <v>363</v>
      </c>
      <c r="S68" s="295">
        <v>41553</v>
      </c>
      <c r="T68" s="296"/>
      <c r="U68" s="297"/>
    </row>
    <row r="69" spans="1:21">
      <c r="A69" s="224">
        <v>63</v>
      </c>
      <c r="B69" s="298">
        <v>1.4201388888888888E-2</v>
      </c>
      <c r="C69" s="231">
        <f t="shared" si="5"/>
        <v>20.45</v>
      </c>
      <c r="D69" s="231">
        <f t="shared" si="8"/>
        <v>19.128991747398636</v>
      </c>
      <c r="E69" s="246">
        <f t="shared" si="10"/>
        <v>0.74319999999999997</v>
      </c>
      <c r="F69" s="246">
        <v>19.271855243078267</v>
      </c>
      <c r="G69" s="246">
        <v>20.45</v>
      </c>
      <c r="H69" s="247">
        <f t="shared" si="4"/>
        <v>7.4130639669962289E-3</v>
      </c>
      <c r="I69" s="224">
        <v>63</v>
      </c>
      <c r="J69" s="243">
        <f t="shared" si="9"/>
        <v>94.238900944148</v>
      </c>
      <c r="K69" s="244">
        <f t="shared" si="7"/>
        <v>93.540301943269625</v>
      </c>
      <c r="L69" s="294" t="s">
        <v>208</v>
      </c>
      <c r="M69" s="262" t="s">
        <v>369</v>
      </c>
      <c r="N69" s="262" t="s">
        <v>370</v>
      </c>
      <c r="O69" s="262" t="s">
        <v>241</v>
      </c>
      <c r="P69" s="295">
        <v>15257</v>
      </c>
      <c r="Q69" s="263" t="s">
        <v>371</v>
      </c>
      <c r="R69" s="262" t="s">
        <v>363</v>
      </c>
      <c r="S69" s="295">
        <v>38627</v>
      </c>
      <c r="T69" s="296"/>
      <c r="U69" s="297"/>
    </row>
    <row r="70" spans="1:21">
      <c r="A70" s="224">
        <v>64</v>
      </c>
      <c r="B70" s="298">
        <v>1.3460648148148149E-2</v>
      </c>
      <c r="C70" s="231">
        <f t="shared" si="5"/>
        <v>19.383333333333333</v>
      </c>
      <c r="D70" s="231">
        <f t="shared" si="8"/>
        <v>19.381958645762325</v>
      </c>
      <c r="E70" s="246">
        <f t="shared" si="10"/>
        <v>0.73350000000000004</v>
      </c>
      <c r="F70" s="246">
        <v>19.51951951951952</v>
      </c>
      <c r="G70" s="246">
        <v>20.933333333333334</v>
      </c>
      <c r="H70" s="247">
        <f t="shared" si="4"/>
        <v>7.0473493786378447E-3</v>
      </c>
      <c r="I70" s="224">
        <v>64</v>
      </c>
      <c r="J70" s="243">
        <f t="shared" si="9"/>
        <v>100.70259425375505</v>
      </c>
      <c r="K70" s="244">
        <f t="shared" si="7"/>
        <v>99.992907888713631</v>
      </c>
      <c r="L70" s="294" t="s">
        <v>209</v>
      </c>
      <c r="M70" s="262" t="s">
        <v>372</v>
      </c>
      <c r="N70" s="262" t="s">
        <v>373</v>
      </c>
      <c r="O70" s="262" t="s">
        <v>284</v>
      </c>
      <c r="P70" s="295">
        <v>17277</v>
      </c>
      <c r="Q70" s="263"/>
      <c r="R70" s="262" t="s">
        <v>374</v>
      </c>
      <c r="S70" s="295">
        <v>40676</v>
      </c>
      <c r="T70" s="296"/>
      <c r="U70" s="297"/>
    </row>
    <row r="71" spans="1:21">
      <c r="A71" s="224">
        <v>65</v>
      </c>
      <c r="B71" s="298">
        <v>1.3854166666666667E-2</v>
      </c>
      <c r="C71" s="231">
        <f t="shared" si="5"/>
        <v>19.950000000000003</v>
      </c>
      <c r="D71" s="231">
        <f t="shared" si="8"/>
        <v>19.641705811918577</v>
      </c>
      <c r="E71" s="246">
        <f t="shared" si="10"/>
        <v>0.7238</v>
      </c>
      <c r="F71" s="246">
        <v>19.773632174652175</v>
      </c>
      <c r="G71" s="246">
        <v>20.45</v>
      </c>
      <c r="H71" s="247">
        <f t="shared" si="4"/>
        <v>6.6718325479278541E-3</v>
      </c>
      <c r="I71" s="224">
        <v>65</v>
      </c>
      <c r="J71" s="243">
        <f t="shared" si="9"/>
        <v>99.115950750136207</v>
      </c>
      <c r="K71" s="244">
        <f t="shared" si="7"/>
        <v>98.454665723902622</v>
      </c>
      <c r="L71" s="294" t="s">
        <v>210</v>
      </c>
      <c r="M71" s="262" t="s">
        <v>360</v>
      </c>
      <c r="N71" s="262" t="s">
        <v>361</v>
      </c>
      <c r="O71" s="262" t="s">
        <v>241</v>
      </c>
      <c r="P71" s="295">
        <v>18901</v>
      </c>
      <c r="Q71" s="263" t="s">
        <v>362</v>
      </c>
      <c r="R71" s="262" t="s">
        <v>363</v>
      </c>
      <c r="S71" s="295">
        <v>42645</v>
      </c>
      <c r="T71" s="296"/>
      <c r="U71" s="297"/>
    </row>
    <row r="72" spans="1:21">
      <c r="A72" s="224">
        <v>66</v>
      </c>
      <c r="B72" s="298">
        <v>1.3935185185185186E-2</v>
      </c>
      <c r="C72" s="231">
        <f t="shared" si="5"/>
        <v>20.066666666666666</v>
      </c>
      <c r="D72" s="231">
        <f t="shared" si="8"/>
        <v>19.911297852474323</v>
      </c>
      <c r="E72" s="246">
        <f t="shared" si="10"/>
        <v>0.71399999999999997</v>
      </c>
      <c r="F72" s="246">
        <v>20.034448372767656</v>
      </c>
      <c r="G72" s="246">
        <v>20.999999999999996</v>
      </c>
      <c r="H72" s="247">
        <f t="shared" si="4"/>
        <v>6.1469384133744495E-3</v>
      </c>
      <c r="I72" s="224">
        <v>66</v>
      </c>
      <c r="J72" s="243">
        <f t="shared" si="9"/>
        <v>99.839443718111241</v>
      </c>
      <c r="K72" s="244">
        <f t="shared" si="7"/>
        <v>99.225736806350454</v>
      </c>
      <c r="L72" s="294" t="s">
        <v>211</v>
      </c>
      <c r="M72" s="262" t="s">
        <v>375</v>
      </c>
      <c r="N72" s="262" t="s">
        <v>376</v>
      </c>
      <c r="O72" s="262" t="s">
        <v>339</v>
      </c>
      <c r="P72" s="295">
        <v>18021</v>
      </c>
      <c r="Q72" s="263"/>
      <c r="R72" s="262" t="s">
        <v>350</v>
      </c>
      <c r="S72" s="295">
        <v>42448</v>
      </c>
      <c r="T72" s="296"/>
      <c r="U72" s="297"/>
    </row>
    <row r="73" spans="1:21">
      <c r="A73" s="224">
        <v>67</v>
      </c>
      <c r="B73" s="298">
        <v>1.425925925925926E-2</v>
      </c>
      <c r="C73" s="231">
        <f t="shared" si="5"/>
        <v>20.533333333333335</v>
      </c>
      <c r="D73" s="231">
        <f t="shared" si="8"/>
        <v>20.18552700080458</v>
      </c>
      <c r="E73" s="246">
        <f t="shared" si="10"/>
        <v>0.70430000000000004</v>
      </c>
      <c r="F73" s="246">
        <v>20.302236920674293</v>
      </c>
      <c r="G73" s="246">
        <v>21.950000000000003</v>
      </c>
      <c r="H73" s="247">
        <f t="shared" si="4"/>
        <v>5.7486236775645292E-3</v>
      </c>
      <c r="I73" s="224">
        <v>67</v>
      </c>
      <c r="J73" s="243">
        <f t="shared" si="9"/>
        <v>98.874530457829337</v>
      </c>
      <c r="K73" s="244">
        <f t="shared" ref="K73:K98" si="11">100*(D73/C73)</f>
        <v>98.30613799093139</v>
      </c>
      <c r="L73" s="294" t="s">
        <v>212</v>
      </c>
      <c r="M73" s="262" t="s">
        <v>365</v>
      </c>
      <c r="N73" s="262" t="s">
        <v>366</v>
      </c>
      <c r="O73" s="262" t="s">
        <v>241</v>
      </c>
      <c r="P73" s="295">
        <v>17959</v>
      </c>
      <c r="Q73" s="263" t="s">
        <v>377</v>
      </c>
      <c r="R73" s="262" t="s">
        <v>378</v>
      </c>
      <c r="S73" s="295">
        <v>42469</v>
      </c>
      <c r="T73" s="296"/>
      <c r="U73" s="297"/>
    </row>
    <row r="74" spans="1:21">
      <c r="A74" s="224">
        <v>68</v>
      </c>
      <c r="B74" s="298">
        <v>1.3784722222222223E-2</v>
      </c>
      <c r="C74" s="231">
        <f t="shared" si="5"/>
        <v>19.850000000000001</v>
      </c>
      <c r="D74" s="231">
        <f t="shared" ref="D74:D105" si="12">OC/E74</f>
        <v>20.46741529897303</v>
      </c>
      <c r="E74" s="246">
        <f t="shared" si="10"/>
        <v>0.6946</v>
      </c>
      <c r="F74" s="246">
        <v>20.577281191806335</v>
      </c>
      <c r="G74" s="246">
        <v>21.316666666666666</v>
      </c>
      <c r="H74" s="247">
        <f t="shared" ref="H74:H106" si="13">((F74-D74)/F74)</f>
        <v>5.3391841132565485E-3</v>
      </c>
      <c r="I74" s="224">
        <v>68</v>
      </c>
      <c r="J74" s="243">
        <f t="shared" ref="J74:J100" si="14">100*F74/+C74</f>
        <v>103.66388509726114</v>
      </c>
      <c r="K74" s="244">
        <f t="shared" si="11"/>
        <v>103.11040452883138</v>
      </c>
      <c r="L74" s="294" t="s">
        <v>213</v>
      </c>
      <c r="M74" s="262" t="s">
        <v>365</v>
      </c>
      <c r="N74" s="262" t="s">
        <v>366</v>
      </c>
      <c r="O74" s="262" t="s">
        <v>241</v>
      </c>
      <c r="P74" s="295">
        <v>17959</v>
      </c>
      <c r="Q74" s="263"/>
      <c r="R74" s="262" t="s">
        <v>368</v>
      </c>
      <c r="S74" s="295">
        <v>42889</v>
      </c>
      <c r="T74" s="296"/>
      <c r="U74" s="297"/>
    </row>
    <row r="75" spans="1:21">
      <c r="A75" s="224">
        <v>69</v>
      </c>
      <c r="B75" s="298">
        <v>1.4861111111111111E-2</v>
      </c>
      <c r="C75" s="231">
        <f t="shared" ref="C75:C100" si="15">B75*1440</f>
        <v>21.400000000000002</v>
      </c>
      <c r="D75" s="231">
        <f t="shared" si="12"/>
        <v>20.757288168589088</v>
      </c>
      <c r="E75" s="246">
        <f t="shared" si="10"/>
        <v>0.68489999999999995</v>
      </c>
      <c r="F75" s="246">
        <v>20.859880126480721</v>
      </c>
      <c r="G75" s="246">
        <v>22.133333333333333</v>
      </c>
      <c r="H75" s="247">
        <f t="shared" si="13"/>
        <v>4.9181470492439174E-3</v>
      </c>
      <c r="I75" s="224">
        <v>69</v>
      </c>
      <c r="J75" s="243">
        <f t="shared" si="14"/>
        <v>97.476075357386534</v>
      </c>
      <c r="K75" s="244">
        <f t="shared" si="11"/>
        <v>96.996673684995727</v>
      </c>
      <c r="L75" s="294" t="s">
        <v>214</v>
      </c>
      <c r="M75" s="262" t="s">
        <v>372</v>
      </c>
      <c r="N75" s="262" t="s">
        <v>373</v>
      </c>
      <c r="O75" s="262" t="s">
        <v>284</v>
      </c>
      <c r="P75" s="295">
        <v>17277</v>
      </c>
      <c r="Q75" s="263"/>
      <c r="R75" s="262" t="s">
        <v>359</v>
      </c>
      <c r="S75" s="295">
        <v>42540</v>
      </c>
      <c r="T75" s="296"/>
      <c r="U75" s="297"/>
    </row>
    <row r="76" spans="1:21">
      <c r="A76" s="224">
        <v>70</v>
      </c>
      <c r="B76" s="298">
        <v>1.53125E-2</v>
      </c>
      <c r="C76" s="231">
        <f t="shared" si="15"/>
        <v>22.05</v>
      </c>
      <c r="D76" s="231">
        <f t="shared" si="12"/>
        <v>21.0554897314376</v>
      </c>
      <c r="E76" s="246">
        <f t="shared" si="10"/>
        <v>0.67520000000000002</v>
      </c>
      <c r="F76" s="246">
        <v>21.150349315723993</v>
      </c>
      <c r="G76" s="246">
        <v>22.266666666666666</v>
      </c>
      <c r="H76" s="247">
        <f t="shared" si="13"/>
        <v>4.4850126525272449E-3</v>
      </c>
      <c r="I76" s="224">
        <v>70</v>
      </c>
      <c r="J76" s="243">
        <f t="shared" si="14"/>
        <v>95.919951545233531</v>
      </c>
      <c r="K76" s="244">
        <f t="shared" si="11"/>
        <v>95.489749348923354</v>
      </c>
      <c r="L76" s="294" t="s">
        <v>215</v>
      </c>
      <c r="M76" s="262" t="s">
        <v>379</v>
      </c>
      <c r="N76" s="262" t="s">
        <v>380</v>
      </c>
      <c r="O76" s="262" t="s">
        <v>241</v>
      </c>
      <c r="P76" s="295">
        <v>16210</v>
      </c>
      <c r="Q76" s="263" t="s">
        <v>381</v>
      </c>
      <c r="R76" s="262" t="s">
        <v>381</v>
      </c>
      <c r="S76" s="295">
        <v>41777</v>
      </c>
      <c r="T76" s="296"/>
      <c r="U76" s="297"/>
    </row>
    <row r="77" spans="1:21">
      <c r="A77" s="224">
        <v>71</v>
      </c>
      <c r="B77" s="298">
        <v>1.5150462962962963E-2</v>
      </c>
      <c r="C77" s="231">
        <f t="shared" si="15"/>
        <v>21.816666666666666</v>
      </c>
      <c r="D77" s="231">
        <f t="shared" si="12"/>
        <v>21.362384172301528</v>
      </c>
      <c r="E77" s="246">
        <f t="shared" si="10"/>
        <v>0.66549999999999998</v>
      </c>
      <c r="F77" s="246">
        <v>21.449022176930171</v>
      </c>
      <c r="G77" s="246">
        <v>23.166666666666668</v>
      </c>
      <c r="H77" s="247">
        <f t="shared" si="13"/>
        <v>4.0392519488290646E-3</v>
      </c>
      <c r="I77" s="224">
        <v>71</v>
      </c>
      <c r="J77" s="243">
        <f t="shared" si="14"/>
        <v>98.314845730772362</v>
      </c>
      <c r="K77" s="244">
        <f t="shared" si="11"/>
        <v>97.917727298555519</v>
      </c>
      <c r="L77" s="294" t="s">
        <v>216</v>
      </c>
      <c r="M77" s="262" t="s">
        <v>382</v>
      </c>
      <c r="N77" s="262" t="s">
        <v>383</v>
      </c>
      <c r="O77" s="262" t="s">
        <v>241</v>
      </c>
      <c r="P77" s="295">
        <v>17637</v>
      </c>
      <c r="Q77" s="263" t="s">
        <v>384</v>
      </c>
      <c r="R77" s="262" t="s">
        <v>385</v>
      </c>
      <c r="S77" s="295">
        <v>43710</v>
      </c>
      <c r="T77" s="296"/>
      <c r="U77" s="297"/>
    </row>
    <row r="78" spans="1:21">
      <c r="A78" s="224">
        <v>72</v>
      </c>
      <c r="B78" s="298">
        <v>1.6122685185185184E-2</v>
      </c>
      <c r="C78" s="231">
        <f t="shared" si="15"/>
        <v>23.216666666666665</v>
      </c>
      <c r="D78" s="231">
        <f t="shared" si="12"/>
        <v>21.678357222730504</v>
      </c>
      <c r="E78" s="246">
        <f t="shared" si="10"/>
        <v>0.65580000000000005</v>
      </c>
      <c r="F78" s="246">
        <v>21.759464382415203</v>
      </c>
      <c r="G78" s="246">
        <v>24.516666666666662</v>
      </c>
      <c r="H78" s="247">
        <f t="shared" si="13"/>
        <v>3.727442838631862E-3</v>
      </c>
      <c r="I78" s="224">
        <v>72</v>
      </c>
      <c r="J78" s="243">
        <f t="shared" si="14"/>
        <v>93.723464676590979</v>
      </c>
      <c r="K78" s="244">
        <f t="shared" si="11"/>
        <v>93.374115819370445</v>
      </c>
      <c r="L78" s="294" t="s">
        <v>217</v>
      </c>
      <c r="M78" s="262" t="s">
        <v>386</v>
      </c>
      <c r="N78" s="262" t="s">
        <v>387</v>
      </c>
      <c r="O78" s="262" t="s">
        <v>241</v>
      </c>
      <c r="P78" s="295"/>
      <c r="Q78" s="263" t="s">
        <v>388</v>
      </c>
      <c r="R78" s="262" t="s">
        <v>389</v>
      </c>
      <c r="S78" s="295">
        <v>41028</v>
      </c>
      <c r="T78" s="296"/>
      <c r="U78" s="297"/>
    </row>
    <row r="79" spans="1:21">
      <c r="A79" s="224">
        <v>73</v>
      </c>
      <c r="B79" s="298">
        <v>1.5590277777777778E-2</v>
      </c>
      <c r="C79" s="231">
        <f t="shared" si="15"/>
        <v>22.45</v>
      </c>
      <c r="D79" s="231">
        <f t="shared" si="12"/>
        <v>22.003817778465667</v>
      </c>
      <c r="E79" s="246">
        <f t="shared" si="10"/>
        <v>0.64610000000000001</v>
      </c>
      <c r="F79" s="246">
        <v>22.075716711617222</v>
      </c>
      <c r="G79" s="246">
        <v>24.416666666666668</v>
      </c>
      <c r="H79" s="247">
        <f t="shared" si="13"/>
        <v>3.2569240714037041E-3</v>
      </c>
      <c r="I79" s="224">
        <v>73</v>
      </c>
      <c r="J79" s="243">
        <f t="shared" si="14"/>
        <v>98.332813860210351</v>
      </c>
      <c r="K79" s="244">
        <f t="shared" si="11"/>
        <v>98.012551351740157</v>
      </c>
      <c r="L79" s="294" t="s">
        <v>218</v>
      </c>
      <c r="M79" s="262" t="s">
        <v>379</v>
      </c>
      <c r="N79" s="262" t="s">
        <v>380</v>
      </c>
      <c r="O79" s="262" t="s">
        <v>241</v>
      </c>
      <c r="P79" s="295">
        <v>16210</v>
      </c>
      <c r="Q79" s="263" t="s">
        <v>362</v>
      </c>
      <c r="R79" s="262" t="s">
        <v>363</v>
      </c>
      <c r="S79" s="295">
        <v>43009</v>
      </c>
      <c r="T79" s="296"/>
      <c r="U79" s="297"/>
    </row>
    <row r="80" spans="1:21">
      <c r="A80" s="224">
        <v>74</v>
      </c>
      <c r="B80" s="298">
        <v>1.6481481481481482E-2</v>
      </c>
      <c r="C80" s="231">
        <f t="shared" si="15"/>
        <v>23.733333333333334</v>
      </c>
      <c r="D80" s="231">
        <f t="shared" si="12"/>
        <v>22.339199664781063</v>
      </c>
      <c r="E80" s="246">
        <f t="shared" si="10"/>
        <v>0.63639999999999997</v>
      </c>
      <c r="F80" s="246">
        <v>22.401297450712079</v>
      </c>
      <c r="G80" s="246">
        <v>24.583333333333332</v>
      </c>
      <c r="H80" s="247">
        <f t="shared" si="13"/>
        <v>2.7720620230879513E-3</v>
      </c>
      <c r="I80" s="224">
        <v>74</v>
      </c>
      <c r="J80" s="243">
        <f t="shared" si="14"/>
        <v>94.387489258618302</v>
      </c>
      <c r="K80" s="244">
        <f t="shared" si="11"/>
        <v>94.125841284189875</v>
      </c>
      <c r="L80" s="294" t="s">
        <v>219</v>
      </c>
      <c r="M80" s="262" t="s">
        <v>390</v>
      </c>
      <c r="N80" s="262" t="s">
        <v>391</v>
      </c>
      <c r="O80" s="262" t="s">
        <v>241</v>
      </c>
      <c r="P80" s="295">
        <v>13343</v>
      </c>
      <c r="Q80" s="263" t="s">
        <v>392</v>
      </c>
      <c r="R80" s="262" t="s">
        <v>393</v>
      </c>
      <c r="S80" s="295">
        <v>40614</v>
      </c>
      <c r="T80" s="296"/>
      <c r="U80" s="297"/>
    </row>
    <row r="81" spans="1:21">
      <c r="A81" s="224">
        <v>75</v>
      </c>
      <c r="B81" s="298">
        <v>1.636574074074074E-2</v>
      </c>
      <c r="C81" s="231">
        <f t="shared" si="15"/>
        <v>23.566666666666666</v>
      </c>
      <c r="D81" s="231">
        <f t="shared" si="12"/>
        <v>22.684963565767777</v>
      </c>
      <c r="E81" s="246">
        <f t="shared" si="10"/>
        <v>0.62670000000000003</v>
      </c>
      <c r="F81" s="246">
        <v>22.736625514403293</v>
      </c>
      <c r="G81" s="246">
        <v>23.566666666666666</v>
      </c>
      <c r="H81" s="247">
        <f t="shared" si="13"/>
        <v>2.2721906820688527E-3</v>
      </c>
      <c r="I81" s="224">
        <v>75</v>
      </c>
      <c r="J81" s="243">
        <f t="shared" si="14"/>
        <v>96.477901758429823</v>
      </c>
      <c r="K81" s="244">
        <f t="shared" si="11"/>
        <v>96.258685569028756</v>
      </c>
      <c r="L81" s="294" t="s">
        <v>220</v>
      </c>
      <c r="M81" s="262" t="s">
        <v>390</v>
      </c>
      <c r="N81" s="262" t="s">
        <v>391</v>
      </c>
      <c r="O81" s="262" t="s">
        <v>241</v>
      </c>
      <c r="P81" s="295">
        <v>13343</v>
      </c>
      <c r="Q81" s="263" t="s">
        <v>394</v>
      </c>
      <c r="R81" s="262" t="s">
        <v>313</v>
      </c>
      <c r="S81" s="295">
        <v>41062</v>
      </c>
      <c r="T81" s="296"/>
      <c r="U81" s="297"/>
    </row>
    <row r="82" spans="1:21">
      <c r="A82" s="224">
        <v>76</v>
      </c>
      <c r="B82" s="298">
        <v>1.6608796296296295E-2</v>
      </c>
      <c r="C82" s="231">
        <f t="shared" si="15"/>
        <v>23.916666666666664</v>
      </c>
      <c r="D82" s="231">
        <f t="shared" si="12"/>
        <v>23.045334197871075</v>
      </c>
      <c r="E82" s="246">
        <f t="shared" si="10"/>
        <v>0.6169</v>
      </c>
      <c r="F82" s="246">
        <v>23.082145281737951</v>
      </c>
      <c r="G82" s="246">
        <v>26.05</v>
      </c>
      <c r="H82" s="247">
        <f t="shared" si="13"/>
        <v>1.5947860745855508E-3</v>
      </c>
      <c r="I82" s="224">
        <v>76</v>
      </c>
      <c r="J82" s="243">
        <f t="shared" si="14"/>
        <v>96.510711979392127</v>
      </c>
      <c r="K82" s="244">
        <f t="shared" si="11"/>
        <v>96.356798039879067</v>
      </c>
      <c r="L82" s="294" t="s">
        <v>221</v>
      </c>
      <c r="M82" s="262" t="s">
        <v>390</v>
      </c>
      <c r="N82" s="262" t="s">
        <v>391</v>
      </c>
      <c r="O82" s="262" t="s">
        <v>241</v>
      </c>
      <c r="P82" s="295">
        <v>13343</v>
      </c>
      <c r="Q82" s="263" t="s">
        <v>394</v>
      </c>
      <c r="R82" s="262" t="s">
        <v>313</v>
      </c>
      <c r="S82" s="295">
        <v>41426</v>
      </c>
      <c r="T82" s="296"/>
      <c r="U82" s="297"/>
    </row>
    <row r="83" spans="1:21">
      <c r="A83" s="224">
        <v>77</v>
      </c>
      <c r="B83" s="298">
        <v>1.6851851851851851E-2</v>
      </c>
      <c r="C83" s="231">
        <f t="shared" si="15"/>
        <v>24.266666666666666</v>
      </c>
      <c r="D83" s="231">
        <f t="shared" si="12"/>
        <v>23.413482652613091</v>
      </c>
      <c r="E83" s="246">
        <f t="shared" si="10"/>
        <v>0.60719999999999996</v>
      </c>
      <c r="F83" s="246">
        <v>23.453252679613712</v>
      </c>
      <c r="G83" s="246">
        <v>27.15</v>
      </c>
      <c r="H83" s="247">
        <f t="shared" si="13"/>
        <v>1.6957147711622314E-3</v>
      </c>
      <c r="I83" s="224">
        <v>77</v>
      </c>
      <c r="J83" s="243">
        <f t="shared" si="14"/>
        <v>96.648019284122441</v>
      </c>
      <c r="K83" s="244">
        <f t="shared" si="11"/>
        <v>96.484131810218784</v>
      </c>
      <c r="L83" s="294" t="s">
        <v>222</v>
      </c>
      <c r="M83" s="262" t="s">
        <v>390</v>
      </c>
      <c r="N83" s="262" t="s">
        <v>391</v>
      </c>
      <c r="O83" s="262" t="s">
        <v>241</v>
      </c>
      <c r="P83" s="295">
        <v>13343</v>
      </c>
      <c r="Q83" s="263" t="s">
        <v>394</v>
      </c>
      <c r="R83" s="262" t="s">
        <v>313</v>
      </c>
      <c r="S83" s="295">
        <v>41790</v>
      </c>
      <c r="T83" s="296"/>
      <c r="U83" s="297"/>
    </row>
    <row r="84" spans="1:21">
      <c r="A84" s="224">
        <v>78</v>
      </c>
      <c r="B84" s="298">
        <v>1.6666666666666666E-2</v>
      </c>
      <c r="C84" s="231">
        <f t="shared" si="15"/>
        <v>24</v>
      </c>
      <c r="D84" s="231">
        <f t="shared" si="12"/>
        <v>23.80952380952381</v>
      </c>
      <c r="E84" s="246">
        <f t="shared" si="10"/>
        <v>0.59709999999999996</v>
      </c>
      <c r="F84" s="246">
        <v>23.867379448134351</v>
      </c>
      <c r="G84" s="246">
        <v>24</v>
      </c>
      <c r="H84" s="247">
        <f t="shared" si="13"/>
        <v>2.4240465416936613E-3</v>
      </c>
      <c r="I84" s="224">
        <v>78</v>
      </c>
      <c r="J84" s="243">
        <f t="shared" si="14"/>
        <v>99.447414367226472</v>
      </c>
      <c r="K84" s="244">
        <f t="shared" si="11"/>
        <v>99.206349206349216</v>
      </c>
      <c r="L84" s="294" t="s">
        <v>223</v>
      </c>
      <c r="M84" s="262" t="s">
        <v>390</v>
      </c>
      <c r="N84" s="262" t="s">
        <v>391</v>
      </c>
      <c r="O84" s="262" t="s">
        <v>241</v>
      </c>
      <c r="P84" s="295">
        <v>13343</v>
      </c>
      <c r="Q84" s="263" t="s">
        <v>362</v>
      </c>
      <c r="R84" s="262" t="s">
        <v>363</v>
      </c>
      <c r="S84" s="295">
        <v>41917</v>
      </c>
      <c r="T84" s="296"/>
      <c r="U84" s="297"/>
    </row>
    <row r="85" spans="1:21">
      <c r="A85" s="224">
        <v>79</v>
      </c>
      <c r="B85" s="298">
        <v>1.7511574074074075E-2</v>
      </c>
      <c r="C85" s="231">
        <f t="shared" si="15"/>
        <v>25.216666666666669</v>
      </c>
      <c r="D85" s="231">
        <f t="shared" si="12"/>
        <v>24.252246104856134</v>
      </c>
      <c r="E85" s="246">
        <f t="shared" si="10"/>
        <v>0.58620000000000005</v>
      </c>
      <c r="F85" s="246">
        <v>24.324473061471576</v>
      </c>
      <c r="G85" s="246">
        <v>28.866666666666664</v>
      </c>
      <c r="H85" s="247">
        <f t="shared" si="13"/>
        <v>2.9693122820343672E-3</v>
      </c>
      <c r="I85" s="224">
        <v>79</v>
      </c>
      <c r="J85" s="243">
        <f t="shared" si="14"/>
        <v>96.461889206100096</v>
      </c>
      <c r="K85" s="244">
        <f t="shared" si="11"/>
        <v>96.175463733732187</v>
      </c>
      <c r="L85" s="294" t="s">
        <v>224</v>
      </c>
      <c r="M85" s="262" t="s">
        <v>390</v>
      </c>
      <c r="N85" s="262" t="s">
        <v>391</v>
      </c>
      <c r="O85" s="262" t="s">
        <v>241</v>
      </c>
      <c r="P85" s="295">
        <v>13343</v>
      </c>
      <c r="Q85" s="263" t="s">
        <v>395</v>
      </c>
      <c r="R85" s="262" t="s">
        <v>396</v>
      </c>
      <c r="S85" s="295">
        <v>42555</v>
      </c>
      <c r="T85" s="296"/>
      <c r="U85" s="297"/>
    </row>
    <row r="86" spans="1:21">
      <c r="A86" s="224">
        <v>80</v>
      </c>
      <c r="B86" s="298">
        <v>1.7488425925925925E-2</v>
      </c>
      <c r="C86" s="231">
        <f t="shared" si="15"/>
        <v>25.18333333333333</v>
      </c>
      <c r="D86" s="231">
        <f t="shared" si="12"/>
        <v>24.746156077748768</v>
      </c>
      <c r="E86" s="246">
        <f t="shared" si="10"/>
        <v>0.57450000000000001</v>
      </c>
      <c r="F86" s="246">
        <v>24.837042031917289</v>
      </c>
      <c r="G86" s="246">
        <v>29.683333333333337</v>
      </c>
      <c r="H86" s="247">
        <f t="shared" si="13"/>
        <v>3.6592905891017808E-3</v>
      </c>
      <c r="I86" s="224">
        <v>80</v>
      </c>
      <c r="J86" s="243">
        <f t="shared" si="14"/>
        <v>98.624918723695401</v>
      </c>
      <c r="K86" s="244">
        <f t="shared" si="11"/>
        <v>98.26402148675885</v>
      </c>
      <c r="L86" s="294" t="s">
        <v>225</v>
      </c>
      <c r="M86" s="262" t="s">
        <v>390</v>
      </c>
      <c r="N86" s="262" t="s">
        <v>391</v>
      </c>
      <c r="O86" s="262" t="s">
        <v>241</v>
      </c>
      <c r="P86" s="295">
        <v>13343</v>
      </c>
      <c r="Q86" s="263" t="s">
        <v>362</v>
      </c>
      <c r="R86" s="262" t="s">
        <v>363</v>
      </c>
      <c r="S86" s="295">
        <v>42645</v>
      </c>
      <c r="T86" s="296"/>
      <c r="U86" s="310" t="s">
        <v>397</v>
      </c>
    </row>
    <row r="87" spans="1:21">
      <c r="A87" s="224">
        <v>81</v>
      </c>
      <c r="B87" s="298">
        <v>1.8622685185185187E-2</v>
      </c>
      <c r="C87" s="231">
        <f t="shared" si="15"/>
        <v>26.81666666666667</v>
      </c>
      <c r="D87" s="231">
        <f t="shared" si="12"/>
        <v>25.296559905100828</v>
      </c>
      <c r="E87" s="246">
        <f t="shared" si="10"/>
        <v>0.56200000000000006</v>
      </c>
      <c r="F87" s="246">
        <v>25.402298850574716</v>
      </c>
      <c r="G87" s="246">
        <v>31.383333333333333</v>
      </c>
      <c r="H87" s="247">
        <f t="shared" si="13"/>
        <v>4.1625738715965026E-3</v>
      </c>
      <c r="I87" s="224">
        <v>81</v>
      </c>
      <c r="J87" s="243">
        <f t="shared" si="14"/>
        <v>94.725788131415953</v>
      </c>
      <c r="K87" s="244">
        <f t="shared" si="11"/>
        <v>94.331485040773742</v>
      </c>
      <c r="L87" s="294" t="s">
        <v>226</v>
      </c>
      <c r="M87" s="262" t="s">
        <v>390</v>
      </c>
      <c r="N87" s="262" t="s">
        <v>391</v>
      </c>
      <c r="O87" s="262" t="s">
        <v>241</v>
      </c>
      <c r="P87" s="295">
        <v>13343</v>
      </c>
      <c r="Q87" s="263" t="s">
        <v>394</v>
      </c>
      <c r="R87" s="262" t="s">
        <v>313</v>
      </c>
      <c r="S87" s="295">
        <v>43253</v>
      </c>
      <c r="T87" s="296"/>
      <c r="U87" s="309"/>
    </row>
    <row r="88" spans="1:21">
      <c r="A88" s="224">
        <v>82</v>
      </c>
      <c r="B88" s="298">
        <v>2.060185185185185E-2</v>
      </c>
      <c r="C88" s="231">
        <f t="shared" si="15"/>
        <v>29.666666666666664</v>
      </c>
      <c r="D88" s="231">
        <f t="shared" si="12"/>
        <v>25.909726019075393</v>
      </c>
      <c r="E88" s="246">
        <f t="shared" si="10"/>
        <v>0.54869999999999997</v>
      </c>
      <c r="F88" s="246">
        <v>26.030624263839815</v>
      </c>
      <c r="G88" s="246">
        <v>31.116666666666667</v>
      </c>
      <c r="H88" s="247">
        <f t="shared" si="13"/>
        <v>4.6444619821264547E-3</v>
      </c>
      <c r="I88" s="224">
        <v>82</v>
      </c>
      <c r="J88" s="243">
        <f t="shared" si="14"/>
        <v>87.743677293842069</v>
      </c>
      <c r="K88" s="244">
        <f t="shared" si="11"/>
        <v>87.336155120478864</v>
      </c>
      <c r="L88" s="294" t="s">
        <v>227</v>
      </c>
      <c r="M88" s="262" t="s">
        <v>390</v>
      </c>
      <c r="N88" s="262" t="s">
        <v>391</v>
      </c>
      <c r="O88" s="262" t="s">
        <v>241</v>
      </c>
      <c r="P88" s="295">
        <v>13343</v>
      </c>
      <c r="Q88" s="263" t="s">
        <v>394</v>
      </c>
      <c r="R88" s="262" t="s">
        <v>313</v>
      </c>
      <c r="S88" s="295">
        <v>43617</v>
      </c>
      <c r="T88" s="296"/>
      <c r="U88" s="297"/>
    </row>
    <row r="89" spans="1:21">
      <c r="A89" s="224">
        <v>83</v>
      </c>
      <c r="B89" s="298">
        <v>2.0949074074074075E-2</v>
      </c>
      <c r="C89" s="231">
        <f t="shared" si="15"/>
        <v>30.166666666666668</v>
      </c>
      <c r="D89" s="231">
        <f t="shared" si="12"/>
        <v>26.593091407906225</v>
      </c>
      <c r="E89" s="246">
        <f t="shared" si="10"/>
        <v>0.53459999999999996</v>
      </c>
      <c r="F89" s="246">
        <v>26.729559748427672</v>
      </c>
      <c r="G89" s="246">
        <v>30.15</v>
      </c>
      <c r="H89" s="247">
        <f t="shared" si="13"/>
        <v>5.1055214453905838E-3</v>
      </c>
      <c r="I89" s="224">
        <v>83</v>
      </c>
      <c r="J89" s="243">
        <f t="shared" si="14"/>
        <v>88.606275409152502</v>
      </c>
      <c r="K89" s="244">
        <f t="shared" si="11"/>
        <v>88.15389416985488</v>
      </c>
      <c r="L89" s="294" t="s">
        <v>228</v>
      </c>
      <c r="M89" s="262" t="s">
        <v>398</v>
      </c>
      <c r="N89" s="262" t="s">
        <v>399</v>
      </c>
      <c r="O89" s="262" t="s">
        <v>400</v>
      </c>
      <c r="P89" s="295">
        <v>11106</v>
      </c>
      <c r="Q89" s="263"/>
      <c r="R89" s="262" t="s">
        <v>401</v>
      </c>
      <c r="S89" s="295">
        <v>41439</v>
      </c>
      <c r="T89" s="296"/>
      <c r="U89" s="297"/>
    </row>
    <row r="90" spans="1:21">
      <c r="A90" s="224">
        <v>84</v>
      </c>
      <c r="B90" s="298">
        <v>2.1967592592592594E-2</v>
      </c>
      <c r="C90" s="231">
        <f t="shared" si="15"/>
        <v>31.633333333333336</v>
      </c>
      <c r="D90" s="231">
        <f t="shared" si="12"/>
        <v>27.355525623757295</v>
      </c>
      <c r="E90" s="246">
        <f t="shared" si="10"/>
        <v>0.51970000000000005</v>
      </c>
      <c r="F90" s="246">
        <v>27.502955634372476</v>
      </c>
      <c r="G90" s="246">
        <v>40.583333333333336</v>
      </c>
      <c r="H90" s="247">
        <f t="shared" si="13"/>
        <v>5.3605151597207754E-3</v>
      </c>
      <c r="I90" s="224">
        <v>84</v>
      </c>
      <c r="J90" s="243">
        <f t="shared" si="14"/>
        <v>86.942957748279682</v>
      </c>
      <c r="K90" s="244">
        <f t="shared" si="11"/>
        <v>86.476898705239066</v>
      </c>
      <c r="L90" s="294" t="s">
        <v>229</v>
      </c>
      <c r="M90" s="262" t="s">
        <v>402</v>
      </c>
      <c r="N90" s="262" t="s">
        <v>403</v>
      </c>
      <c r="O90" s="262" t="s">
        <v>241</v>
      </c>
      <c r="P90" s="295">
        <v>3552</v>
      </c>
      <c r="Q90" s="263"/>
      <c r="R90" s="262" t="s">
        <v>404</v>
      </c>
      <c r="S90" s="295">
        <v>34385</v>
      </c>
      <c r="T90" s="296"/>
      <c r="U90" s="297"/>
    </row>
    <row r="91" spans="1:21">
      <c r="A91" s="224">
        <v>85</v>
      </c>
      <c r="B91" s="298">
        <v>2.420138888888889E-2</v>
      </c>
      <c r="C91" s="231">
        <f t="shared" si="15"/>
        <v>34.85</v>
      </c>
      <c r="D91" s="231">
        <f t="shared" si="12"/>
        <v>28.207671957671959</v>
      </c>
      <c r="E91" s="246">
        <f t="shared" si="10"/>
        <v>0.504</v>
      </c>
      <c r="F91" s="246">
        <v>28.371525771872395</v>
      </c>
      <c r="G91" s="246">
        <v>45.533333333333331</v>
      </c>
      <c r="H91" s="247">
        <f t="shared" si="13"/>
        <v>5.7752908855850651E-3</v>
      </c>
      <c r="I91" s="224">
        <v>85</v>
      </c>
      <c r="J91" s="243">
        <f t="shared" si="14"/>
        <v>81.410403936506142</v>
      </c>
      <c r="K91" s="244">
        <f t="shared" si="11"/>
        <v>80.94023517265984</v>
      </c>
      <c r="L91" s="294" t="s">
        <v>230</v>
      </c>
      <c r="M91" s="262" t="s">
        <v>402</v>
      </c>
      <c r="N91" s="262" t="s">
        <v>403</v>
      </c>
      <c r="O91" s="262" t="s">
        <v>241</v>
      </c>
      <c r="P91" s="295">
        <v>3552</v>
      </c>
      <c r="Q91" s="263" t="s">
        <v>405</v>
      </c>
      <c r="R91" s="262" t="s">
        <v>406</v>
      </c>
      <c r="S91" s="295">
        <v>34601</v>
      </c>
      <c r="T91" s="296"/>
      <c r="U91" s="297"/>
    </row>
    <row r="92" spans="1:21">
      <c r="A92" s="224">
        <v>86</v>
      </c>
      <c r="B92" s="298">
        <v>2.3877314814814816E-2</v>
      </c>
      <c r="C92" s="231">
        <f t="shared" si="15"/>
        <v>34.383333333333333</v>
      </c>
      <c r="D92" s="231">
        <f t="shared" si="12"/>
        <v>29.168376419094514</v>
      </c>
      <c r="E92" s="246">
        <f t="shared" si="10"/>
        <v>0.4874</v>
      </c>
      <c r="F92" s="246">
        <v>29.337581308907478</v>
      </c>
      <c r="G92" s="246">
        <v>36.666666666666664</v>
      </c>
      <c r="H92" s="247">
        <f t="shared" si="13"/>
        <v>5.7675132803667577E-3</v>
      </c>
      <c r="I92" s="224">
        <v>86</v>
      </c>
      <c r="J92" s="243">
        <f t="shared" si="14"/>
        <v>85.325006230462861</v>
      </c>
      <c r="K92" s="244">
        <f t="shared" si="11"/>
        <v>84.832893123881277</v>
      </c>
      <c r="L92" s="294" t="s">
        <v>231</v>
      </c>
      <c r="M92" s="262" t="s">
        <v>398</v>
      </c>
      <c r="N92" s="262" t="s">
        <v>399</v>
      </c>
      <c r="O92" s="262" t="s">
        <v>400</v>
      </c>
      <c r="P92" s="295">
        <v>11106</v>
      </c>
      <c r="Q92" s="263" t="s">
        <v>273</v>
      </c>
      <c r="R92" s="262" t="s">
        <v>274</v>
      </c>
      <c r="S92" s="295">
        <v>42827</v>
      </c>
      <c r="T92" s="296"/>
      <c r="U92" s="297"/>
    </row>
    <row r="93" spans="1:21">
      <c r="A93" s="224">
        <v>87</v>
      </c>
      <c r="B93" s="298">
        <v>2.6493055555555554E-2</v>
      </c>
      <c r="C93" s="231">
        <f t="shared" si="15"/>
        <v>38.15</v>
      </c>
      <c r="D93" s="231">
        <f t="shared" si="12"/>
        <v>30.241792526412819</v>
      </c>
      <c r="E93" s="246">
        <f t="shared" si="10"/>
        <v>0.47010000000000002</v>
      </c>
      <c r="F93" s="246">
        <v>30.42191479110744</v>
      </c>
      <c r="G93" s="246"/>
      <c r="H93" s="247">
        <f t="shared" si="13"/>
        <v>5.9208062980727269E-3</v>
      </c>
      <c r="I93" s="224">
        <v>87</v>
      </c>
      <c r="J93" s="243">
        <f t="shared" si="14"/>
        <v>79.74289591378097</v>
      </c>
      <c r="K93" s="244">
        <f t="shared" si="11"/>
        <v>79.270753673428089</v>
      </c>
      <c r="L93" s="294" t="s">
        <v>232</v>
      </c>
      <c r="M93" s="263" t="s">
        <v>407</v>
      </c>
      <c r="N93" s="263" t="s">
        <v>408</v>
      </c>
      <c r="O93" s="262" t="s">
        <v>241</v>
      </c>
      <c r="P93" s="295">
        <v>2522</v>
      </c>
      <c r="Q93" s="263"/>
      <c r="R93" s="263" t="s">
        <v>409</v>
      </c>
      <c r="S93" s="295">
        <v>34475</v>
      </c>
      <c r="T93" s="296"/>
      <c r="U93" s="297"/>
    </row>
    <row r="94" spans="1:21">
      <c r="A94" s="224">
        <v>88</v>
      </c>
      <c r="B94" s="298">
        <v>2.8773148148148148E-2</v>
      </c>
      <c r="C94" s="231">
        <f t="shared" si="15"/>
        <v>41.433333333333337</v>
      </c>
      <c r="D94" s="231">
        <f t="shared" si="12"/>
        <v>31.452802359882007</v>
      </c>
      <c r="E94" s="246">
        <f t="shared" si="10"/>
        <v>0.45200000000000001</v>
      </c>
      <c r="F94" s="246">
        <v>31.643757159221078</v>
      </c>
      <c r="G94" s="246"/>
      <c r="H94" s="247">
        <f t="shared" si="13"/>
        <v>6.0345172786609586E-3</v>
      </c>
      <c r="I94" s="224">
        <v>88</v>
      </c>
      <c r="J94" s="243">
        <f t="shared" si="14"/>
        <v>76.372704326358189</v>
      </c>
      <c r="K94" s="244">
        <f t="shared" si="11"/>
        <v>75.911831922482705</v>
      </c>
      <c r="L94" s="294" t="s">
        <v>233</v>
      </c>
      <c r="M94" s="262" t="s">
        <v>402</v>
      </c>
      <c r="N94" s="262" t="s">
        <v>403</v>
      </c>
      <c r="O94" s="262" t="s">
        <v>241</v>
      </c>
      <c r="P94" s="295">
        <v>3552</v>
      </c>
      <c r="Q94" s="263" t="s">
        <v>410</v>
      </c>
      <c r="R94" s="263" t="s">
        <v>411</v>
      </c>
      <c r="S94" s="295">
        <v>35931</v>
      </c>
      <c r="T94" s="296"/>
      <c r="U94" s="297"/>
    </row>
    <row r="95" spans="1:21">
      <c r="A95" s="224">
        <v>89</v>
      </c>
      <c r="B95" s="298">
        <v>2.8530092592592593E-2</v>
      </c>
      <c r="C95" s="231">
        <f t="shared" si="15"/>
        <v>41.083333333333336</v>
      </c>
      <c r="D95" s="231">
        <f t="shared" si="12"/>
        <v>32.825367505579926</v>
      </c>
      <c r="E95" s="246">
        <f t="shared" si="10"/>
        <v>0.43309999999999998</v>
      </c>
      <c r="F95" s="246">
        <v>33.019572687882864</v>
      </c>
      <c r="G95" s="246"/>
      <c r="H95" s="247">
        <f t="shared" si="13"/>
        <v>5.8815171273916729E-3</v>
      </c>
      <c r="I95" s="224">
        <v>89</v>
      </c>
      <c r="J95" s="243">
        <f t="shared" si="14"/>
        <v>80.372185041499876</v>
      </c>
      <c r="K95" s="244">
        <f t="shared" si="11"/>
        <v>79.899474658612391</v>
      </c>
      <c r="L95" s="294" t="s">
        <v>234</v>
      </c>
      <c r="M95" s="262" t="s">
        <v>412</v>
      </c>
      <c r="N95" s="262" t="s">
        <v>413</v>
      </c>
      <c r="O95" s="262" t="s">
        <v>241</v>
      </c>
      <c r="P95" s="295"/>
      <c r="Q95" s="263"/>
      <c r="R95" s="263" t="s">
        <v>414</v>
      </c>
      <c r="S95" s="295">
        <v>35715</v>
      </c>
      <c r="T95" s="296"/>
      <c r="U95" s="297"/>
    </row>
    <row r="96" spans="1:21" ht="14.25" customHeight="1">
      <c r="A96" s="224">
        <v>90</v>
      </c>
      <c r="B96" s="298">
        <v>0.03</v>
      </c>
      <c r="C96" s="231">
        <f t="shared" si="15"/>
        <v>43.199999999999996</v>
      </c>
      <c r="D96" s="231">
        <f t="shared" si="12"/>
        <v>34.389614578293823</v>
      </c>
      <c r="E96" s="246">
        <f t="shared" si="10"/>
        <v>0.41339999999999999</v>
      </c>
      <c r="F96" s="246">
        <v>34.593410033654223</v>
      </c>
      <c r="G96" s="246"/>
      <c r="H96" s="247">
        <f t="shared" si="13"/>
        <v>5.8911641021263013E-3</v>
      </c>
      <c r="I96" s="224">
        <v>90</v>
      </c>
      <c r="J96" s="243">
        <f t="shared" si="14"/>
        <v>80.077338040866266</v>
      </c>
      <c r="K96" s="244">
        <f t="shared" si="11"/>
        <v>79.605589301606088</v>
      </c>
      <c r="L96" s="294" t="s">
        <v>235</v>
      </c>
      <c r="M96" s="262" t="s">
        <v>415</v>
      </c>
      <c r="N96" s="262" t="s">
        <v>416</v>
      </c>
      <c r="O96" s="262" t="s">
        <v>241</v>
      </c>
      <c r="P96" s="295">
        <v>8487</v>
      </c>
      <c r="Q96" s="263" t="s">
        <v>417</v>
      </c>
      <c r="R96" s="263" t="s">
        <v>418</v>
      </c>
      <c r="S96" s="295">
        <v>41510</v>
      </c>
      <c r="T96" s="311"/>
      <c r="U96" s="312" t="s">
        <v>419</v>
      </c>
    </row>
    <row r="97" spans="1:21">
      <c r="A97" s="224">
        <v>91</v>
      </c>
      <c r="B97" s="298">
        <v>2.9421296296296296E-2</v>
      </c>
      <c r="C97" s="231">
        <f t="shared" si="15"/>
        <v>42.366666666666667</v>
      </c>
      <c r="D97" s="231">
        <f t="shared" si="12"/>
        <v>36.183931449902431</v>
      </c>
      <c r="E97" s="246">
        <f t="shared" ref="E97:E106" si="16">ROUND(1-IF(A97&lt;I$3,0,IF(A97&lt;I$4,G$3*(A97-I$3)^2,G$2+G$4*(A97-I$4)+(A97&gt;I$5)*G$5*(A97-I$5)^2)),4)</f>
        <v>0.39290000000000003</v>
      </c>
      <c r="F97" s="246">
        <v>36.387585412035897</v>
      </c>
      <c r="G97" s="246"/>
      <c r="H97" s="247">
        <f t="shared" si="13"/>
        <v>5.5967979141067969E-3</v>
      </c>
      <c r="I97" s="224">
        <v>91</v>
      </c>
      <c r="J97" s="243">
        <f t="shared" si="14"/>
        <v>85.887298376166555</v>
      </c>
      <c r="K97" s="244">
        <f t="shared" si="11"/>
        <v>85.406604523766561</v>
      </c>
      <c r="L97" s="294" t="s">
        <v>236</v>
      </c>
      <c r="M97" s="262" t="s">
        <v>415</v>
      </c>
      <c r="N97" s="262" t="s">
        <v>416</v>
      </c>
      <c r="O97" s="262" t="s">
        <v>241</v>
      </c>
      <c r="P97" s="295">
        <v>8487</v>
      </c>
      <c r="Q97" s="263" t="s">
        <v>420</v>
      </c>
      <c r="R97" s="262" t="s">
        <v>418</v>
      </c>
      <c r="S97" s="295">
        <v>41755</v>
      </c>
      <c r="T97" s="296"/>
      <c r="U97" s="297"/>
    </row>
    <row r="98" spans="1:21">
      <c r="A98" s="224">
        <v>92</v>
      </c>
      <c r="B98" s="298">
        <v>3.0856481481481481E-2</v>
      </c>
      <c r="C98" s="231">
        <f t="shared" si="15"/>
        <v>44.43333333333333</v>
      </c>
      <c r="D98" s="231">
        <f t="shared" si="12"/>
        <v>38.257983494797273</v>
      </c>
      <c r="E98" s="246">
        <f t="shared" si="16"/>
        <v>0.37159999999999999</v>
      </c>
      <c r="F98" s="246">
        <v>38.458191942921779</v>
      </c>
      <c r="G98" s="246">
        <v>46.81666666666667</v>
      </c>
      <c r="H98" s="247">
        <f t="shared" si="13"/>
        <v>5.2058726115270394E-3</v>
      </c>
      <c r="I98" s="224">
        <v>92</v>
      </c>
      <c r="J98" s="243">
        <f t="shared" si="14"/>
        <v>86.552570014077531</v>
      </c>
      <c r="K98" s="244">
        <f t="shared" si="11"/>
        <v>86.101988360383956</v>
      </c>
      <c r="L98" s="294" t="s">
        <v>237</v>
      </c>
      <c r="M98" s="262" t="s">
        <v>415</v>
      </c>
      <c r="N98" s="262" t="s">
        <v>416</v>
      </c>
      <c r="O98" s="262" t="s">
        <v>241</v>
      </c>
      <c r="P98" s="295">
        <v>8487</v>
      </c>
      <c r="Q98" s="263" t="s">
        <v>421</v>
      </c>
      <c r="R98" s="262" t="s">
        <v>418</v>
      </c>
      <c r="S98" s="295">
        <v>42126</v>
      </c>
      <c r="T98" s="296"/>
      <c r="U98" s="297"/>
    </row>
    <row r="99" spans="1:21">
      <c r="A99" s="224">
        <v>93</v>
      </c>
      <c r="B99" s="298" t="s">
        <v>1024</v>
      </c>
      <c r="C99" s="231"/>
      <c r="D99" s="231">
        <f t="shared" si="12"/>
        <v>40.677157844539821</v>
      </c>
      <c r="E99" s="246">
        <f t="shared" si="16"/>
        <v>0.34949999999999998</v>
      </c>
      <c r="F99" s="246">
        <v>40.869163199260292</v>
      </c>
      <c r="G99" s="246">
        <v>46.15</v>
      </c>
      <c r="H99" s="247">
        <f t="shared" si="13"/>
        <v>4.6980495730812232E-3</v>
      </c>
      <c r="I99" s="224">
        <v>93</v>
      </c>
      <c r="J99" s="243"/>
      <c r="K99" s="244"/>
      <c r="L99" s="294"/>
      <c r="M99" s="262"/>
      <c r="N99" s="262"/>
      <c r="O99" s="262"/>
      <c r="P99" s="295"/>
      <c r="Q99" s="263"/>
      <c r="R99" s="262"/>
      <c r="S99" s="295"/>
      <c r="T99" s="296"/>
      <c r="U99" s="297"/>
    </row>
    <row r="100" spans="1:21" ht="15.75">
      <c r="A100" s="224">
        <v>94</v>
      </c>
      <c r="B100" s="298">
        <v>3.3969907407407407E-2</v>
      </c>
      <c r="C100" s="231">
        <f t="shared" si="15"/>
        <v>48.916666666666664</v>
      </c>
      <c r="D100" s="231">
        <f t="shared" si="12"/>
        <v>43.529291692182078</v>
      </c>
      <c r="E100" s="246">
        <f t="shared" si="16"/>
        <v>0.3266</v>
      </c>
      <c r="F100" s="246">
        <v>43.693159351522347</v>
      </c>
      <c r="G100" s="246"/>
      <c r="H100" s="247">
        <f t="shared" si="13"/>
        <v>3.750419099289963E-3</v>
      </c>
      <c r="I100" s="224">
        <v>94</v>
      </c>
      <c r="J100" s="243">
        <f t="shared" si="14"/>
        <v>89.321620480113822</v>
      </c>
      <c r="K100" s="244">
        <f>100*(D100/C100)</f>
        <v>88.986626968685684</v>
      </c>
      <c r="L100" s="294" t="s">
        <v>238</v>
      </c>
      <c r="M100" s="262" t="s">
        <v>422</v>
      </c>
      <c r="N100" s="262" t="s">
        <v>423</v>
      </c>
      <c r="O100" s="262" t="s">
        <v>241</v>
      </c>
      <c r="P100" s="295">
        <v>5863</v>
      </c>
      <c r="Q100" s="263" t="s">
        <v>424</v>
      </c>
      <c r="R100" s="262" t="s">
        <v>425</v>
      </c>
      <c r="S100" s="295">
        <v>40250</v>
      </c>
      <c r="T100" s="313"/>
      <c r="U100" s="314"/>
    </row>
    <row r="101" spans="1:21" ht="15.75">
      <c r="A101" s="224">
        <v>95</v>
      </c>
      <c r="B101" s="298" t="s">
        <v>1024</v>
      </c>
      <c r="C101" s="231"/>
      <c r="D101" s="231">
        <f t="shared" si="12"/>
        <v>46.935182128315176</v>
      </c>
      <c r="E101" s="246">
        <f t="shared" si="16"/>
        <v>0.3029</v>
      </c>
      <c r="F101" s="246">
        <v>47.071352502662407</v>
      </c>
      <c r="G101" s="246"/>
      <c r="H101" s="247">
        <f t="shared" si="13"/>
        <v>2.8928502604536064E-3</v>
      </c>
      <c r="I101" s="224">
        <v>95</v>
      </c>
      <c r="J101" s="243"/>
      <c r="K101" s="244"/>
      <c r="L101" s="294"/>
      <c r="M101" s="262"/>
      <c r="N101" s="262"/>
      <c r="O101" s="262"/>
      <c r="P101" s="295"/>
      <c r="Q101" s="263"/>
      <c r="R101" s="262"/>
      <c r="S101" s="295"/>
      <c r="T101" s="313"/>
      <c r="U101" s="297"/>
    </row>
    <row r="102" spans="1:21" ht="14.25" customHeight="1">
      <c r="A102" s="224">
        <v>96</v>
      </c>
      <c r="B102" s="298" t="s">
        <v>1024</v>
      </c>
      <c r="C102" s="231"/>
      <c r="D102" s="231">
        <f t="shared" si="12"/>
        <v>51.083962151155831</v>
      </c>
      <c r="E102" s="246">
        <f t="shared" si="16"/>
        <v>0.27829999999999999</v>
      </c>
      <c r="F102" s="246">
        <v>51.139650584287864</v>
      </c>
      <c r="G102" s="246"/>
      <c r="H102" s="247">
        <f t="shared" si="13"/>
        <v>1.0889482523985608E-3</v>
      </c>
      <c r="I102" s="224">
        <v>96</v>
      </c>
      <c r="J102" s="315"/>
      <c r="K102" s="244"/>
      <c r="L102" s="294"/>
      <c r="M102" s="262"/>
      <c r="N102" s="262"/>
      <c r="O102" s="262"/>
      <c r="P102" s="295"/>
      <c r="Q102" s="263"/>
      <c r="R102" s="262"/>
      <c r="S102" s="295"/>
      <c r="T102" s="313"/>
      <c r="U102" s="292"/>
    </row>
    <row r="103" spans="1:21" ht="14.25" customHeight="1">
      <c r="A103" s="224">
        <v>97</v>
      </c>
      <c r="B103" s="298">
        <v>3.8738425925925926E-2</v>
      </c>
      <c r="C103" s="231"/>
      <c r="D103" s="231">
        <f t="shared" si="12"/>
        <v>56.192358366271407</v>
      </c>
      <c r="E103" s="246">
        <f t="shared" si="16"/>
        <v>0.253</v>
      </c>
      <c r="F103" s="246">
        <v>56.148373983739837</v>
      </c>
      <c r="G103" s="246"/>
      <c r="H103" s="247">
        <f t="shared" si="13"/>
        <v>-7.8335986264369245E-4</v>
      </c>
      <c r="I103" s="224">
        <v>97</v>
      </c>
      <c r="J103" s="315"/>
      <c r="K103" s="244"/>
      <c r="L103" s="316" t="s">
        <v>1000</v>
      </c>
      <c r="M103" s="262" t="s">
        <v>846</v>
      </c>
      <c r="N103" s="262" t="s">
        <v>1023</v>
      </c>
      <c r="O103" s="262" t="s">
        <v>241</v>
      </c>
      <c r="P103" s="295">
        <v>9017</v>
      </c>
      <c r="Q103" s="317" t="s">
        <v>362</v>
      </c>
      <c r="R103" s="262" t="s">
        <v>589</v>
      </c>
      <c r="S103" s="295">
        <v>44619</v>
      </c>
      <c r="T103" s="313"/>
      <c r="U103" s="292"/>
    </row>
    <row r="104" spans="1:21">
      <c r="A104" s="224">
        <v>98</v>
      </c>
      <c r="B104" s="298">
        <v>4.1018518518518517E-2</v>
      </c>
      <c r="C104" s="231"/>
      <c r="D104" s="231">
        <f t="shared" si="12"/>
        <v>62.656089319817838</v>
      </c>
      <c r="E104" s="246">
        <f t="shared" si="16"/>
        <v>0.22689999999999999</v>
      </c>
      <c r="F104" s="246">
        <v>62.455842871273141</v>
      </c>
      <c r="G104" s="246"/>
      <c r="H104" s="247">
        <f t="shared" si="13"/>
        <v>-3.2062084080335214E-3</v>
      </c>
      <c r="I104" s="224">
        <v>98</v>
      </c>
      <c r="J104" s="315"/>
      <c r="K104" s="291"/>
      <c r="L104" s="316" t="s">
        <v>1001</v>
      </c>
      <c r="M104" s="262" t="s">
        <v>846</v>
      </c>
      <c r="N104" s="262" t="s">
        <v>1023</v>
      </c>
      <c r="O104" s="262" t="s">
        <v>241</v>
      </c>
      <c r="P104" s="295">
        <v>9017</v>
      </c>
      <c r="Q104" s="224" t="s">
        <v>362</v>
      </c>
      <c r="R104" s="262" t="s">
        <v>589</v>
      </c>
      <c r="S104" s="295">
        <v>44982</v>
      </c>
      <c r="T104" s="296"/>
      <c r="U104" s="292"/>
    </row>
    <row r="105" spans="1:21">
      <c r="A105" s="224">
        <v>99</v>
      </c>
      <c r="B105" s="224"/>
      <c r="C105" s="231"/>
      <c r="D105" s="231">
        <f t="shared" si="12"/>
        <v>71.083333333333329</v>
      </c>
      <c r="E105" s="246">
        <f t="shared" si="16"/>
        <v>0.2</v>
      </c>
      <c r="F105" s="246">
        <v>70.595751477399787</v>
      </c>
      <c r="G105" s="246"/>
      <c r="H105" s="247">
        <f t="shared" si="13"/>
        <v>-6.9066742081445752E-3</v>
      </c>
      <c r="I105" s="224">
        <v>99</v>
      </c>
      <c r="J105" s="315"/>
      <c r="K105" s="291"/>
      <c r="L105" s="294"/>
      <c r="M105" s="292"/>
      <c r="N105" s="292"/>
      <c r="O105" s="292"/>
      <c r="P105" s="292"/>
      <c r="Q105" s="292"/>
      <c r="R105" s="292"/>
      <c r="S105" s="292"/>
      <c r="T105" s="292"/>
      <c r="U105" s="292"/>
    </row>
    <row r="106" spans="1:21">
      <c r="A106" s="224">
        <v>100</v>
      </c>
      <c r="B106" s="224"/>
      <c r="C106" s="224"/>
      <c r="D106" s="231">
        <f>OC/E106</f>
        <v>82.511124008512283</v>
      </c>
      <c r="E106" s="246">
        <f t="shared" si="16"/>
        <v>0.17230000000000001</v>
      </c>
      <c r="F106" s="246">
        <v>81.579918789221111</v>
      </c>
      <c r="G106" s="246"/>
      <c r="H106" s="247">
        <f t="shared" si="13"/>
        <v>-1.1414637733302197E-2</v>
      </c>
      <c r="I106" s="318">
        <v>100</v>
      </c>
      <c r="J106" s="319"/>
      <c r="K106" s="291"/>
      <c r="L106" s="320"/>
      <c r="M106" s="292"/>
      <c r="N106" s="292"/>
      <c r="O106" s="292"/>
      <c r="P106" s="292"/>
      <c r="Q106" s="292"/>
      <c r="R106" s="292"/>
      <c r="S106" s="292"/>
      <c r="T106" s="292"/>
      <c r="U106" s="292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topLeftCell="A33" zoomScale="87" zoomScaleNormal="87" workbookViewId="0">
      <selection activeCell="E106" sqref="E106"/>
    </sheetView>
  </sheetViews>
  <sheetFormatPr defaultColWidth="9.6640625" defaultRowHeight="15"/>
  <cols>
    <col min="1" max="4" width="9.6640625" style="224" customWidth="1"/>
    <col min="5" max="5" width="10.88671875" style="224" customWidth="1"/>
    <col min="6" max="7" width="10.6640625" style="224" customWidth="1"/>
    <col min="8" max="16384" width="9.6640625" style="224"/>
  </cols>
  <sheetData>
    <row r="1" spans="1:12" ht="47.25">
      <c r="A1" s="220" t="s">
        <v>78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K1" s="221" t="s">
        <v>2126</v>
      </c>
    </row>
    <row r="2" spans="1:12" ht="12" customHeight="1">
      <c r="A2" s="220"/>
      <c r="B2" s="221"/>
      <c r="C2" s="222"/>
      <c r="D2" s="223"/>
      <c r="E2" s="223"/>
      <c r="F2" s="323">
        <f>(+H$3-H$4)*F$4/2</f>
        <v>4.725E-2</v>
      </c>
      <c r="G2" s="324">
        <f>(+I$4-I$3)*G$4/2</f>
        <v>0.17219999999999999</v>
      </c>
      <c r="H2" s="225"/>
      <c r="I2" s="225"/>
      <c r="K2" s="221">
        <f>Parameters!Z14</f>
        <v>0.26303440583379373</v>
      </c>
    </row>
    <row r="3" spans="1:12" ht="14.25" customHeight="1">
      <c r="A3" s="220"/>
      <c r="B3" s="221"/>
      <c r="C3" s="222"/>
      <c r="D3" s="223"/>
      <c r="E3" s="223"/>
      <c r="F3" s="325">
        <f>F4/(2*(+H3-H4))</f>
        <v>1.89E-3</v>
      </c>
      <c r="G3" s="326">
        <f>G4/(2*(+I4-I3))</f>
        <v>1.6006097560975613E-4</v>
      </c>
      <c r="H3" s="226">
        <v>22</v>
      </c>
      <c r="I3" s="227">
        <v>24</v>
      </c>
      <c r="J3" s="327"/>
      <c r="K3" s="327"/>
      <c r="L3" s="327"/>
    </row>
    <row r="4" spans="1:12" ht="15.75">
      <c r="A4" s="221"/>
      <c r="B4" s="221"/>
      <c r="C4" s="221"/>
      <c r="D4" s="228">
        <f>Parameters!G14</f>
        <v>1.1875E-2</v>
      </c>
      <c r="E4" s="229">
        <f>D4*1440</f>
        <v>17.100000000000001</v>
      </c>
      <c r="F4" s="230">
        <v>1.89E-2</v>
      </c>
      <c r="G4" s="219">
        <v>1.0500000000000001E-2</v>
      </c>
      <c r="H4" s="226">
        <v>17</v>
      </c>
      <c r="I4" s="227">
        <v>56.8</v>
      </c>
    </row>
    <row r="5" spans="1:12" ht="15.75">
      <c r="A5" s="221"/>
      <c r="B5" s="221"/>
      <c r="C5" s="221"/>
      <c r="D5" s="228"/>
      <c r="E5" s="221">
        <f>E4*60</f>
        <v>1026</v>
      </c>
      <c r="F5" s="230">
        <v>9.1E-4</v>
      </c>
      <c r="G5" s="219">
        <v>5.1000000000000004E-4</v>
      </c>
      <c r="H5" s="226">
        <v>15</v>
      </c>
      <c r="I5" s="227">
        <v>76.7</v>
      </c>
    </row>
    <row r="6" spans="1:12" ht="31.5">
      <c r="A6" s="232" t="s">
        <v>70</v>
      </c>
      <c r="B6" s="232" t="s">
        <v>32</v>
      </c>
      <c r="C6" s="232" t="s">
        <v>71</v>
      </c>
      <c r="D6" s="232" t="s">
        <v>147</v>
      </c>
      <c r="E6" s="232" t="s">
        <v>150</v>
      </c>
    </row>
    <row r="7" spans="1:12">
      <c r="A7" s="224">
        <v>1</v>
      </c>
    </row>
    <row r="8" spans="1:12">
      <c r="A8" s="224">
        <v>2</v>
      </c>
    </row>
    <row r="9" spans="1:12">
      <c r="A9" s="224">
        <v>3</v>
      </c>
      <c r="B9" s="245"/>
      <c r="C9" s="231"/>
      <c r="D9" s="231"/>
      <c r="E9" s="246">
        <f>'5K'!$E9*(1-$K$2)+'10K'!$E9*$K$2</f>
        <v>0.62895414543120509</v>
      </c>
    </row>
    <row r="10" spans="1:12">
      <c r="A10" s="224">
        <v>4</v>
      </c>
      <c r="B10" s="248"/>
      <c r="C10" s="231"/>
      <c r="D10" s="231">
        <f>E$4/E10</f>
        <v>25.817456745354644</v>
      </c>
      <c r="E10" s="246">
        <f>'5K'!$E10*(1-$K$2)+'10K'!$E10*$K$2</f>
        <v>0.66234254476195908</v>
      </c>
    </row>
    <row r="11" spans="1:12">
      <c r="A11" s="224">
        <v>5</v>
      </c>
      <c r="B11" s="248"/>
      <c r="C11" s="231"/>
      <c r="D11" s="231">
        <f t="shared" ref="D11:D41" si="0">E$4/E11</f>
        <v>24.633439396408139</v>
      </c>
      <c r="E11" s="246">
        <f>'5K'!$E11*(1-$K$2)+'10K'!$E11*$K$2</f>
        <v>0.69417833721154643</v>
      </c>
    </row>
    <row r="12" spans="1:12">
      <c r="A12" s="224">
        <v>6</v>
      </c>
      <c r="B12" s="248"/>
      <c r="C12" s="231"/>
      <c r="D12" s="231">
        <f t="shared" si="0"/>
        <v>23.606309298301042</v>
      </c>
      <c r="E12" s="246">
        <f>'5K'!$E12*(1-$K$2)+'10K'!$E12*$K$2</f>
        <v>0.72438261245821667</v>
      </c>
    </row>
    <row r="13" spans="1:12">
      <c r="A13" s="224">
        <v>7</v>
      </c>
      <c r="B13" s="248"/>
      <c r="C13" s="231"/>
      <c r="D13" s="231">
        <f t="shared" si="0"/>
        <v>22.708129543976209</v>
      </c>
      <c r="E13" s="246">
        <f>'5K'!$E13*(1-$K$2)+'10K'!$E13*$K$2</f>
        <v>0.75303428082372037</v>
      </c>
    </row>
    <row r="14" spans="1:12">
      <c r="A14" s="224">
        <v>8</v>
      </c>
      <c r="B14" s="248"/>
      <c r="C14" s="231"/>
      <c r="D14" s="231">
        <f t="shared" si="0"/>
        <v>21.92006884699445</v>
      </c>
      <c r="E14" s="246">
        <f>'5K'!$E14*(1-$K$2)+'10K'!$E14*$K$2</f>
        <v>0.78010703886747379</v>
      </c>
    </row>
    <row r="15" spans="1:12">
      <c r="A15" s="224">
        <v>9</v>
      </c>
      <c r="B15" s="248"/>
      <c r="C15" s="231"/>
      <c r="D15" s="231">
        <f t="shared" si="0"/>
        <v>21.225143068872629</v>
      </c>
      <c r="E15" s="246">
        <f>'5K'!$E15*(1-$K$2)+'10K'!$E15*$K$2</f>
        <v>0.80564827970831032</v>
      </c>
    </row>
    <row r="16" spans="1:12">
      <c r="A16" s="224">
        <v>10</v>
      </c>
      <c r="B16" s="248"/>
      <c r="C16" s="231"/>
      <c r="D16" s="231">
        <f t="shared" si="0"/>
        <v>20.612079678335938</v>
      </c>
      <c r="E16" s="246">
        <f>'5K'!$E16*(1-$K$2)+'10K'!$E16*$K$2</f>
        <v>0.82961061022739668</v>
      </c>
    </row>
    <row r="17" spans="1:5">
      <c r="A17" s="224">
        <v>11</v>
      </c>
      <c r="B17" s="248"/>
      <c r="C17" s="231"/>
      <c r="D17" s="231">
        <f t="shared" si="0"/>
        <v>20.070563160489954</v>
      </c>
      <c r="E17" s="246">
        <f>'5K'!$E17*(1-$K$2)+'10K'!$E17*$K$2</f>
        <v>0.85199403042473298</v>
      </c>
    </row>
    <row r="18" spans="1:5">
      <c r="A18" s="224">
        <v>12</v>
      </c>
      <c r="B18" s="248"/>
      <c r="C18" s="231"/>
      <c r="D18" s="231">
        <f t="shared" si="0"/>
        <v>19.592150090118277</v>
      </c>
      <c r="E18" s="246">
        <f>'5K'!$E18*(1-$K$2)+'10K'!$E18*$K$2</f>
        <v>0.87279854030031923</v>
      </c>
    </row>
    <row r="19" spans="1:5">
      <c r="A19" s="224">
        <v>13</v>
      </c>
      <c r="B19" s="248"/>
      <c r="C19" s="231"/>
      <c r="D19" s="231">
        <f t="shared" si="0"/>
        <v>19.168866360986975</v>
      </c>
      <c r="E19" s="246">
        <f>'5K'!$E19*(1-$K$2)+'10K'!$E19*$K$2</f>
        <v>0.89207153297298847</v>
      </c>
    </row>
    <row r="20" spans="1:5">
      <c r="A20" s="224">
        <v>14</v>
      </c>
      <c r="B20" s="248"/>
      <c r="C20" s="231"/>
      <c r="D20" s="231">
        <f t="shared" si="0"/>
        <v>18.796050006695204</v>
      </c>
      <c r="E20" s="246">
        <f>'5K'!$E20*(1-$K$2)+'10K'!$E20*$K$2</f>
        <v>0.90976561532390765</v>
      </c>
    </row>
    <row r="21" spans="1:5">
      <c r="A21" s="224">
        <v>15</v>
      </c>
      <c r="B21" s="248"/>
      <c r="C21" s="231"/>
      <c r="D21" s="231">
        <f t="shared" si="0"/>
        <v>18.46837568264262</v>
      </c>
      <c r="E21" s="246">
        <f>'5K'!$E21*(1-$K$2)+'10K'!$E21*$K$2</f>
        <v>0.92590709079365996</v>
      </c>
    </row>
    <row r="22" spans="1:5">
      <c r="A22" s="224">
        <v>16</v>
      </c>
      <c r="B22" s="248"/>
      <c r="C22" s="231"/>
      <c r="D22" s="231">
        <f t="shared" si="0"/>
        <v>18.168373790324811</v>
      </c>
      <c r="E22" s="246">
        <f>'5K'!$E22*(1-$K$2)+'10K'!$E22*$K$2</f>
        <v>0.94119595938224543</v>
      </c>
    </row>
    <row r="23" spans="1:5">
      <c r="A23" s="224">
        <v>17</v>
      </c>
      <c r="B23" s="248"/>
      <c r="C23" s="231"/>
      <c r="D23" s="231">
        <f t="shared" si="0"/>
        <v>17.876585239149449</v>
      </c>
      <c r="E23" s="246">
        <f>'5K'!$E23*(1-$K$2)+'10K'!$E23*$K$2</f>
        <v>0.9565585245302477</v>
      </c>
    </row>
    <row r="24" spans="1:5">
      <c r="A24" s="224">
        <v>18</v>
      </c>
      <c r="B24" s="248"/>
      <c r="C24" s="231"/>
      <c r="D24" s="231">
        <f t="shared" si="0"/>
        <v>17.604408052809628</v>
      </c>
      <c r="E24" s="246">
        <f>'5K'!$E24*(1-$K$2)+'10K'!$E24*$K$2</f>
        <v>0.97134762774774908</v>
      </c>
    </row>
    <row r="25" spans="1:5">
      <c r="A25" s="224">
        <v>19</v>
      </c>
      <c r="B25" s="248"/>
      <c r="C25" s="231"/>
      <c r="D25" s="231">
        <f t="shared" si="0"/>
        <v>17.380091317203362</v>
      </c>
      <c r="E25" s="246">
        <f>'5K'!$E25*(1-$K$2)+'10K'!$E25*$K$2</f>
        <v>0.98388435871299951</v>
      </c>
    </row>
    <row r="26" spans="1:5">
      <c r="A26" s="224">
        <v>20</v>
      </c>
      <c r="B26" s="248"/>
      <c r="C26" s="231"/>
      <c r="D26" s="231">
        <f t="shared" si="0"/>
        <v>17.223281157417372</v>
      </c>
      <c r="E26" s="246">
        <f>'5K'!$E26*(1-$K$2)+'10K'!$E26*$K$2</f>
        <v>0.99284217935649977</v>
      </c>
    </row>
    <row r="27" spans="1:5">
      <c r="A27" s="224">
        <v>21</v>
      </c>
      <c r="B27" s="248"/>
      <c r="C27" s="231"/>
      <c r="D27" s="231">
        <f t="shared" si="0"/>
        <v>17.131286928258703</v>
      </c>
      <c r="E27" s="246">
        <f>'5K'!$E27*(1-$K$2)+'10K'!$E27*$K$2</f>
        <v>0.99817369655941657</v>
      </c>
    </row>
    <row r="28" spans="1:5">
      <c r="A28" s="224">
        <v>22</v>
      </c>
      <c r="B28" s="248"/>
      <c r="C28" s="231"/>
      <c r="D28" s="231">
        <f t="shared" si="0"/>
        <v>17.100000000000001</v>
      </c>
      <c r="E28" s="246">
        <f>'5K'!$E28*(1-$K$2)+'10K'!$E28*$K$2</f>
        <v>1</v>
      </c>
    </row>
    <row r="29" spans="1:5">
      <c r="A29" s="224">
        <v>23</v>
      </c>
      <c r="B29" s="248"/>
      <c r="C29" s="231"/>
      <c r="D29" s="231">
        <f t="shared" si="0"/>
        <v>17.100000000000001</v>
      </c>
      <c r="E29" s="246">
        <f>'5K'!$E29*(1-$K$2)+'10K'!$E29*$K$2</f>
        <v>1</v>
      </c>
    </row>
    <row r="30" spans="1:5">
      <c r="A30" s="224">
        <v>24</v>
      </c>
      <c r="B30" s="248"/>
      <c r="C30" s="231"/>
      <c r="D30" s="231">
        <f t="shared" si="0"/>
        <v>17.100000000000001</v>
      </c>
      <c r="E30" s="246">
        <f>'5K'!$E30*(1-$K$2)+'10K'!$E30*$K$2</f>
        <v>1</v>
      </c>
    </row>
    <row r="31" spans="1:5">
      <c r="A31" s="224">
        <v>25</v>
      </c>
      <c r="B31" s="248"/>
      <c r="C31" s="231"/>
      <c r="D31" s="231">
        <f t="shared" si="0"/>
        <v>17.100000000000001</v>
      </c>
      <c r="E31" s="246">
        <f>'5K'!$E31*(1-$K$2)+'10K'!$E31*$K$2</f>
        <v>1</v>
      </c>
    </row>
    <row r="32" spans="1:5">
      <c r="A32" s="224">
        <v>26</v>
      </c>
      <c r="B32" s="248"/>
      <c r="C32" s="231"/>
      <c r="D32" s="231">
        <f t="shared" si="0"/>
        <v>17.100000000000001</v>
      </c>
      <c r="E32" s="246">
        <f>'5K'!$E32*(1-$K$2)+'10K'!$E32*$K$2</f>
        <v>1</v>
      </c>
    </row>
    <row r="33" spans="1:5">
      <c r="A33" s="224">
        <v>27</v>
      </c>
      <c r="B33" s="248"/>
      <c r="C33" s="231"/>
      <c r="D33" s="231">
        <f t="shared" si="0"/>
        <v>17.106299363404695</v>
      </c>
      <c r="E33" s="246">
        <f>'5K'!$E33*(1-$K$2)+'10K'!$E33*$K$2</f>
        <v>0.99963175183183273</v>
      </c>
    </row>
    <row r="34" spans="1:5">
      <c r="A34" s="224">
        <v>28</v>
      </c>
      <c r="B34" s="248"/>
      <c r="C34" s="231"/>
      <c r="D34" s="231">
        <f t="shared" si="0"/>
        <v>17.111702512908547</v>
      </c>
      <c r="E34" s="246">
        <f>'5K'!$E34*(1-$K$2)+'10K'!$E34*$K$2</f>
        <v>0.99931611054483216</v>
      </c>
    </row>
    <row r="35" spans="1:5">
      <c r="A35" s="224">
        <v>29</v>
      </c>
      <c r="B35" s="248"/>
      <c r="C35" s="231"/>
      <c r="D35" s="231">
        <f t="shared" si="0"/>
        <v>17.118010502886733</v>
      </c>
      <c r="E35" s="246">
        <f>'5K'!$E35*(1-$K$2)+'10K'!$E35*$K$2</f>
        <v>0.99894786237666489</v>
      </c>
    </row>
    <row r="36" spans="1:5">
      <c r="A36" s="224">
        <v>30</v>
      </c>
      <c r="B36" s="248"/>
      <c r="C36" s="231"/>
      <c r="D36" s="231">
        <f t="shared" si="0"/>
        <v>17.12612761264479</v>
      </c>
      <c r="E36" s="246">
        <f>'5K'!$E36*(1-$K$2)+'10K'!$E36*$K$2</f>
        <v>0.99847440044616409</v>
      </c>
    </row>
    <row r="37" spans="1:5">
      <c r="A37" s="224">
        <v>31</v>
      </c>
      <c r="B37" s="248"/>
      <c r="C37" s="231"/>
      <c r="D37" s="231">
        <f t="shared" si="0"/>
        <v>17.138952692593602</v>
      </c>
      <c r="E37" s="246">
        <f>'5K'!$E37*(1-$K$2)+'10K'!$E37*$K$2</f>
        <v>0.99772724195624662</v>
      </c>
    </row>
    <row r="38" spans="1:5">
      <c r="A38" s="224">
        <v>32</v>
      </c>
      <c r="B38" s="248"/>
      <c r="C38" s="231"/>
      <c r="D38" s="231">
        <f t="shared" si="0"/>
        <v>17.163758260376387</v>
      </c>
      <c r="E38" s="246">
        <f>'5K'!$E38*(1-$K$2)+'10K'!$E38*$K$2</f>
        <v>0.99628529722866266</v>
      </c>
    </row>
    <row r="39" spans="1:5">
      <c r="A39" s="224">
        <v>33</v>
      </c>
      <c r="B39" s="248"/>
      <c r="C39" s="231"/>
      <c r="D39" s="231">
        <f t="shared" si="0"/>
        <v>17.199373459460777</v>
      </c>
      <c r="E39" s="246">
        <f>'5K'!$E39*(1-$K$2)+'10K'!$E39*$K$2</f>
        <v>0.99422226282282899</v>
      </c>
    </row>
    <row r="40" spans="1:5">
      <c r="A40" s="224">
        <v>34</v>
      </c>
      <c r="B40" s="248"/>
      <c r="C40" s="231"/>
      <c r="D40" s="231">
        <f t="shared" si="0"/>
        <v>17.245017740972973</v>
      </c>
      <c r="E40" s="246">
        <f>'5K'!$E40*(1-$K$2)+'10K'!$E40*$K$2</f>
        <v>0.99159074561991201</v>
      </c>
    </row>
    <row r="41" spans="1:5">
      <c r="A41" s="224">
        <v>35</v>
      </c>
      <c r="B41" s="248"/>
      <c r="C41" s="231"/>
      <c r="D41" s="231">
        <f t="shared" si="0"/>
        <v>17.303061073705077</v>
      </c>
      <c r="E41" s="246">
        <f>'5K'!$E41*(1-$K$2)+'10K'!$E41*$K$2</f>
        <v>0.98826444217932852</v>
      </c>
    </row>
    <row r="42" spans="1:5">
      <c r="A42" s="224">
        <v>36</v>
      </c>
      <c r="B42" s="248"/>
      <c r="C42" s="231"/>
      <c r="D42" s="231">
        <f t="shared" ref="D42:D73" si="1">E$4/E42</f>
        <v>17.372823526302131</v>
      </c>
      <c r="E42" s="246">
        <f>'5K'!$E42*(1-$K$2)+'10K'!$E42*$K$2</f>
        <v>0.98429595938224557</v>
      </c>
    </row>
    <row r="43" spans="1:5">
      <c r="A43" s="224">
        <v>37</v>
      </c>
      <c r="B43" s="248"/>
      <c r="C43" s="231"/>
      <c r="D43" s="231">
        <f t="shared" si="1"/>
        <v>17.454677591787256</v>
      </c>
      <c r="E43" s="246">
        <f>'5K'!$E43*(1-$K$2)+'10K'!$E43*$K$2</f>
        <v>0.97968008346632907</v>
      </c>
    </row>
    <row r="44" spans="1:5">
      <c r="A44" s="224">
        <v>38</v>
      </c>
      <c r="B44" s="248"/>
      <c r="C44" s="231"/>
      <c r="D44" s="231">
        <f t="shared" si="1"/>
        <v>17.548864357771937</v>
      </c>
      <c r="E44" s="246">
        <f>'5K'!$E44*(1-$K$2)+'10K'!$E44*$K$2</f>
        <v>0.9744220281939131</v>
      </c>
    </row>
    <row r="45" spans="1:5">
      <c r="A45" s="224">
        <v>39</v>
      </c>
      <c r="B45" s="248"/>
      <c r="C45" s="231"/>
      <c r="D45" s="231">
        <f t="shared" si="1"/>
        <v>17.654908121273888</v>
      </c>
      <c r="E45" s="246">
        <f>'5K'!$E45*(1-$K$2)+'10K'!$E45*$K$2</f>
        <v>0.96856918668383041</v>
      </c>
    </row>
    <row r="46" spans="1:5">
      <c r="A46" s="224">
        <v>40</v>
      </c>
      <c r="B46" s="248"/>
      <c r="C46" s="231"/>
      <c r="D46" s="231">
        <f t="shared" si="1"/>
        <v>17.775069426626185</v>
      </c>
      <c r="E46" s="246">
        <f>'5K'!$E46*(1-$K$2)+'10K'!$E46*$K$2</f>
        <v>0.96202155893608143</v>
      </c>
    </row>
    <row r="47" spans="1:5">
      <c r="A47" s="224">
        <v>41</v>
      </c>
      <c r="B47" s="248"/>
      <c r="C47" s="231"/>
      <c r="D47" s="231">
        <f t="shared" si="1"/>
        <v>17.9080254191576</v>
      </c>
      <c r="E47" s="246">
        <f>'5K'!$E47*(1-$K$2)+'10K'!$E47*$K$2</f>
        <v>0.95487914495066595</v>
      </c>
    </row>
    <row r="48" spans="1:5">
      <c r="A48" s="224">
        <v>42</v>
      </c>
      <c r="B48" s="248"/>
      <c r="C48" s="231"/>
      <c r="D48" s="231">
        <f t="shared" si="1"/>
        <v>18.055720939937601</v>
      </c>
      <c r="E48" s="246">
        <f>'5K'!$E48*(1-$K$2)+'10K'!$E48*$K$2</f>
        <v>0.94706824816816737</v>
      </c>
    </row>
    <row r="49" spans="1:5">
      <c r="A49" s="224">
        <v>43</v>
      </c>
      <c r="B49" s="248"/>
      <c r="C49" s="231"/>
      <c r="D49" s="231">
        <f t="shared" si="1"/>
        <v>18.217409146708416</v>
      </c>
      <c r="E49" s="246">
        <f>'5K'!$E49*(1-$K$2)+'10K'!$E49*$K$2</f>
        <v>0.93866256514800228</v>
      </c>
    </row>
    <row r="50" spans="1:5">
      <c r="A50" s="224">
        <v>44</v>
      </c>
      <c r="B50" s="248"/>
      <c r="C50" s="231"/>
      <c r="D50" s="231">
        <f t="shared" si="1"/>
        <v>18.389406610839064</v>
      </c>
      <c r="E50" s="246">
        <f>'5K'!$E50*(1-$K$2)+'10K'!$E50*$K$2</f>
        <v>0.92988318556842053</v>
      </c>
    </row>
    <row r="51" spans="1:5">
      <c r="A51" s="224">
        <v>45</v>
      </c>
      <c r="B51" s="248"/>
      <c r="C51" s="231"/>
      <c r="D51" s="231">
        <f t="shared" si="1"/>
        <v>18.56680362416289</v>
      </c>
      <c r="E51" s="246">
        <f>'5K'!$E51*(1-$K$2)+'10K'!$E51*$K$2</f>
        <v>0.92099859222650537</v>
      </c>
    </row>
    <row r="52" spans="1:5">
      <c r="A52" s="224">
        <v>46</v>
      </c>
      <c r="B52" s="248"/>
      <c r="C52" s="231"/>
      <c r="D52" s="231">
        <f t="shared" si="1"/>
        <v>18.750793783533123</v>
      </c>
      <c r="E52" s="246">
        <f>'5K'!$E52*(1-$K$2)+'10K'!$E52*$K$2</f>
        <v>0.9119613920034233</v>
      </c>
    </row>
    <row r="53" spans="1:5">
      <c r="A53" s="224">
        <v>47</v>
      </c>
      <c r="B53" s="248"/>
      <c r="C53" s="231"/>
      <c r="D53" s="231">
        <f t="shared" si="1"/>
        <v>18.938576346613196</v>
      </c>
      <c r="E53" s="246">
        <f>'5K'!$E53*(1-$K$2)+'10K'!$E53*$K$2</f>
        <v>0.9029189780180078</v>
      </c>
    </row>
    <row r="54" spans="1:5">
      <c r="A54" s="224">
        <v>48</v>
      </c>
      <c r="B54" s="248"/>
      <c r="C54" s="231"/>
      <c r="D54" s="231">
        <f t="shared" si="1"/>
        <v>19.131847045027182</v>
      </c>
      <c r="E54" s="246">
        <f>'5K'!$E54*(1-$K$2)+'10K'!$E54*$K$2</f>
        <v>0.89379765371084208</v>
      </c>
    </row>
    <row r="55" spans="1:5">
      <c r="A55" s="224">
        <v>49</v>
      </c>
      <c r="B55" s="248"/>
      <c r="C55" s="231"/>
      <c r="D55" s="231">
        <f t="shared" si="1"/>
        <v>19.330827369751006</v>
      </c>
      <c r="E55" s="246">
        <f>'5K'!$E55*(1-$K$2)+'10K'!$E55*$K$2</f>
        <v>0.88459741908192635</v>
      </c>
    </row>
    <row r="56" spans="1:5">
      <c r="A56" s="224">
        <v>50</v>
      </c>
      <c r="B56" s="248"/>
      <c r="C56" s="231"/>
      <c r="D56" s="231">
        <f t="shared" si="1"/>
        <v>19.53633824209161</v>
      </c>
      <c r="E56" s="246">
        <f>'5K'!$E56*(1-$K$2)+'10K'!$E56*$K$2</f>
        <v>0.87529197069067699</v>
      </c>
    </row>
    <row r="57" spans="1:5">
      <c r="A57" s="224">
        <v>51</v>
      </c>
      <c r="B57" s="248"/>
      <c r="C57" s="231"/>
      <c r="D57" s="231">
        <f t="shared" si="1"/>
        <v>19.748065224816184</v>
      </c>
      <c r="E57" s="246">
        <f>'5K'!$E57*(1-$K$2)+'10K'!$E57*$K$2</f>
        <v>0.86590761197767763</v>
      </c>
    </row>
    <row r="58" spans="1:5">
      <c r="A58" s="224">
        <v>52</v>
      </c>
      <c r="B58" s="248"/>
      <c r="C58" s="231"/>
      <c r="D58" s="231">
        <f t="shared" si="1"/>
        <v>19.966271177926988</v>
      </c>
      <c r="E58" s="246">
        <f>'5K'!$E58*(1-$K$2)+'10K'!$E58*$K$2</f>
        <v>0.85644434294292804</v>
      </c>
    </row>
    <row r="59" spans="1:5">
      <c r="A59" s="224">
        <v>53</v>
      </c>
      <c r="B59" s="248"/>
      <c r="C59" s="231"/>
      <c r="D59" s="231">
        <f t="shared" si="1"/>
        <v>20.191234283291461</v>
      </c>
      <c r="E59" s="246">
        <f>'5K'!$E59*(1-$K$2)+'10K'!$E59*$K$2</f>
        <v>0.84690216358642822</v>
      </c>
    </row>
    <row r="60" spans="1:5">
      <c r="A60" s="224">
        <v>54</v>
      </c>
      <c r="B60" s="248"/>
      <c r="C60" s="231"/>
      <c r="D60" s="231">
        <f t="shared" si="1"/>
        <v>20.42389079545034</v>
      </c>
      <c r="E60" s="246">
        <f>'5K'!$E60*(1-$K$2)+'10K'!$E60*$K$2</f>
        <v>0.837254770467595</v>
      </c>
    </row>
    <row r="61" spans="1:5">
      <c r="A61" s="224">
        <v>55</v>
      </c>
      <c r="B61" s="248"/>
      <c r="C61" s="231"/>
      <c r="D61" s="231">
        <f t="shared" si="1"/>
        <v>20.663284909031404</v>
      </c>
      <c r="E61" s="246">
        <f>'5K'!$E61*(1-$K$2)+'10K'!$E61*$K$2</f>
        <v>0.82755477046759496</v>
      </c>
    </row>
    <row r="62" spans="1:5">
      <c r="A62" s="224">
        <v>56</v>
      </c>
      <c r="B62" s="248"/>
      <c r="C62" s="231"/>
      <c r="D62" s="231">
        <f t="shared" si="1"/>
        <v>20.912932414257597</v>
      </c>
      <c r="E62" s="246">
        <f>'5K'!$E62*(1-$K$2)+'10K'!$E62*$K$2</f>
        <v>0.81767586014584492</v>
      </c>
    </row>
    <row r="63" spans="1:5">
      <c r="A63" s="224">
        <v>57</v>
      </c>
      <c r="B63" s="248"/>
      <c r="C63" s="231"/>
      <c r="D63" s="231">
        <f t="shared" si="1"/>
        <v>21.168822651452068</v>
      </c>
      <c r="E63" s="246">
        <f>'5K'!$E63*(1-$K$2)+'10K'!$E63*$K$2</f>
        <v>0.80779173606176125</v>
      </c>
    </row>
    <row r="64" spans="1:5">
      <c r="A64" s="224">
        <v>58</v>
      </c>
      <c r="B64" s="248"/>
      <c r="C64" s="231"/>
      <c r="D64" s="231">
        <f t="shared" si="1"/>
        <v>21.431759106317013</v>
      </c>
      <c r="E64" s="246">
        <f>'5K'!$E64*(1-$K$2)+'10K'!$E64*$K$2</f>
        <v>0.79788130853709416</v>
      </c>
    </row>
    <row r="65" spans="1:5">
      <c r="A65" s="224">
        <v>59</v>
      </c>
      <c r="B65" s="248"/>
      <c r="C65" s="231"/>
      <c r="D65" s="231">
        <f t="shared" si="1"/>
        <v>21.701309543353943</v>
      </c>
      <c r="E65" s="246">
        <f>'5K'!$E65*(1-$K$2)+'10K'!$E65*$K$2</f>
        <v>0.78797088101242718</v>
      </c>
    </row>
    <row r="66" spans="1:5">
      <c r="A66" s="224">
        <v>60</v>
      </c>
      <c r="B66" s="248"/>
      <c r="C66" s="231"/>
      <c r="D66" s="231">
        <f t="shared" si="1"/>
        <v>21.977726696360111</v>
      </c>
      <c r="E66" s="246">
        <f>'5K'!$E66*(1-$K$2)+'10K'!$E66*$K$2</f>
        <v>0.77806045348776021</v>
      </c>
    </row>
    <row r="67" spans="1:5">
      <c r="A67" s="224">
        <v>61</v>
      </c>
      <c r="B67" s="248"/>
      <c r="C67" s="231"/>
      <c r="D67" s="231">
        <f t="shared" si="1"/>
        <v>22.2612763418973</v>
      </c>
      <c r="E67" s="246">
        <f>'5K'!$E67*(1-$K$2)+'10K'!$E67*$K$2</f>
        <v>0.76815002596309312</v>
      </c>
    </row>
    <row r="68" spans="1:5">
      <c r="A68" s="224">
        <v>62</v>
      </c>
      <c r="B68" s="248"/>
      <c r="C68" s="231"/>
      <c r="D68" s="231">
        <f t="shared" si="1"/>
        <v>22.552238151656798</v>
      </c>
      <c r="E68" s="246">
        <f>'5K'!$E68*(1-$K$2)+'10K'!$E68*$K$2</f>
        <v>0.75823959843842603</v>
      </c>
    </row>
    <row r="69" spans="1:5">
      <c r="A69" s="224">
        <v>63</v>
      </c>
      <c r="B69" s="248"/>
      <c r="C69" s="231"/>
      <c r="D69" s="231">
        <f t="shared" si="1"/>
        <v>22.850906612553644</v>
      </c>
      <c r="E69" s="246">
        <f>'5K'!$E69*(1-$K$2)+'10K'!$E69*$K$2</f>
        <v>0.74832917091375906</v>
      </c>
    </row>
    <row r="70" spans="1:5">
      <c r="A70" s="224">
        <v>64</v>
      </c>
      <c r="B70" s="248"/>
      <c r="C70" s="231"/>
      <c r="D70" s="231">
        <f t="shared" si="1"/>
        <v>23.157592020913217</v>
      </c>
      <c r="E70" s="246">
        <f>'5K'!$E70*(1-$K$2)+'10K'!$E70*$K$2</f>
        <v>0.73841874338909197</v>
      </c>
    </row>
    <row r="71" spans="1:5">
      <c r="A71" s="224">
        <v>65</v>
      </c>
      <c r="B71" s="248"/>
      <c r="C71" s="231"/>
      <c r="D71" s="231">
        <f t="shared" si="1"/>
        <v>23.472621557805667</v>
      </c>
      <c r="E71" s="246">
        <f>'5K'!$E71*(1-$K$2)+'10K'!$E71*$K$2</f>
        <v>0.72850831586442499</v>
      </c>
    </row>
    <row r="72" spans="1:5">
      <c r="A72" s="224">
        <v>66</v>
      </c>
      <c r="B72" s="248"/>
      <c r="C72" s="231"/>
      <c r="D72" s="231">
        <f t="shared" si="1"/>
        <v>23.798781162301648</v>
      </c>
      <c r="E72" s="246">
        <f>'5K'!$E72*(1-$K$2)+'10K'!$E72*$K$2</f>
        <v>0.71852419178034121</v>
      </c>
    </row>
    <row r="73" spans="1:5">
      <c r="A73" s="224">
        <v>67</v>
      </c>
      <c r="B73" s="248"/>
      <c r="C73" s="231"/>
      <c r="D73" s="231">
        <f t="shared" si="1"/>
        <v>24.13162270134816</v>
      </c>
      <c r="E73" s="246">
        <f>'5K'!$E73*(1-$K$2)+'10K'!$E73*$K$2</f>
        <v>0.70861376425567424</v>
      </c>
    </row>
    <row r="74" spans="1:5">
      <c r="A74" s="224">
        <v>68</v>
      </c>
      <c r="B74" s="248"/>
      <c r="C74" s="231"/>
      <c r="D74" s="231">
        <f t="shared" ref="D74:D105" si="2">E$4/E74</f>
        <v>24.473906307654151</v>
      </c>
      <c r="E74" s="246">
        <f>'5K'!$E74*(1-$K$2)+'10K'!$E74*$K$2</f>
        <v>0.69870333673100726</v>
      </c>
    </row>
    <row r="75" spans="1:5">
      <c r="A75" s="224">
        <v>69</v>
      </c>
      <c r="B75" s="248"/>
      <c r="C75" s="231"/>
      <c r="D75" s="231">
        <f t="shared" si="2"/>
        <v>24.826039541701199</v>
      </c>
      <c r="E75" s="246">
        <f>'5K'!$E75*(1-$K$2)+'10K'!$E75*$K$2</f>
        <v>0.68879290920634006</v>
      </c>
    </row>
    <row r="76" spans="1:5">
      <c r="A76" s="224">
        <v>70</v>
      </c>
      <c r="B76" s="248"/>
      <c r="C76" s="231"/>
      <c r="D76" s="231">
        <f t="shared" si="2"/>
        <v>25.188453762485157</v>
      </c>
      <c r="E76" s="246">
        <f>'5K'!$E76*(1-$K$2)+'10K'!$E76*$K$2</f>
        <v>0.6788824816816732</v>
      </c>
    </row>
    <row r="77" spans="1:5">
      <c r="A77" s="224">
        <v>71</v>
      </c>
      <c r="B77" s="248"/>
      <c r="C77" s="231"/>
      <c r="D77" s="231">
        <f t="shared" si="2"/>
        <v>25.5616058903212</v>
      </c>
      <c r="E77" s="246">
        <f>'5K'!$E77*(1-$K$2)+'10K'!$E77*$K$2</f>
        <v>0.66897205415700611</v>
      </c>
    </row>
    <row r="78" spans="1:5">
      <c r="A78" s="224">
        <v>72</v>
      </c>
      <c r="B78" s="248"/>
      <c r="C78" s="231"/>
      <c r="D78" s="231">
        <f t="shared" si="2"/>
        <v>25.945980328694397</v>
      </c>
      <c r="E78" s="246">
        <f>'5K'!$E78*(1-$K$2)+'10K'!$E78*$K$2</f>
        <v>0.65906162663233914</v>
      </c>
    </row>
    <row r="79" spans="1:5">
      <c r="A79" s="224">
        <v>73</v>
      </c>
      <c r="B79" s="248"/>
      <c r="C79" s="231"/>
      <c r="D79" s="231">
        <f t="shared" si="2"/>
        <v>26.342091062152832</v>
      </c>
      <c r="E79" s="246">
        <f>'5K'!$E79*(1-$K$2)+'10K'!$E79*$K$2</f>
        <v>0.64915119910767205</v>
      </c>
    </row>
    <row r="80" spans="1:5">
      <c r="A80" s="224">
        <v>74</v>
      </c>
      <c r="B80" s="248"/>
      <c r="C80" s="231"/>
      <c r="D80" s="231">
        <f t="shared" si="2"/>
        <v>26.750483949347995</v>
      </c>
      <c r="E80" s="246">
        <f>'5K'!$E80*(1-$K$2)+'10K'!$E80*$K$2</f>
        <v>0.63924077158300496</v>
      </c>
    </row>
    <row r="81" spans="1:5">
      <c r="A81" s="224">
        <v>75</v>
      </c>
      <c r="B81" s="248"/>
      <c r="C81" s="231"/>
      <c r="D81" s="231">
        <f t="shared" si="2"/>
        <v>27.171739232734115</v>
      </c>
      <c r="E81" s="246">
        <f>'5K'!$E81*(1-$K$2)+'10K'!$E81*$K$2</f>
        <v>0.62933034405833799</v>
      </c>
    </row>
    <row r="82" spans="1:5">
      <c r="A82" s="224">
        <v>76</v>
      </c>
      <c r="B82" s="248"/>
      <c r="C82" s="231"/>
      <c r="D82" s="231">
        <f t="shared" si="2"/>
        <v>27.609759208203183</v>
      </c>
      <c r="E82" s="246">
        <f>'5K'!$E82*(1-$K$2)+'10K'!$E82*$K$2</f>
        <v>0.61934621997425432</v>
      </c>
    </row>
    <row r="83" spans="1:5">
      <c r="A83" s="224">
        <v>77</v>
      </c>
      <c r="B83" s="248"/>
      <c r="C83" s="231"/>
      <c r="D83" s="231">
        <f t="shared" si="2"/>
        <v>28.058739266474113</v>
      </c>
      <c r="E83" s="246">
        <f>'5K'!$E83*(1-$K$2)+'10K'!$E83*$K$2</f>
        <v>0.60943579244958723</v>
      </c>
    </row>
    <row r="84" spans="1:5">
      <c r="A84" s="224">
        <v>78</v>
      </c>
      <c r="B84" s="248"/>
      <c r="C84" s="231"/>
      <c r="D84" s="231">
        <f t="shared" si="2"/>
        <v>28.547872511599174</v>
      </c>
      <c r="E84" s="246">
        <f>'5K'!$E84*(1-$K$2)+'10K'!$E84*$K$2</f>
        <v>0.59899384772200337</v>
      </c>
    </row>
    <row r="85" spans="1:5">
      <c r="A85" s="224">
        <v>79</v>
      </c>
      <c r="B85" s="248"/>
      <c r="C85" s="231"/>
      <c r="D85" s="231">
        <f t="shared" si="2"/>
        <v>29.09521044001016</v>
      </c>
      <c r="E85" s="246">
        <f>'5K'!$E85*(1-$K$2)+'10K'!$E85*$K$2</f>
        <v>0.58772559955383608</v>
      </c>
    </row>
    <row r="86" spans="1:5">
      <c r="A86" s="224">
        <v>80</v>
      </c>
      <c r="B86" s="248"/>
      <c r="C86" s="231"/>
      <c r="D86" s="231">
        <f t="shared" si="2"/>
        <v>29.709243397636275</v>
      </c>
      <c r="E86" s="246">
        <f>'5K'!$E86*(1-$K$2)+'10K'!$E86*$K$2</f>
        <v>0.57557844106391853</v>
      </c>
    </row>
    <row r="87" spans="1:5">
      <c r="A87" s="224">
        <v>81</v>
      </c>
      <c r="B87" s="248"/>
      <c r="C87" s="231"/>
      <c r="D87" s="231">
        <f t="shared" si="2"/>
        <v>30.394327519708739</v>
      </c>
      <c r="E87" s="246">
        <f>'5K'!$E87*(1-$K$2)+'10K'!$E87*$K$2</f>
        <v>0.56260497913341778</v>
      </c>
    </row>
    <row r="88" spans="1:5">
      <c r="A88" s="224">
        <v>82</v>
      </c>
      <c r="B88" s="248"/>
      <c r="C88" s="231"/>
      <c r="D88" s="231">
        <f t="shared" si="2"/>
        <v>31.161583171673264</v>
      </c>
      <c r="E88" s="246">
        <f>'5K'!$E88*(1-$K$2)+'10K'!$E88*$K$2</f>
        <v>0.54875260688116678</v>
      </c>
    </row>
    <row r="89" spans="1:5">
      <c r="A89" s="224">
        <v>83</v>
      </c>
      <c r="B89" s="248"/>
      <c r="C89" s="231"/>
      <c r="D89" s="231">
        <f t="shared" si="2"/>
        <v>32.019616063301719</v>
      </c>
      <c r="E89" s="246">
        <f>'5K'!$E89*(1-$K$2)+'10K'!$E89*$K$2</f>
        <v>0.53404762774774905</v>
      </c>
    </row>
    <row r="90" spans="1:5">
      <c r="A90" s="224">
        <v>84</v>
      </c>
      <c r="B90" s="248"/>
      <c r="C90" s="231"/>
      <c r="D90" s="231">
        <f t="shared" si="2"/>
        <v>32.98205590291461</v>
      </c>
      <c r="E90" s="246">
        <f>'5K'!$E90*(1-$K$2)+'10K'!$E90*$K$2</f>
        <v>0.51846373829258119</v>
      </c>
    </row>
    <row r="91" spans="1:5">
      <c r="A91" s="224">
        <v>85</v>
      </c>
      <c r="B91" s="248"/>
      <c r="C91" s="231"/>
      <c r="D91" s="231">
        <f t="shared" si="2"/>
        <v>34.060112027460988</v>
      </c>
      <c r="E91" s="246">
        <f>'5K'!$E91*(1-$K$2)+'10K'!$E91*$K$2</f>
        <v>0.50205354539683</v>
      </c>
    </row>
    <row r="92" spans="1:5">
      <c r="A92" s="224">
        <v>86</v>
      </c>
      <c r="B92" s="248"/>
      <c r="C92" s="231"/>
      <c r="D92" s="231">
        <f t="shared" si="2"/>
        <v>35.280227969133939</v>
      </c>
      <c r="E92" s="246">
        <f>'5K'!$E92*(1-$K$2)+'10K'!$E92*$K$2</f>
        <v>0.48469074561991199</v>
      </c>
    </row>
    <row r="93" spans="1:5">
      <c r="A93" s="224">
        <v>87</v>
      </c>
      <c r="B93" s="248"/>
      <c r="C93" s="231"/>
      <c r="D93" s="231">
        <f t="shared" si="2"/>
        <v>36.652095917196192</v>
      </c>
      <c r="E93" s="246">
        <f>'5K'!$E93*(1-$K$2)+'10K'!$E93*$K$2</f>
        <v>0.46654903552124383</v>
      </c>
    </row>
    <row r="94" spans="1:5">
      <c r="A94" s="224">
        <v>88</v>
      </c>
      <c r="B94" s="248"/>
      <c r="C94" s="231"/>
      <c r="D94" s="231">
        <f t="shared" si="2"/>
        <v>38.207618625336565</v>
      </c>
      <c r="E94" s="246">
        <f>'5K'!$E94*(1-$K$2)+'10K'!$E94*$K$2</f>
        <v>0.44755471854140894</v>
      </c>
    </row>
    <row r="95" spans="1:5">
      <c r="A95" s="224">
        <v>89</v>
      </c>
      <c r="B95" s="248"/>
      <c r="C95" s="231"/>
      <c r="D95" s="231">
        <f t="shared" si="2"/>
        <v>39.983025569865305</v>
      </c>
      <c r="E95" s="246">
        <f>'5K'!$E95*(1-$K$2)+'10K'!$E95*$K$2</f>
        <v>0.42768149123982385</v>
      </c>
    </row>
    <row r="96" spans="1:5">
      <c r="A96" s="224">
        <v>90</v>
      </c>
      <c r="B96" s="248"/>
      <c r="C96" s="231"/>
      <c r="D96" s="231">
        <f t="shared" si="2"/>
        <v>42.016604320963538</v>
      </c>
      <c r="E96" s="246">
        <f>'5K'!$E96*(1-$K$2)+'10K'!$E96*$K$2</f>
        <v>0.40698196049765545</v>
      </c>
    </row>
    <row r="97" spans="1:5">
      <c r="A97" s="224">
        <v>91</v>
      </c>
      <c r="B97" s="248"/>
      <c r="C97" s="231"/>
      <c r="D97" s="231">
        <f t="shared" si="2"/>
        <v>44.369081074102731</v>
      </c>
      <c r="E97" s="246">
        <f>'5K'!$E97*(1-$K$2)+'10K'!$E97*$K$2</f>
        <v>0.38540351943373691</v>
      </c>
    </row>
    <row r="98" spans="1:5">
      <c r="A98" s="224">
        <v>92</v>
      </c>
      <c r="B98" s="248"/>
      <c r="C98" s="231"/>
      <c r="D98" s="231">
        <f t="shared" si="2"/>
        <v>47.111010732764719</v>
      </c>
      <c r="E98" s="246">
        <f>'5K'!$E98*(1-$K$2)+'10K'!$E98*$K$2</f>
        <v>0.36297247148865158</v>
      </c>
    </row>
    <row r="99" spans="1:5">
      <c r="A99" s="224">
        <v>93</v>
      </c>
      <c r="B99" s="248"/>
      <c r="C99" s="231"/>
      <c r="D99" s="231">
        <f t="shared" si="2"/>
        <v>50.340191260976589</v>
      </c>
      <c r="E99" s="246">
        <f>'5K'!$E99*(1-$K$2)+'10K'!$E99*$K$2</f>
        <v>0.33968881666239947</v>
      </c>
    </row>
    <row r="100" spans="1:5">
      <c r="A100" s="224">
        <v>94</v>
      </c>
      <c r="C100" s="231"/>
      <c r="D100" s="231">
        <f t="shared" si="2"/>
        <v>54.190656141065396</v>
      </c>
      <c r="E100" s="246">
        <f>'5K'!$E100*(1-$K$2)+'10K'!$E100*$K$2</f>
        <v>0.31555255495498069</v>
      </c>
    </row>
    <row r="101" spans="1:5">
      <c r="A101" s="224">
        <v>95</v>
      </c>
      <c r="B101" s="248"/>
      <c r="C101" s="231"/>
      <c r="D101" s="231">
        <f t="shared" si="2"/>
        <v>58.856453609504911</v>
      </c>
      <c r="E101" s="246">
        <f>'5K'!$E101*(1-$K$2)+'10K'!$E101*$K$2</f>
        <v>0.29053738292581172</v>
      </c>
    </row>
    <row r="102" spans="1:5">
      <c r="A102" s="224">
        <v>96</v>
      </c>
      <c r="C102" s="231"/>
      <c r="D102" s="231">
        <f t="shared" si="2"/>
        <v>64.626849917698536</v>
      </c>
      <c r="E102" s="246">
        <f>'5K'!$E102*(1-$K$2)+'10K'!$E102*$K$2</f>
        <v>0.26459590745605938</v>
      </c>
    </row>
    <row r="103" spans="1:5">
      <c r="A103" s="224">
        <v>97</v>
      </c>
      <c r="C103" s="231"/>
      <c r="D103" s="231">
        <f t="shared" si="2"/>
        <v>71.886337359729595</v>
      </c>
      <c r="E103" s="246">
        <f>'5K'!$E103*(1-$K$2)+'10K'!$E103*$K$2</f>
        <v>0.23787552166455686</v>
      </c>
    </row>
    <row r="104" spans="1:5">
      <c r="A104" s="224">
        <v>98</v>
      </c>
      <c r="C104" s="231"/>
      <c r="D104" s="231">
        <f t="shared" si="2"/>
        <v>81.311433019712425</v>
      </c>
      <c r="E104" s="246">
        <f>'5K'!$E104*(1-$K$2)+'10K'!$E104*$K$2</f>
        <v>0.21030252899188764</v>
      </c>
    </row>
    <row r="105" spans="1:5">
      <c r="A105" s="224">
        <v>99</v>
      </c>
      <c r="C105" s="231"/>
      <c r="D105" s="231">
        <f t="shared" si="2"/>
        <v>94.019621140703094</v>
      </c>
      <c r="E105" s="246">
        <f>'5K'!$E105*(1-$K$2)+'10K'!$E105*$K$2</f>
        <v>0.18187692943805162</v>
      </c>
    </row>
    <row r="106" spans="1:5">
      <c r="A106" s="224">
        <v>100</v>
      </c>
      <c r="D106" s="231">
        <f>E$4/E106</f>
        <v>112.07792371018276</v>
      </c>
      <c r="E106" s="246">
        <f>'5K'!$E106*(1-$K$2)+'10K'!$E106*$K$2</f>
        <v>0.15257241956246548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E10" sqref="E10"/>
    </sheetView>
  </sheetViews>
  <sheetFormatPr defaultColWidth="9.6640625" defaultRowHeight="15"/>
  <cols>
    <col min="1" max="5" width="9.6640625" style="224"/>
    <col min="6" max="6" width="11.21875" style="224" customWidth="1"/>
    <col min="7" max="7" width="11.5546875" style="224" customWidth="1"/>
    <col min="8" max="16384" width="9.6640625" style="224"/>
  </cols>
  <sheetData>
    <row r="1" spans="1:11" ht="47.25">
      <c r="A1" s="220" t="s">
        <v>79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K1" s="221" t="s">
        <v>2126</v>
      </c>
    </row>
    <row r="2" spans="1:11" ht="18" customHeight="1">
      <c r="A2" s="220"/>
      <c r="B2" s="221"/>
      <c r="C2" s="222"/>
      <c r="D2" s="223"/>
      <c r="E2" s="223"/>
      <c r="F2" s="330">
        <f>(+H$3-H$4)*F$4/2</f>
        <v>4.725E-2</v>
      </c>
      <c r="G2" s="331">
        <f>(+I$4-I$3)*G$4/2</f>
        <v>0.17219999999999999</v>
      </c>
      <c r="H2" s="225"/>
      <c r="I2" s="225"/>
      <c r="K2" s="221">
        <f>Parameters!Z15</f>
        <v>0.36454464264023895</v>
      </c>
    </row>
    <row r="3" spans="1:11" ht="14.25" customHeight="1">
      <c r="A3" s="220"/>
      <c r="B3" s="221"/>
      <c r="C3" s="222"/>
      <c r="D3" s="223"/>
      <c r="E3" s="223"/>
      <c r="F3" s="330">
        <f>F4/(2*(+H3-H4))</f>
        <v>1.89E-3</v>
      </c>
      <c r="G3" s="331">
        <f>G4/(2*(+I4-I3))</f>
        <v>1.6006097560975613E-4</v>
      </c>
      <c r="H3" s="226">
        <v>22</v>
      </c>
      <c r="I3" s="227">
        <v>24</v>
      </c>
    </row>
    <row r="4" spans="1:11" ht="15.75">
      <c r="A4" s="221"/>
      <c r="B4" s="221"/>
      <c r="C4" s="221"/>
      <c r="D4" s="228">
        <f>Parameters!G15</f>
        <v>1.2766203703703703E-2</v>
      </c>
      <c r="E4" s="229">
        <f>D4*1440</f>
        <v>18.383333333333333</v>
      </c>
      <c r="F4" s="230">
        <v>1.89E-2</v>
      </c>
      <c r="G4" s="219">
        <v>1.0500000000000001E-2</v>
      </c>
      <c r="H4" s="226">
        <v>17</v>
      </c>
      <c r="I4" s="227">
        <v>56.8</v>
      </c>
    </row>
    <row r="5" spans="1:11" ht="15.75">
      <c r="A5" s="221"/>
      <c r="B5" s="221"/>
      <c r="C5" s="221"/>
      <c r="D5" s="228"/>
      <c r="E5" s="221">
        <f>E4*60</f>
        <v>1103</v>
      </c>
      <c r="F5" s="230">
        <v>9.1E-4</v>
      </c>
      <c r="G5" s="219">
        <v>5.1000000000000004E-4</v>
      </c>
      <c r="H5" s="226">
        <v>15</v>
      </c>
      <c r="I5" s="227">
        <v>76.7</v>
      </c>
    </row>
    <row r="6" spans="1:11" ht="47.25">
      <c r="A6" s="232" t="s">
        <v>70</v>
      </c>
      <c r="B6" s="232" t="s">
        <v>32</v>
      </c>
      <c r="C6" s="232" t="s">
        <v>71</v>
      </c>
      <c r="D6" s="232" t="s">
        <v>2300</v>
      </c>
      <c r="E6" s="232" t="s">
        <v>2299</v>
      </c>
      <c r="G6" s="332"/>
    </row>
    <row r="7" spans="1:11">
      <c r="A7" s="224">
        <v>1</v>
      </c>
    </row>
    <row r="8" spans="1:11">
      <c r="A8" s="224">
        <v>2</v>
      </c>
    </row>
    <row r="9" spans="1:11">
      <c r="A9" s="224">
        <v>3</v>
      </c>
      <c r="B9" s="245"/>
      <c r="C9" s="231"/>
      <c r="D9" s="231"/>
      <c r="E9" s="246">
        <f>'5K'!$E9*(1-$K$2)+'10K'!$E9*$K$2</f>
        <v>0.61905689734257663</v>
      </c>
      <c r="G9" s="333"/>
    </row>
    <row r="10" spans="1:11">
      <c r="A10" s="224">
        <v>4</v>
      </c>
      <c r="B10" s="248"/>
      <c r="C10" s="231"/>
      <c r="D10" s="231">
        <f t="shared" ref="D10:D41" si="0">E$4/E10</f>
        <v>28.137966033412919</v>
      </c>
      <c r="E10" s="246">
        <f>'5K'!$E10*(1-$K$2)+'10K'!$E10*$K$2</f>
        <v>0.65332843573354671</v>
      </c>
      <c r="G10" s="333"/>
    </row>
    <row r="11" spans="1:11">
      <c r="A11" s="224">
        <v>5</v>
      </c>
      <c r="B11" s="248"/>
      <c r="C11" s="231"/>
      <c r="D11" s="231">
        <f t="shared" si="0"/>
        <v>26.796804770496131</v>
      </c>
      <c r="E11" s="246">
        <f>'5K'!$E11*(1-$K$2)+'10K'!$E11*$K$2</f>
        <v>0.68602706519598877</v>
      </c>
      <c r="G11" s="333"/>
    </row>
    <row r="12" spans="1:11">
      <c r="A12" s="224">
        <v>6</v>
      </c>
      <c r="B12" s="248"/>
      <c r="C12" s="231"/>
      <c r="D12" s="231">
        <f t="shared" si="0"/>
        <v>25.63768491650788</v>
      </c>
      <c r="E12" s="246">
        <f>'5K'!$E12*(1-$K$2)+'10K'!$E12*$K$2</f>
        <v>0.71704342233711071</v>
      </c>
      <c r="G12" s="333"/>
    </row>
    <row r="13" spans="1:11">
      <c r="A13" s="224">
        <v>7</v>
      </c>
      <c r="B13" s="248"/>
      <c r="C13" s="231"/>
      <c r="D13" s="231">
        <f t="shared" si="0"/>
        <v>24.626465727114603</v>
      </c>
      <c r="E13" s="246">
        <f>'5K'!$E13*(1-$K$2)+'10K'!$E13*$K$2</f>
        <v>0.74648687054970453</v>
      </c>
      <c r="F13" s="1"/>
      <c r="G13" s="333"/>
    </row>
    <row r="14" spans="1:11">
      <c r="A14" s="224">
        <v>8</v>
      </c>
      <c r="B14" s="248"/>
      <c r="C14" s="231"/>
      <c r="D14" s="231">
        <f t="shared" si="0"/>
        <v>23.741231857222303</v>
      </c>
      <c r="E14" s="246">
        <f>'5K'!$E14*(1-$K$2)+'10K'!$E14*$K$2</f>
        <v>0.77432095536950629</v>
      </c>
      <c r="G14" s="333"/>
    </row>
    <row r="15" spans="1:11">
      <c r="A15" s="224">
        <v>9</v>
      </c>
      <c r="B15" s="248"/>
      <c r="C15" s="231"/>
      <c r="D15" s="231">
        <f t="shared" si="0"/>
        <v>22.962726276950615</v>
      </c>
      <c r="E15" s="246">
        <f>'5K'!$E15*(1-$K$2)+'10K'!$E15*$K$2</f>
        <v>0.80057276786798803</v>
      </c>
      <c r="G15" s="333"/>
    </row>
    <row r="16" spans="1:11">
      <c r="A16" s="224">
        <v>10</v>
      </c>
      <c r="B16" s="248"/>
      <c r="C16" s="231"/>
      <c r="D16" s="231">
        <f t="shared" si="0"/>
        <v>22.277016898392603</v>
      </c>
      <c r="E16" s="246">
        <f>'5K'!$E16*(1-$K$2)+'10K'!$E16*$K$2</f>
        <v>0.8252152169736775</v>
      </c>
      <c r="G16" s="333"/>
    </row>
    <row r="17" spans="1:7">
      <c r="A17" s="224">
        <v>11</v>
      </c>
      <c r="B17" s="248"/>
      <c r="C17" s="231"/>
      <c r="D17" s="231">
        <f t="shared" si="0"/>
        <v>21.672113312941001</v>
      </c>
      <c r="E17" s="246">
        <f>'5K'!$E17*(1-$K$2)+'10K'!$E17*$K$2</f>
        <v>0.84824830268657514</v>
      </c>
      <c r="G17" s="333"/>
    </row>
    <row r="18" spans="1:7">
      <c r="A18" s="224">
        <v>12</v>
      </c>
      <c r="B18" s="248"/>
      <c r="C18" s="231"/>
      <c r="D18" s="231">
        <f t="shared" si="0"/>
        <v>21.138236949949167</v>
      </c>
      <c r="E18" s="246">
        <f>'5K'!$E18*(1-$K$2)+'10K'!$E18*$K$2</f>
        <v>0.86967202500668062</v>
      </c>
      <c r="G18" s="333"/>
    </row>
    <row r="19" spans="1:7">
      <c r="A19" s="224">
        <v>13</v>
      </c>
      <c r="B19" s="248"/>
      <c r="C19" s="231"/>
      <c r="D19" s="231">
        <f t="shared" si="0"/>
        <v>20.666728329461638</v>
      </c>
      <c r="E19" s="246">
        <f>'5K'!$E19*(1-$K$2)+'10K'!$E19*$K$2</f>
        <v>0.88951347500546607</v>
      </c>
      <c r="G19" s="333"/>
    </row>
    <row r="20" spans="1:7">
      <c r="A20" s="224">
        <v>14</v>
      </c>
      <c r="B20" s="248"/>
      <c r="C20" s="231"/>
      <c r="D20" s="231">
        <f t="shared" si="0"/>
        <v>20.251636703900427</v>
      </c>
      <c r="E20" s="246">
        <f>'5K'!$E20*(1-$K$2)+'10K'!$E20*$K$2</f>
        <v>0.90774556161145914</v>
      </c>
      <c r="G20" s="333"/>
    </row>
    <row r="21" spans="1:7">
      <c r="A21" s="224">
        <v>15</v>
      </c>
      <c r="B21" s="248"/>
      <c r="C21" s="231"/>
      <c r="D21" s="231">
        <f t="shared" si="0"/>
        <v>19.886671445966687</v>
      </c>
      <c r="E21" s="246">
        <f>'5K'!$E21*(1-$K$2)+'10K'!$E21*$K$2</f>
        <v>0.92440473928892442</v>
      </c>
      <c r="G21" s="333"/>
    </row>
    <row r="22" spans="1:7">
      <c r="A22" s="224">
        <v>16</v>
      </c>
      <c r="B22" s="248"/>
      <c r="C22" s="231"/>
      <c r="D22" s="231">
        <f t="shared" si="0"/>
        <v>19.552764466125414</v>
      </c>
      <c r="E22" s="246">
        <f>'5K'!$E22*(1-$K$2)+'10K'!$E22*$K$2</f>
        <v>0.94019100803786149</v>
      </c>
      <c r="G22" s="333"/>
    </row>
    <row r="23" spans="1:7">
      <c r="A23" s="224">
        <v>17</v>
      </c>
      <c r="B23" s="248"/>
      <c r="C23" s="231"/>
      <c r="D23" s="231">
        <f t="shared" si="0"/>
        <v>19.228607088841901</v>
      </c>
      <c r="E23" s="246">
        <f>'5K'!$E23*(1-$K$2)+'10K'!$E23*$K$2</f>
        <v>0.95604082232253473</v>
      </c>
      <c r="G23" s="333"/>
    </row>
    <row r="24" spans="1:7">
      <c r="A24" s="224">
        <v>18</v>
      </c>
      <c r="B24" s="248"/>
      <c r="C24" s="231"/>
      <c r="D24" s="231">
        <f t="shared" si="0"/>
        <v>18.929750885692265</v>
      </c>
      <c r="E24" s="246">
        <f>'5K'!$E24*(1-$K$2)+'10K'!$E24*$K$2</f>
        <v>0.97113445625045536</v>
      </c>
      <c r="G24" s="333"/>
    </row>
    <row r="25" spans="1:7">
      <c r="A25" s="224">
        <v>19</v>
      </c>
      <c r="B25" s="248"/>
      <c r="C25" s="231"/>
      <c r="D25" s="231">
        <f t="shared" si="0"/>
        <v>18.686758710287247</v>
      </c>
      <c r="E25" s="246">
        <f>'5K'!$E25*(1-$K$2)+'10K'!$E25*$K$2</f>
        <v>0.98376254642883165</v>
      </c>
      <c r="G25" s="333"/>
    </row>
    <row r="26" spans="1:7">
      <c r="A26" s="224">
        <v>20</v>
      </c>
      <c r="B26" s="248"/>
      <c r="C26" s="231"/>
      <c r="D26" s="231">
        <f t="shared" si="0"/>
        <v>18.517002515379836</v>
      </c>
      <c r="E26" s="246">
        <f>'5K'!$E26*(1-$K$2)+'10K'!$E26*$K$2</f>
        <v>0.99278127321441578</v>
      </c>
    </row>
    <row r="27" spans="1:7">
      <c r="A27" s="224">
        <v>21</v>
      </c>
      <c r="B27" s="248"/>
      <c r="C27" s="231"/>
      <c r="D27" s="231">
        <f t="shared" si="0"/>
        <v>18.417155600955756</v>
      </c>
      <c r="E27" s="246">
        <f>'5K'!$E27*(1-$K$2)+'10K'!$E27*$K$2</f>
        <v>0.99816354553573583</v>
      </c>
    </row>
    <row r="28" spans="1:7">
      <c r="A28" s="224">
        <v>22</v>
      </c>
      <c r="B28" s="248"/>
      <c r="C28" s="231"/>
      <c r="D28" s="231">
        <f t="shared" si="0"/>
        <v>18.383333333333333</v>
      </c>
      <c r="E28" s="246">
        <f>'5K'!$E28*(1-$K$2)+'10K'!$E28*$K$2</f>
        <v>1</v>
      </c>
    </row>
    <row r="29" spans="1:7">
      <c r="A29" s="224">
        <v>23</v>
      </c>
      <c r="B29" s="248"/>
      <c r="C29" s="231"/>
      <c r="D29" s="231">
        <f t="shared" si="0"/>
        <v>18.383333333333333</v>
      </c>
      <c r="E29" s="246">
        <f>'5K'!$E29*(1-$K$2)+'10K'!$E29*$K$2</f>
        <v>1</v>
      </c>
    </row>
    <row r="30" spans="1:7">
      <c r="A30" s="224">
        <v>24</v>
      </c>
      <c r="B30" s="248"/>
      <c r="C30" s="231"/>
      <c r="D30" s="231">
        <f t="shared" si="0"/>
        <v>18.383333333333333</v>
      </c>
      <c r="E30" s="246">
        <f>'5K'!$E30*(1-$K$2)+'10K'!$E30*$K$2</f>
        <v>1</v>
      </c>
    </row>
    <row r="31" spans="1:7">
      <c r="A31" s="224">
        <v>25</v>
      </c>
      <c r="B31" s="248"/>
      <c r="C31" s="231"/>
      <c r="D31" s="231">
        <f t="shared" si="0"/>
        <v>18.383333333333333</v>
      </c>
      <c r="E31" s="246">
        <f>'5K'!$E31*(1-$K$2)+'10K'!$E31*$K$2</f>
        <v>1</v>
      </c>
    </row>
    <row r="32" spans="1:7">
      <c r="A32" s="224">
        <v>26</v>
      </c>
      <c r="B32" s="248"/>
      <c r="C32" s="231"/>
      <c r="D32" s="231">
        <f t="shared" si="0"/>
        <v>18.383333333333333</v>
      </c>
      <c r="E32" s="246">
        <f>'5K'!$E32*(1-$K$2)+'10K'!$E32*$K$2</f>
        <v>1</v>
      </c>
    </row>
    <row r="33" spans="1:7">
      <c r="A33" s="224">
        <v>27</v>
      </c>
      <c r="B33" s="248"/>
      <c r="C33" s="231"/>
      <c r="D33" s="231">
        <f t="shared" si="0"/>
        <v>18.392720288035751</v>
      </c>
      <c r="E33" s="246">
        <f>'5K'!$E33*(1-$K$2)+'10K'!$E33*$K$2</f>
        <v>0.99948963750030362</v>
      </c>
      <c r="G33" s="333"/>
    </row>
    <row r="34" spans="1:7">
      <c r="A34" s="224">
        <v>28</v>
      </c>
      <c r="B34" s="248"/>
      <c r="C34" s="231"/>
      <c r="D34" s="231">
        <f t="shared" si="0"/>
        <v>18.400773882535546</v>
      </c>
      <c r="E34" s="246">
        <f>'5K'!$E34*(1-$K$2)+'10K'!$E34*$K$2</f>
        <v>0.99905218392913531</v>
      </c>
    </row>
    <row r="35" spans="1:7">
      <c r="A35" s="224">
        <v>29</v>
      </c>
      <c r="B35" s="248"/>
      <c r="C35" s="231"/>
      <c r="D35" s="231">
        <f t="shared" si="0"/>
        <v>18.410178661337493</v>
      </c>
      <c r="E35" s="246">
        <f>'5K'!$E35*(1-$K$2)+'10K'!$E35*$K$2</f>
        <v>0.99854182142943904</v>
      </c>
    </row>
    <row r="36" spans="1:7">
      <c r="A36" s="224">
        <v>30</v>
      </c>
      <c r="B36" s="248"/>
      <c r="C36" s="231"/>
      <c r="D36" s="231">
        <f t="shared" si="0"/>
        <v>18.422284655355892</v>
      </c>
      <c r="E36" s="246">
        <f>'5K'!$E36*(1-$K$2)+'10K'!$E36*$K$2</f>
        <v>0.99788564107268662</v>
      </c>
    </row>
    <row r="37" spans="1:7">
      <c r="A37" s="224">
        <v>31</v>
      </c>
      <c r="B37" s="248"/>
      <c r="C37" s="231"/>
      <c r="D37" s="231">
        <f t="shared" si="0"/>
        <v>18.439279671873845</v>
      </c>
      <c r="E37" s="246">
        <f>'5K'!$E37*(1-$K$2)+'10K'!$E37*$K$2</f>
        <v>0.99696591518019817</v>
      </c>
    </row>
    <row r="38" spans="1:7">
      <c r="A38" s="224">
        <v>32</v>
      </c>
      <c r="B38" s="248"/>
      <c r="C38" s="231"/>
      <c r="D38" s="231">
        <f t="shared" si="0"/>
        <v>18.468435753332038</v>
      </c>
      <c r="E38" s="246">
        <f>'5K'!$E38*(1-$K$2)+'10K'!$E38*$K$2</f>
        <v>0.99539200714476583</v>
      </c>
    </row>
    <row r="39" spans="1:7">
      <c r="A39" s="224">
        <v>33</v>
      </c>
      <c r="B39" s="248"/>
      <c r="C39" s="231"/>
      <c r="D39" s="231">
        <f t="shared" si="0"/>
        <v>18.508684090371688</v>
      </c>
      <c r="E39" s="246">
        <f>'5K'!$E39*(1-$K$2)+'10K'!$E39*$K$2</f>
        <v>0.99322746250212557</v>
      </c>
    </row>
    <row r="40" spans="1:7">
      <c r="A40" s="224">
        <v>34</v>
      </c>
      <c r="B40" s="248"/>
      <c r="C40" s="231"/>
      <c r="D40" s="231">
        <f t="shared" si="0"/>
        <v>18.558803288901743</v>
      </c>
      <c r="E40" s="246">
        <f>'5K'!$E40*(1-$K$2)+'10K'!$E40*$K$2</f>
        <v>0.99054519018080533</v>
      </c>
    </row>
    <row r="41" spans="1:7">
      <c r="A41" s="224">
        <v>35</v>
      </c>
      <c r="B41" s="248"/>
      <c r="C41" s="231"/>
      <c r="D41" s="231">
        <f t="shared" si="0"/>
        <v>18.621526196271184</v>
      </c>
      <c r="E41" s="246">
        <f>'5K'!$E41*(1-$K$2)+'10K'!$E41*$K$2</f>
        <v>0.98720873571654155</v>
      </c>
    </row>
    <row r="42" spans="1:7">
      <c r="A42" s="224">
        <v>36</v>
      </c>
      <c r="B42" s="248"/>
      <c r="C42" s="231"/>
      <c r="D42" s="231">
        <f t="shared" ref="D42:D73" si="1">E$4/E42</f>
        <v>18.695719968005122</v>
      </c>
      <c r="E42" s="246">
        <f>'5K'!$E42*(1-$K$2)+'10K'!$E42*$K$2</f>
        <v>0.98329100803786162</v>
      </c>
    </row>
    <row r="43" spans="1:7">
      <c r="A43" s="224">
        <v>37</v>
      </c>
      <c r="B43" s="248"/>
      <c r="C43" s="231"/>
      <c r="D43" s="231">
        <f t="shared" si="1"/>
        <v>18.782533750360702</v>
      </c>
      <c r="E43" s="246">
        <f>'5K'!$E43*(1-$K$2)+'10K'!$E43*$K$2</f>
        <v>0.97874618928770973</v>
      </c>
    </row>
    <row r="44" spans="1:7">
      <c r="A44" s="224">
        <v>38</v>
      </c>
      <c r="B44" s="248"/>
      <c r="C44" s="231"/>
      <c r="D44" s="231">
        <f t="shared" si="1"/>
        <v>18.88142344624584</v>
      </c>
      <c r="E44" s="246">
        <f>'5K'!$E44*(1-$K$2)+'10K'!$E44*$K$2</f>
        <v>0.97362009732314214</v>
      </c>
    </row>
    <row r="45" spans="1:7">
      <c r="A45" s="224">
        <v>39</v>
      </c>
      <c r="B45" s="248"/>
      <c r="C45" s="231"/>
      <c r="D45" s="231">
        <f t="shared" si="1"/>
        <v>18.992227504661756</v>
      </c>
      <c r="E45" s="246">
        <f>'5K'!$E45*(1-$K$2)+'10K'!$E45*$K$2</f>
        <v>0.96793982321563043</v>
      </c>
    </row>
    <row r="46" spans="1:7">
      <c r="A46" s="224">
        <v>40</v>
      </c>
      <c r="B46" s="248"/>
      <c r="C46" s="231"/>
      <c r="D46" s="231">
        <f t="shared" si="1"/>
        <v>19.117336450971674</v>
      </c>
      <c r="E46" s="246">
        <f>'5K'!$E46*(1-$K$2)+'10K'!$E46*$K$2</f>
        <v>0.96160536696517496</v>
      </c>
    </row>
    <row r="47" spans="1:7">
      <c r="A47" s="224">
        <v>41</v>
      </c>
      <c r="B47" s="248"/>
      <c r="C47" s="231"/>
      <c r="D47" s="231">
        <f t="shared" si="1"/>
        <v>19.255275186006418</v>
      </c>
      <c r="E47" s="246">
        <f>'5K'!$E47*(1-$K$2)+'10K'!$E47*$K$2</f>
        <v>0.95471672857177547</v>
      </c>
    </row>
    <row r="48" spans="1:7">
      <c r="A48" s="224">
        <v>42</v>
      </c>
      <c r="B48" s="248"/>
      <c r="C48" s="231"/>
      <c r="D48" s="231">
        <f t="shared" si="1"/>
        <v>19.407867630184658</v>
      </c>
      <c r="E48" s="246">
        <f>'5K'!$E48*(1-$K$2)+'10K'!$E48*$K$2</f>
        <v>0.94721036249969637</v>
      </c>
    </row>
    <row r="49" spans="1:5">
      <c r="A49" s="224">
        <v>43</v>
      </c>
      <c r="B49" s="248"/>
      <c r="C49" s="231"/>
      <c r="D49" s="231">
        <f t="shared" si="1"/>
        <v>19.574441749036026</v>
      </c>
      <c r="E49" s="246">
        <f>'5K'!$E49*(1-$K$2)+'10K'!$E49*$K$2</f>
        <v>0.93914981428467303</v>
      </c>
    </row>
    <row r="50" spans="1:5">
      <c r="A50" s="224">
        <v>44</v>
      </c>
      <c r="B50" s="248"/>
      <c r="C50" s="231"/>
      <c r="D50" s="231">
        <f t="shared" si="1"/>
        <v>19.751612024633499</v>
      </c>
      <c r="E50" s="246">
        <f>'5K'!$E50*(1-$K$2)+'10K'!$E50*$K$2</f>
        <v>0.930725720533914</v>
      </c>
    </row>
    <row r="51" spans="1:5">
      <c r="A51" s="224">
        <v>45</v>
      </c>
      <c r="B51" s="248"/>
      <c r="C51" s="231"/>
      <c r="D51" s="231">
        <f t="shared" si="1"/>
        <v>19.935170559454306</v>
      </c>
      <c r="E51" s="246">
        <f>'5K'!$E51*(1-$K$2)+'10K'!$E51*$K$2</f>
        <v>0.92215580892609861</v>
      </c>
    </row>
    <row r="52" spans="1:5">
      <c r="A52" s="224">
        <v>46</v>
      </c>
      <c r="B52" s="248"/>
      <c r="C52" s="231"/>
      <c r="D52" s="231">
        <f t="shared" si="1"/>
        <v>20.125981967632281</v>
      </c>
      <c r="E52" s="246">
        <f>'5K'!$E52*(1-$K$2)+'10K'!$E52*$K$2</f>
        <v>0.91341298838975549</v>
      </c>
    </row>
    <row r="53" spans="1:5">
      <c r="A53" s="224">
        <v>47</v>
      </c>
      <c r="B53" s="248"/>
      <c r="C53" s="231"/>
      <c r="D53" s="231">
        <f t="shared" si="1"/>
        <v>20.321510617536866</v>
      </c>
      <c r="E53" s="246">
        <f>'5K'!$E53*(1-$K$2)+'10K'!$E53*$K$2</f>
        <v>0.90462434999635599</v>
      </c>
    </row>
    <row r="54" spans="1:5">
      <c r="A54" s="224">
        <v>48</v>
      </c>
      <c r="B54" s="248"/>
      <c r="C54" s="231"/>
      <c r="D54" s="231">
        <f t="shared" si="1"/>
        <v>20.523381242571247</v>
      </c>
      <c r="E54" s="246">
        <f>'5K'!$E54*(1-$K$2)+'10K'!$E54*$K$2</f>
        <v>0.8957263482101645</v>
      </c>
    </row>
    <row r="55" spans="1:5">
      <c r="A55" s="224">
        <v>49</v>
      </c>
      <c r="B55" s="248"/>
      <c r="C55" s="231"/>
      <c r="D55" s="231">
        <f t="shared" si="1"/>
        <v>20.731859456184544</v>
      </c>
      <c r="E55" s="246">
        <f>'5K'!$E55*(1-$K$2)+'10K'!$E55*$K$2</f>
        <v>0.88671898303118102</v>
      </c>
    </row>
    <row r="56" spans="1:5">
      <c r="A56" s="224">
        <v>50</v>
      </c>
      <c r="B56" s="248"/>
      <c r="C56" s="231"/>
      <c r="D56" s="231">
        <f t="shared" si="1"/>
        <v>20.94809680759564</v>
      </c>
      <c r="E56" s="246">
        <f>'5K'!$E56*(1-$K$2)+'10K'!$E56*$K$2</f>
        <v>0.87756579999514128</v>
      </c>
    </row>
    <row r="57" spans="1:5">
      <c r="A57" s="224">
        <v>51</v>
      </c>
      <c r="B57" s="248"/>
      <c r="C57" s="231"/>
      <c r="D57" s="231">
        <f t="shared" si="1"/>
        <v>21.17155873576311</v>
      </c>
      <c r="E57" s="246">
        <f>'5K'!$E57*(1-$K$2)+'10K'!$E57*$K$2</f>
        <v>0.86830325356630955</v>
      </c>
    </row>
    <row r="58" spans="1:5">
      <c r="A58" s="224">
        <v>52</v>
      </c>
      <c r="B58" s="248"/>
      <c r="C58" s="231"/>
      <c r="D58" s="231">
        <f t="shared" si="1"/>
        <v>21.402564322763514</v>
      </c>
      <c r="E58" s="246">
        <f>'5K'!$E58*(1-$K$2)+'10K'!$E58*$K$2</f>
        <v>0.85893134374468572</v>
      </c>
    </row>
    <row r="59" spans="1:5">
      <c r="A59" s="224">
        <v>53</v>
      </c>
      <c r="B59" s="248"/>
      <c r="C59" s="231"/>
      <c r="D59" s="231">
        <f t="shared" si="1"/>
        <v>21.641452477433457</v>
      </c>
      <c r="E59" s="246">
        <f>'5K'!$E59*(1-$K$2)+'10K'!$E59*$K$2</f>
        <v>0.84945007053026989</v>
      </c>
    </row>
    <row r="60" spans="1:5">
      <c r="A60" s="224">
        <v>54</v>
      </c>
      <c r="B60" s="248"/>
      <c r="C60" s="231"/>
      <c r="D60" s="231">
        <f t="shared" si="1"/>
        <v>21.889533607641923</v>
      </c>
      <c r="E60" s="246">
        <f>'5K'!$E60*(1-$K$2)+'10K'!$E60*$K$2</f>
        <v>0.83982297945879802</v>
      </c>
    </row>
    <row r="61" spans="1:5">
      <c r="A61" s="224">
        <v>55</v>
      </c>
      <c r="B61" s="248"/>
      <c r="C61" s="231"/>
      <c r="D61" s="231">
        <f t="shared" si="1"/>
        <v>22.145313150249642</v>
      </c>
      <c r="E61" s="246">
        <f>'5K'!$E61*(1-$K$2)+'10K'!$E61*$K$2</f>
        <v>0.83012297945879798</v>
      </c>
    </row>
    <row r="62" spans="1:5">
      <c r="A62" s="224">
        <v>56</v>
      </c>
      <c r="B62" s="248"/>
      <c r="C62" s="231"/>
      <c r="D62" s="231">
        <f t="shared" si="1"/>
        <v>22.412860471038496</v>
      </c>
      <c r="E62" s="246">
        <f>'5K'!$E62*(1-$K$2)+'10K'!$E62*$K$2</f>
        <v>0.82021361606600607</v>
      </c>
    </row>
    <row r="63" spans="1:5">
      <c r="A63" s="224">
        <v>57</v>
      </c>
      <c r="B63" s="248"/>
      <c r="C63" s="231"/>
      <c r="D63" s="231">
        <f t="shared" si="1"/>
        <v>22.688234448931578</v>
      </c>
      <c r="E63" s="246">
        <f>'5K'!$E63*(1-$K$2)+'10K'!$E63*$K$2</f>
        <v>0.81025843481615778</v>
      </c>
    </row>
    <row r="64" spans="1:5">
      <c r="A64" s="224">
        <v>58</v>
      </c>
      <c r="B64" s="248"/>
      <c r="C64" s="231"/>
      <c r="D64" s="231">
        <f t="shared" si="1"/>
        <v>22.971505695301488</v>
      </c>
      <c r="E64" s="246">
        <f>'5K'!$E64*(1-$K$2)+'10K'!$E64*$K$2</f>
        <v>0.80026679910204557</v>
      </c>
    </row>
    <row r="65" spans="1:5">
      <c r="A65" s="224">
        <v>59</v>
      </c>
      <c r="B65" s="248"/>
      <c r="C65" s="231"/>
      <c r="D65" s="231">
        <f t="shared" si="1"/>
        <v>23.261939872339436</v>
      </c>
      <c r="E65" s="246">
        <f>'5K'!$E65*(1-$K$2)+'10K'!$E65*$K$2</f>
        <v>0.79027516338793347</v>
      </c>
    </row>
    <row r="66" spans="1:5">
      <c r="A66" s="224">
        <v>60</v>
      </c>
      <c r="B66" s="248"/>
      <c r="C66" s="231"/>
      <c r="D66" s="231">
        <f t="shared" si="1"/>
        <v>23.559812146922631</v>
      </c>
      <c r="E66" s="246">
        <f>'5K'!$E66*(1-$K$2)+'10K'!$E66*$K$2</f>
        <v>0.78028352767382114</v>
      </c>
    </row>
    <row r="67" spans="1:5">
      <c r="A67" s="224">
        <v>61</v>
      </c>
      <c r="B67" s="248"/>
      <c r="C67" s="231"/>
      <c r="D67" s="231">
        <f t="shared" si="1"/>
        <v>23.865411962943128</v>
      </c>
      <c r="E67" s="246">
        <f>'5K'!$E67*(1-$K$2)+'10K'!$E67*$K$2</f>
        <v>0.77029189195970893</v>
      </c>
    </row>
    <row r="68" spans="1:5">
      <c r="A68" s="224">
        <v>62</v>
      </c>
      <c r="B68" s="248"/>
      <c r="C68" s="231"/>
      <c r="D68" s="231">
        <f t="shared" si="1"/>
        <v>24.179043979428879</v>
      </c>
      <c r="E68" s="246">
        <f>'5K'!$E68*(1-$K$2)+'10K'!$E68*$K$2</f>
        <v>0.76030025624559683</v>
      </c>
    </row>
    <row r="69" spans="1:5">
      <c r="A69" s="224">
        <v>63</v>
      </c>
      <c r="B69" s="248"/>
      <c r="C69" s="231"/>
      <c r="D69" s="231">
        <f t="shared" si="1"/>
        <v>24.501029083620836</v>
      </c>
      <c r="E69" s="246">
        <f>'5K'!$E69*(1-$K$2)+'10K'!$E69*$K$2</f>
        <v>0.75030862053148462</v>
      </c>
    </row>
    <row r="70" spans="1:5">
      <c r="A70" s="224">
        <v>64</v>
      </c>
      <c r="B70" s="248"/>
      <c r="C70" s="231"/>
      <c r="D70" s="231">
        <f t="shared" si="1"/>
        <v>24.831705486087536</v>
      </c>
      <c r="E70" s="246">
        <f>'5K'!$E70*(1-$K$2)+'10K'!$E70*$K$2</f>
        <v>0.74031698481737251</v>
      </c>
    </row>
    <row r="71" spans="1:5">
      <c r="A71" s="224">
        <v>65</v>
      </c>
      <c r="B71" s="248"/>
      <c r="C71" s="231"/>
      <c r="D71" s="231">
        <f t="shared" si="1"/>
        <v>25.17142990573387</v>
      </c>
      <c r="E71" s="246">
        <f>'5K'!$E71*(1-$K$2)+'10K'!$E71*$K$2</f>
        <v>0.73032534910326019</v>
      </c>
    </row>
    <row r="72" spans="1:5">
      <c r="A72" s="224">
        <v>66</v>
      </c>
      <c r="B72" s="248"/>
      <c r="C72" s="231"/>
      <c r="D72" s="231">
        <f t="shared" si="1"/>
        <v>25.522830395878167</v>
      </c>
      <c r="E72" s="246">
        <f>'5K'!$E72*(1-$K$2)+'10K'!$E72*$K$2</f>
        <v>0.72027016785341202</v>
      </c>
    </row>
    <row r="73" spans="1:5">
      <c r="A73" s="224">
        <v>67</v>
      </c>
      <c r="B73" s="248"/>
      <c r="C73" s="231"/>
      <c r="D73" s="231">
        <f t="shared" si="1"/>
        <v>25.881865354939364</v>
      </c>
      <c r="E73" s="246">
        <f>'5K'!$E73*(1-$K$2)+'10K'!$E73*$K$2</f>
        <v>0.71027853213929992</v>
      </c>
    </row>
    <row r="74" spans="1:5">
      <c r="A74" s="224">
        <v>68</v>
      </c>
      <c r="B74" s="248"/>
      <c r="C74" s="231"/>
      <c r="D74" s="231">
        <f t="shared" ref="D74:D105" si="2">E$4/E74</f>
        <v>26.251145676402416</v>
      </c>
      <c r="E74" s="246">
        <f>'5K'!$E74*(1-$K$2)+'10K'!$E74*$K$2</f>
        <v>0.70028689642518771</v>
      </c>
    </row>
    <row r="75" spans="1:5">
      <c r="A75" s="224">
        <v>69</v>
      </c>
      <c r="B75" s="248"/>
      <c r="C75" s="231"/>
      <c r="D75" s="231">
        <f t="shared" si="2"/>
        <v>26.631116247845306</v>
      </c>
      <c r="E75" s="246">
        <f>'5K'!$E75*(1-$K$2)+'10K'!$E75*$K$2</f>
        <v>0.6902952607110755</v>
      </c>
    </row>
    <row r="76" spans="1:5">
      <c r="A76" s="224">
        <v>70</v>
      </c>
      <c r="B76" s="248"/>
      <c r="C76" s="231"/>
      <c r="D76" s="231">
        <f t="shared" si="2"/>
        <v>27.022248093144277</v>
      </c>
      <c r="E76" s="246">
        <f>'5K'!$E76*(1-$K$2)+'10K'!$E76*$K$2</f>
        <v>0.6803036249969634</v>
      </c>
    </row>
    <row r="77" spans="1:5">
      <c r="A77" s="224">
        <v>71</v>
      </c>
      <c r="B77" s="248"/>
      <c r="C77" s="231"/>
      <c r="D77" s="231">
        <f t="shared" si="2"/>
        <v>27.425040320405383</v>
      </c>
      <c r="E77" s="246">
        <f>'5K'!$E77*(1-$K$2)+'10K'!$E77*$K$2</f>
        <v>0.67031198928285107</v>
      </c>
    </row>
    <row r="78" spans="1:5">
      <c r="A78" s="224">
        <v>72</v>
      </c>
      <c r="B78" s="248"/>
      <c r="C78" s="231"/>
      <c r="D78" s="231">
        <f t="shared" si="2"/>
        <v>27.840022246746688</v>
      </c>
      <c r="E78" s="246">
        <f>'5K'!$E78*(1-$K$2)+'10K'!$E78*$K$2</f>
        <v>0.66032035356873897</v>
      </c>
    </row>
    <row r="79" spans="1:5">
      <c r="A79" s="224">
        <v>73</v>
      </c>
      <c r="B79" s="248"/>
      <c r="C79" s="231"/>
      <c r="D79" s="231">
        <f t="shared" si="2"/>
        <v>28.267755718951214</v>
      </c>
      <c r="E79" s="246">
        <f>'5K'!$E79*(1-$K$2)+'10K'!$E79*$K$2</f>
        <v>0.65032871785462665</v>
      </c>
    </row>
    <row r="80" spans="1:5">
      <c r="A80" s="224">
        <v>74</v>
      </c>
      <c r="B80" s="248"/>
      <c r="C80" s="231"/>
      <c r="D80" s="231">
        <f t="shared" si="2"/>
        <v>28.708837651384563</v>
      </c>
      <c r="E80" s="246">
        <f>'5K'!$E80*(1-$K$2)+'10K'!$E80*$K$2</f>
        <v>0.64033708214051455</v>
      </c>
    </row>
    <row r="81" spans="1:5">
      <c r="A81" s="224">
        <v>75</v>
      </c>
      <c r="B81" s="248"/>
      <c r="C81" s="231"/>
      <c r="D81" s="231">
        <f t="shared" si="2"/>
        <v>29.1639028052846</v>
      </c>
      <c r="E81" s="246">
        <f>'5K'!$E81*(1-$K$2)+'10K'!$E81*$K$2</f>
        <v>0.63034544642640244</v>
      </c>
    </row>
    <row r="82" spans="1:5">
      <c r="A82" s="224">
        <v>76</v>
      </c>
      <c r="B82" s="248"/>
      <c r="C82" s="231"/>
      <c r="D82" s="231">
        <f t="shared" si="2"/>
        <v>29.636662648737293</v>
      </c>
      <c r="E82" s="246">
        <f>'5K'!$E82*(1-$K$2)+'10K'!$E82*$K$2</f>
        <v>0.62029026517655417</v>
      </c>
    </row>
    <row r="83" spans="1:5">
      <c r="A83" s="224">
        <v>77</v>
      </c>
      <c r="B83" s="248"/>
      <c r="C83" s="231"/>
      <c r="D83" s="231">
        <f t="shared" si="2"/>
        <v>30.121865666854905</v>
      </c>
      <c r="E83" s="246">
        <f>'5K'!$E83*(1-$K$2)+'10K'!$E83*$K$2</f>
        <v>0.61029862946244195</v>
      </c>
    </row>
    <row r="84" spans="1:5">
      <c r="A84" s="224">
        <v>78</v>
      </c>
      <c r="B84" s="248"/>
      <c r="C84" s="231"/>
      <c r="D84" s="231">
        <f t="shared" si="2"/>
        <v>30.652952390542239</v>
      </c>
      <c r="E84" s="246">
        <f>'5K'!$E84*(1-$K$2)+'10K'!$E84*$K$2</f>
        <v>0.59972472142700961</v>
      </c>
    </row>
    <row r="85" spans="1:5">
      <c r="A85" s="224">
        <v>79</v>
      </c>
      <c r="B85" s="248"/>
      <c r="C85" s="231"/>
      <c r="D85" s="231">
        <f t="shared" si="2"/>
        <v>31.247466689155896</v>
      </c>
      <c r="E85" s="246">
        <f>'5K'!$E85*(1-$K$2)+'10K'!$E85*$K$2</f>
        <v>0.58831435892731343</v>
      </c>
    </row>
    <row r="86" spans="1:5">
      <c r="A86" s="224">
        <v>80</v>
      </c>
      <c r="B86" s="248"/>
      <c r="C86" s="231"/>
      <c r="D86" s="231">
        <f t="shared" si="2"/>
        <v>31.915806639507117</v>
      </c>
      <c r="E86" s="246">
        <f>'5K'!$E86*(1-$K$2)+'10K'!$E86*$K$2</f>
        <v>0.57599463303482501</v>
      </c>
    </row>
    <row r="87" spans="1:5">
      <c r="A87" s="224">
        <v>81</v>
      </c>
      <c r="B87" s="248"/>
      <c r="C87" s="231"/>
      <c r="D87" s="231">
        <f t="shared" si="2"/>
        <v>32.66182906633793</v>
      </c>
      <c r="E87" s="246">
        <f>'5K'!$E87*(1-$K$2)+'10K'!$E87*$K$2</f>
        <v>0.56283845267807253</v>
      </c>
    </row>
    <row r="88" spans="1:5">
      <c r="A88" s="224">
        <v>82</v>
      </c>
      <c r="B88" s="248"/>
      <c r="C88" s="231"/>
      <c r="D88" s="231">
        <f t="shared" si="2"/>
        <v>33.498981152744129</v>
      </c>
      <c r="E88" s="246">
        <f>'5K'!$E88*(1-$K$2)+'10K'!$E88*$K$2</f>
        <v>0.54877290892852804</v>
      </c>
    </row>
    <row r="89" spans="1:5">
      <c r="A89" s="224">
        <v>83</v>
      </c>
      <c r="B89" s="248"/>
      <c r="C89" s="231"/>
      <c r="D89" s="231">
        <f t="shared" si="2"/>
        <v>34.436393376430068</v>
      </c>
      <c r="E89" s="246">
        <f>'5K'!$E89*(1-$K$2)+'10K'!$E89*$K$2</f>
        <v>0.53383445625045545</v>
      </c>
    </row>
    <row r="90" spans="1:5">
      <c r="A90" s="224">
        <v>84</v>
      </c>
      <c r="B90" s="248"/>
      <c r="C90" s="231"/>
      <c r="D90" s="231">
        <f t="shared" si="2"/>
        <v>35.489975816672903</v>
      </c>
      <c r="E90" s="246">
        <f>'5K'!$E90*(1-$K$2)+'10K'!$E90*$K$2</f>
        <v>0.51798664017959095</v>
      </c>
    </row>
    <row r="91" spans="1:5">
      <c r="A91" s="224">
        <v>85</v>
      </c>
      <c r="B91" s="248"/>
      <c r="C91" s="231"/>
      <c r="D91" s="231">
        <f t="shared" si="2"/>
        <v>36.671147886995456</v>
      </c>
      <c r="E91" s="246">
        <f>'5K'!$E91*(1-$K$2)+'10K'!$E91*$K$2</f>
        <v>0.50130236964446218</v>
      </c>
    </row>
    <row r="92" spans="1:5">
      <c r="A92" s="224">
        <v>86</v>
      </c>
      <c r="B92" s="248"/>
      <c r="C92" s="231"/>
      <c r="D92" s="231">
        <f t="shared" si="2"/>
        <v>38.009957933130529</v>
      </c>
      <c r="E92" s="246">
        <f>'5K'!$E92*(1-$K$2)+'10K'!$E92*$K$2</f>
        <v>0.48364519018080554</v>
      </c>
    </row>
    <row r="93" spans="1:5">
      <c r="A93" s="224">
        <v>87</v>
      </c>
      <c r="B93" s="248"/>
      <c r="C93" s="231"/>
      <c r="D93" s="231">
        <f t="shared" si="2"/>
        <v>39.518867512667924</v>
      </c>
      <c r="E93" s="246">
        <f>'5K'!$E93*(1-$K$2)+'10K'!$E93*$K$2</f>
        <v>0.46517864732435676</v>
      </c>
    </row>
    <row r="94" spans="1:5">
      <c r="A94" s="224">
        <v>88</v>
      </c>
      <c r="B94" s="248"/>
      <c r="C94" s="231"/>
      <c r="D94" s="231">
        <f t="shared" si="2"/>
        <v>41.233102690966923</v>
      </c>
      <c r="E94" s="246">
        <f>'5K'!$E94*(1-$K$2)+'10K'!$E94*$K$2</f>
        <v>0.4458391955393799</v>
      </c>
    </row>
    <row r="95" spans="1:5">
      <c r="A95" s="224">
        <v>89</v>
      </c>
      <c r="B95" s="248"/>
      <c r="C95" s="231"/>
      <c r="D95" s="231">
        <f t="shared" si="2"/>
        <v>43.194898619920828</v>
      </c>
      <c r="E95" s="246">
        <f>'5K'!$E95*(1-$K$2)+'10K'!$E95*$K$2</f>
        <v>0.42559038036161101</v>
      </c>
    </row>
    <row r="96" spans="1:5">
      <c r="A96" s="224">
        <v>90</v>
      </c>
      <c r="B96" s="248"/>
      <c r="C96" s="231"/>
      <c r="D96" s="231">
        <f t="shared" si="2"/>
        <v>45.446479775326047</v>
      </c>
      <c r="E96" s="246">
        <f>'5K'!$E96*(1-$K$2)+'10K'!$E96*$K$2</f>
        <v>0.40450511071957818</v>
      </c>
    </row>
    <row r="97" spans="1:5">
      <c r="A97" s="224">
        <v>91</v>
      </c>
      <c r="B97" s="248"/>
      <c r="C97" s="231"/>
      <c r="D97" s="231">
        <f t="shared" si="2"/>
        <v>48.059685696986307</v>
      </c>
      <c r="E97" s="246">
        <f>'5K'!$E97*(1-$K$2)+'10K'!$E97*$K$2</f>
        <v>0.38251047768475321</v>
      </c>
    </row>
    <row r="98" spans="1:5">
      <c r="A98" s="224">
        <v>92</v>
      </c>
      <c r="B98" s="248"/>
      <c r="C98" s="231"/>
      <c r="D98" s="231">
        <f t="shared" si="2"/>
        <v>51.115513492454944</v>
      </c>
      <c r="E98" s="246">
        <f>'5K'!$E98*(1-$K$2)+'10K'!$E98*$K$2</f>
        <v>0.3596429357214001</v>
      </c>
    </row>
    <row r="99" spans="1:5">
      <c r="A99" s="224">
        <v>93</v>
      </c>
      <c r="B99" s="248"/>
      <c r="C99" s="231"/>
      <c r="D99" s="231">
        <f t="shared" si="2"/>
        <v>54.728185004833911</v>
      </c>
      <c r="E99" s="246">
        <f>'5K'!$E99*(1-$K$2)+'10K'!$E99*$K$2</f>
        <v>0.33590248482951901</v>
      </c>
    </row>
    <row r="100" spans="1:5">
      <c r="A100" s="224">
        <v>94</v>
      </c>
      <c r="C100" s="231"/>
      <c r="D100" s="231">
        <f t="shared" si="2"/>
        <v>59.055494896570309</v>
      </c>
      <c r="E100" s="246">
        <f>'5K'!$E100*(1-$K$2)+'10K'!$E100*$K$2</f>
        <v>0.31128912500910999</v>
      </c>
    </row>
    <row r="101" spans="1:5">
      <c r="A101" s="224">
        <v>95</v>
      </c>
      <c r="B101" s="248"/>
      <c r="C101" s="231"/>
      <c r="D101" s="231">
        <f t="shared" si="2"/>
        <v>64.329932482624429</v>
      </c>
      <c r="E101" s="246">
        <f>'5K'!$E101*(1-$K$2)+'10K'!$E101*$K$2</f>
        <v>0.28576640179590873</v>
      </c>
    </row>
    <row r="102" spans="1:5">
      <c r="A102" s="224">
        <v>96</v>
      </c>
      <c r="C102" s="231"/>
      <c r="D102" s="231">
        <f t="shared" si="2"/>
        <v>70.894026943639616</v>
      </c>
      <c r="E102" s="246">
        <f>'5K'!$E102*(1-$K$2)+'10K'!$E102*$K$2</f>
        <v>0.25930722411844354</v>
      </c>
    </row>
    <row r="103" spans="1:5">
      <c r="A103" s="224">
        <v>97</v>
      </c>
      <c r="C103" s="231"/>
      <c r="D103" s="231">
        <f t="shared" si="2"/>
        <v>79.225295937038922</v>
      </c>
      <c r="E103" s="246">
        <f>'5K'!$E103*(1-$K$2)+'10K'!$E103*$K$2</f>
        <v>0.23203868304818626</v>
      </c>
    </row>
    <row r="104" spans="1:5">
      <c r="A104" s="224">
        <v>98</v>
      </c>
      <c r="C104" s="231"/>
      <c r="D104" s="231">
        <f t="shared" si="2"/>
        <v>90.159797945268622</v>
      </c>
      <c r="E104" s="246">
        <f>'5K'!$E104*(1-$K$2)+'10K'!$E104*$K$2</f>
        <v>0.20389723304940091</v>
      </c>
    </row>
    <row r="105" spans="1:5">
      <c r="A105" s="224">
        <v>99</v>
      </c>
      <c r="C105" s="231"/>
      <c r="D105" s="231">
        <f t="shared" si="2"/>
        <v>105.11797353295863</v>
      </c>
      <c r="E105" s="246">
        <f>'5K'!$E105*(1-$K$2)+'10K'!$E105*$K$2</f>
        <v>0.17488287412208753</v>
      </c>
    </row>
    <row r="106" spans="1:5">
      <c r="A106" s="224">
        <v>100</v>
      </c>
      <c r="D106" s="231">
        <f>E$4/E106</f>
        <v>126.81733512379708</v>
      </c>
      <c r="E106" s="246">
        <f>'5K'!$E106*(1-$K$2)+'10K'!$E106*$K$2</f>
        <v>0.14495915180198207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E12" sqref="E12"/>
    </sheetView>
  </sheetViews>
  <sheetFormatPr defaultColWidth="9.6640625" defaultRowHeight="15"/>
  <cols>
    <col min="1" max="5" width="9.6640625" style="224" customWidth="1"/>
    <col min="6" max="6" width="11.88671875" style="224" customWidth="1"/>
    <col min="7" max="7" width="13.88671875" style="224" customWidth="1"/>
    <col min="8" max="9" width="10.6640625" style="224" customWidth="1"/>
    <col min="10" max="13" width="9.6640625" style="224"/>
    <col min="14" max="14" width="14.77734375" style="224" customWidth="1"/>
    <col min="15" max="15" width="19.5546875" style="224" customWidth="1"/>
    <col min="16" max="16384" width="9.6640625" style="224"/>
  </cols>
  <sheetData>
    <row r="1" spans="1:20" ht="47.25">
      <c r="A1" s="220" t="s">
        <v>80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K1" s="221" t="s">
        <v>2125</v>
      </c>
    </row>
    <row r="2" spans="1:20" ht="15.95" customHeight="1">
      <c r="A2" s="220"/>
      <c r="B2" s="221"/>
      <c r="C2" s="222"/>
      <c r="D2" s="223"/>
      <c r="E2" s="223"/>
      <c r="F2" s="328">
        <f>(+H$3-H$4)*F$4/2</f>
        <v>4.725E-2</v>
      </c>
      <c r="G2" s="329">
        <f>(+I$4-I$3)*G$4/2</f>
        <v>0.17219999999999999</v>
      </c>
      <c r="H2" s="225"/>
      <c r="I2" s="225"/>
      <c r="K2" s="221">
        <f>Parameters!Z16</f>
        <v>0.67807190511263749</v>
      </c>
    </row>
    <row r="3" spans="1:20" ht="15.95" customHeight="1">
      <c r="A3" s="220"/>
      <c r="B3" s="221"/>
      <c r="C3" s="222"/>
      <c r="D3" s="223"/>
      <c r="E3" s="223"/>
      <c r="F3" s="328">
        <f>F4/(2*(+H3-H4))</f>
        <v>1.89E-3</v>
      </c>
      <c r="G3" s="329">
        <f>G4/(2*(+I4-I3))</f>
        <v>1.6006097560975613E-4</v>
      </c>
      <c r="H3" s="226">
        <v>22</v>
      </c>
      <c r="I3" s="227">
        <v>24</v>
      </c>
    </row>
    <row r="4" spans="1:20" ht="15.75">
      <c r="A4" s="221"/>
      <c r="B4" s="221"/>
      <c r="C4" s="221"/>
      <c r="D4" s="228">
        <f>Parameters!G16</f>
        <v>1.5914351851851853E-2</v>
      </c>
      <c r="E4" s="229">
        <f>D4*1440</f>
        <v>22.916666666666668</v>
      </c>
      <c r="F4" s="230">
        <v>1.89E-2</v>
      </c>
      <c r="G4" s="219">
        <v>1.0500000000000001E-2</v>
      </c>
      <c r="H4" s="226">
        <v>17</v>
      </c>
      <c r="I4" s="227">
        <v>56.8</v>
      </c>
    </row>
    <row r="5" spans="1:20" ht="15.75">
      <c r="A5" s="221"/>
      <c r="B5" s="221"/>
      <c r="C5" s="221"/>
      <c r="D5" s="228"/>
      <c r="E5" s="221">
        <f>E4*60</f>
        <v>1375</v>
      </c>
      <c r="F5" s="230">
        <v>9.1E-4</v>
      </c>
      <c r="G5" s="219">
        <v>5.1000000000000004E-4</v>
      </c>
      <c r="H5" s="226">
        <v>15</v>
      </c>
      <c r="I5" s="227">
        <v>76.7</v>
      </c>
    </row>
    <row r="6" spans="1:20" ht="45" customHeight="1">
      <c r="A6" s="232" t="s">
        <v>70</v>
      </c>
      <c r="B6" s="232" t="s">
        <v>32</v>
      </c>
      <c r="C6" s="232" t="s">
        <v>71</v>
      </c>
      <c r="D6" s="232" t="s">
        <v>2116</v>
      </c>
      <c r="E6" s="232" t="s">
        <v>1972</v>
      </c>
      <c r="F6" s="222" t="s">
        <v>148</v>
      </c>
      <c r="G6" s="232" t="s">
        <v>2127</v>
      </c>
      <c r="H6" s="232" t="s">
        <v>70</v>
      </c>
      <c r="I6" s="232" t="s">
        <v>735</v>
      </c>
      <c r="J6" s="390" t="s">
        <v>428</v>
      </c>
      <c r="K6" s="390" t="s">
        <v>429</v>
      </c>
      <c r="L6" s="129" t="s">
        <v>430</v>
      </c>
      <c r="M6" s="129" t="s">
        <v>431</v>
      </c>
      <c r="N6" s="390" t="s">
        <v>432</v>
      </c>
      <c r="O6" s="129" t="s">
        <v>433</v>
      </c>
      <c r="P6" s="129" t="s">
        <v>434</v>
      </c>
      <c r="Q6" s="391" t="s">
        <v>1180</v>
      </c>
      <c r="S6" s="332" t="s">
        <v>77</v>
      </c>
      <c r="T6" s="224" t="s">
        <v>70</v>
      </c>
    </row>
    <row r="7" spans="1:20">
      <c r="A7" s="224">
        <v>1</v>
      </c>
      <c r="G7" s="231"/>
      <c r="H7" s="224">
        <v>1</v>
      </c>
      <c r="T7" s="224">
        <v>1</v>
      </c>
    </row>
    <row r="8" spans="1:20">
      <c r="A8" s="224">
        <v>2</v>
      </c>
      <c r="G8" s="231"/>
      <c r="H8" s="224">
        <v>2</v>
      </c>
      <c r="T8" s="224">
        <v>2</v>
      </c>
    </row>
    <row r="9" spans="1:20">
      <c r="A9" s="224">
        <v>3</v>
      </c>
      <c r="B9" s="245"/>
      <c r="C9" s="231"/>
      <c r="D9" s="231">
        <f>E$4/E9</f>
        <v>38.941604731498032</v>
      </c>
      <c r="E9" s="246">
        <f>'5K'!$E9*(1-$K$2)+'10K'!$E9*$K$2</f>
        <v>0.5884879892515178</v>
      </c>
      <c r="G9" s="231">
        <v>38.890712175910728</v>
      </c>
      <c r="H9" s="224">
        <v>3</v>
      </c>
      <c r="S9" s="333"/>
      <c r="T9" s="224">
        <v>3</v>
      </c>
    </row>
    <row r="10" spans="1:20">
      <c r="A10" s="224">
        <v>4</v>
      </c>
      <c r="B10" s="248"/>
      <c r="C10" s="231"/>
      <c r="D10" s="231">
        <f t="shared" ref="D10:D40" si="0">E$4/E10</f>
        <v>36.638105661427119</v>
      </c>
      <c r="E10" s="246">
        <f>'5K'!$E10*(1-$K$2)+'10K'!$E10*$K$2</f>
        <v>0.62548721482599778</v>
      </c>
      <c r="F10" s="334"/>
      <c r="G10" s="231">
        <v>36.562789262573276</v>
      </c>
      <c r="H10" s="224">
        <v>4</v>
      </c>
      <c r="S10" s="333"/>
      <c r="T10" s="224">
        <v>4</v>
      </c>
    </row>
    <row r="11" spans="1:20">
      <c r="A11" s="224">
        <v>5</v>
      </c>
      <c r="B11" s="248"/>
      <c r="C11" s="231"/>
      <c r="D11" s="231">
        <f t="shared" si="0"/>
        <v>34.677518381420633</v>
      </c>
      <c r="E11" s="246">
        <f>'5K'!$E11*(1-$K$2)+'10K'!$E11*$K$2</f>
        <v>0.66085082601945522</v>
      </c>
      <c r="F11" s="334"/>
      <c r="G11" s="231">
        <v>34.598540145985396</v>
      </c>
      <c r="H11" s="224">
        <v>5</v>
      </c>
      <c r="I11" s="334"/>
      <c r="S11" s="333">
        <f t="shared" ref="R11:S25" si="1">$E$4/($E11*0.8*24*60)</f>
        <v>3.0102012483872079E-2</v>
      </c>
      <c r="T11" s="224">
        <v>5</v>
      </c>
    </row>
    <row r="12" spans="1:20">
      <c r="A12" s="224">
        <v>6</v>
      </c>
      <c r="B12" s="248">
        <v>2.4849537037037035E-2</v>
      </c>
      <c r="C12" s="231">
        <f t="shared" ref="C12:C74" si="2">B12*1440</f>
        <v>35.783333333333331</v>
      </c>
      <c r="D12" s="231">
        <f t="shared" si="0"/>
        <v>33.003281258337744</v>
      </c>
      <c r="E12" s="246">
        <f>'5K'!$E12*(1-$K$2)+'10K'!$E12*$K$2</f>
        <v>0.69437540126035624</v>
      </c>
      <c r="F12" s="334">
        <f t="shared" ref="F12:F43" si="3">100*(D12/C12)</f>
        <v>92.230874499313671</v>
      </c>
      <c r="G12" s="231">
        <v>32.925812725757154</v>
      </c>
      <c r="H12" s="224">
        <v>6</v>
      </c>
      <c r="I12" s="392" t="s">
        <v>2128</v>
      </c>
      <c r="J12" s="132" t="s">
        <v>246</v>
      </c>
      <c r="K12" s="132" t="s">
        <v>508</v>
      </c>
      <c r="L12" s="132" t="s">
        <v>241</v>
      </c>
      <c r="M12" s="138">
        <v>40412</v>
      </c>
      <c r="N12" s="124"/>
      <c r="O12" s="121" t="s">
        <v>2200</v>
      </c>
      <c r="P12" s="395">
        <v>42924</v>
      </c>
      <c r="R12" s="333">
        <f t="shared" si="1"/>
        <v>2.8648681647862627E-2</v>
      </c>
      <c r="S12" s="224">
        <v>6</v>
      </c>
    </row>
    <row r="13" spans="1:20">
      <c r="A13" s="224">
        <v>7</v>
      </c>
      <c r="B13" s="248">
        <v>2.3969907407407409E-2</v>
      </c>
      <c r="C13" s="231">
        <f t="shared" si="2"/>
        <v>34.516666666666666</v>
      </c>
      <c r="D13" s="231">
        <f t="shared" si="0"/>
        <v>31.554166584416205</v>
      </c>
      <c r="E13" s="246">
        <f>'5K'!$E13*(1-$K$2)+'10K'!$E13*$K$2</f>
        <v>0.72626436212023493</v>
      </c>
      <c r="F13" s="334">
        <f t="shared" si="3"/>
        <v>91.417189525107318</v>
      </c>
      <c r="G13" s="231">
        <v>31.490831783151737</v>
      </c>
      <c r="H13" s="224">
        <v>7</v>
      </c>
      <c r="I13" s="392" t="s">
        <v>2129</v>
      </c>
      <c r="J13" s="132" t="s">
        <v>2201</v>
      </c>
      <c r="K13" s="132" t="s">
        <v>2202</v>
      </c>
      <c r="L13" s="132" t="s">
        <v>241</v>
      </c>
      <c r="M13" s="138">
        <v>39638</v>
      </c>
      <c r="N13" s="124" t="s">
        <v>2203</v>
      </c>
      <c r="O13" s="121" t="s">
        <v>2204</v>
      </c>
      <c r="P13" s="395">
        <v>42428</v>
      </c>
      <c r="R13" s="333">
        <f t="shared" si="1"/>
        <v>2.7390769604527954E-2</v>
      </c>
      <c r="S13" s="224">
        <v>7</v>
      </c>
    </row>
    <row r="14" spans="1:20">
      <c r="A14" s="224">
        <v>8</v>
      </c>
      <c r="B14" s="248">
        <v>2.1574074074074075E-2</v>
      </c>
      <c r="C14" s="231">
        <f t="shared" si="2"/>
        <v>31.06666666666667</v>
      </c>
      <c r="D14" s="231">
        <f t="shared" si="0"/>
        <v>30.295022345820541</v>
      </c>
      <c r="E14" s="246">
        <f>'5K'!$E14*(1-$K$2)+'10K'!$E14*$K$2</f>
        <v>0.75644990140857971</v>
      </c>
      <c r="F14" s="334">
        <f t="shared" si="3"/>
        <v>97.516166349207751</v>
      </c>
      <c r="G14" s="231">
        <v>30.248883216336949</v>
      </c>
      <c r="H14" s="224">
        <v>8</v>
      </c>
      <c r="I14" s="392" t="s">
        <v>2130</v>
      </c>
      <c r="J14" s="132" t="s">
        <v>249</v>
      </c>
      <c r="K14" s="132" t="s">
        <v>2205</v>
      </c>
      <c r="L14" s="132" t="s">
        <v>241</v>
      </c>
      <c r="M14" s="138">
        <v>39321</v>
      </c>
      <c r="N14" s="124"/>
      <c r="O14" s="121" t="s">
        <v>2206</v>
      </c>
      <c r="P14" s="395">
        <v>42567</v>
      </c>
      <c r="R14" s="333">
        <f t="shared" si="1"/>
        <v>2.6297762452969217E-2</v>
      </c>
      <c r="S14" s="224">
        <v>8</v>
      </c>
    </row>
    <row r="15" spans="1:20">
      <c r="A15" s="224">
        <v>9</v>
      </c>
      <c r="B15" s="248">
        <v>2.1597222222222223E-2</v>
      </c>
      <c r="C15" s="231">
        <f t="shared" si="2"/>
        <v>31.1</v>
      </c>
      <c r="D15" s="231">
        <f t="shared" si="0"/>
        <v>29.197059036256345</v>
      </c>
      <c r="E15" s="246">
        <f>'5K'!$E15*(1-$K$2)+'10K'!$E15*$K$2</f>
        <v>0.78489640474436806</v>
      </c>
      <c r="F15" s="334">
        <f t="shared" si="3"/>
        <v>93.881218766097561</v>
      </c>
      <c r="G15" s="231">
        <v>29.172821270310191</v>
      </c>
      <c r="H15" s="224">
        <v>9</v>
      </c>
      <c r="I15" s="392" t="s">
        <v>2131</v>
      </c>
      <c r="J15" s="132" t="s">
        <v>249</v>
      </c>
      <c r="K15" s="132" t="s">
        <v>2205</v>
      </c>
      <c r="L15" s="132" t="s">
        <v>241</v>
      </c>
      <c r="M15" s="138">
        <v>39321</v>
      </c>
      <c r="N15" s="124"/>
      <c r="O15" s="121" t="s">
        <v>2207</v>
      </c>
      <c r="P15" s="395">
        <v>42812</v>
      </c>
      <c r="R15" s="333">
        <f t="shared" si="1"/>
        <v>2.5344669302305851E-2</v>
      </c>
      <c r="S15" s="224">
        <v>9</v>
      </c>
    </row>
    <row r="16" spans="1:20">
      <c r="A16" s="224">
        <v>10</v>
      </c>
      <c r="B16" s="248">
        <v>2.480324074074074E-2</v>
      </c>
      <c r="C16" s="231">
        <f t="shared" si="2"/>
        <v>35.716666666666669</v>
      </c>
      <c r="D16" s="231">
        <f t="shared" si="0"/>
        <v>28.235031744507424</v>
      </c>
      <c r="E16" s="246">
        <f>'5K'!$E16*(1-$K$2)+'10K'!$E16*$K$2</f>
        <v>0.81163948650862272</v>
      </c>
      <c r="F16" s="334">
        <f t="shared" si="3"/>
        <v>79.052818696707675</v>
      </c>
      <c r="G16" s="231">
        <v>28.237817228642914</v>
      </c>
      <c r="H16" s="224">
        <v>10</v>
      </c>
      <c r="I16" s="392" t="s">
        <v>475</v>
      </c>
      <c r="J16" s="132" t="s">
        <v>2208</v>
      </c>
      <c r="K16" s="132" t="s">
        <v>2209</v>
      </c>
      <c r="L16" s="132" t="s">
        <v>241</v>
      </c>
      <c r="M16" s="138">
        <v>38072</v>
      </c>
      <c r="N16" s="124"/>
      <c r="O16" s="121" t="s">
        <v>2210</v>
      </c>
      <c r="P16" s="395">
        <v>41993</v>
      </c>
      <c r="R16" s="333">
        <f t="shared" si="1"/>
        <v>2.4509576167107139E-2</v>
      </c>
      <c r="S16" s="224">
        <v>10</v>
      </c>
    </row>
    <row r="17" spans="1:19">
      <c r="A17" s="224">
        <v>11</v>
      </c>
      <c r="B17" s="248">
        <v>2.0381944444444446E-2</v>
      </c>
      <c r="C17" s="231">
        <f t="shared" si="2"/>
        <v>29.35</v>
      </c>
      <c r="D17" s="231">
        <f t="shared" si="0"/>
        <v>27.390029687027532</v>
      </c>
      <c r="E17" s="246">
        <f>'5K'!$E17*(1-$K$2)+'10K'!$E17*$K$2</f>
        <v>0.83667914670134369</v>
      </c>
      <c r="F17" s="334">
        <f t="shared" si="3"/>
        <v>93.322077298219867</v>
      </c>
      <c r="G17" s="231">
        <v>27.424207359407546</v>
      </c>
      <c r="H17" s="224">
        <v>11</v>
      </c>
      <c r="I17" s="392" t="s">
        <v>2132</v>
      </c>
      <c r="J17" s="132" t="s">
        <v>2211</v>
      </c>
      <c r="K17" s="132" t="s">
        <v>2212</v>
      </c>
      <c r="L17" s="132" t="s">
        <v>241</v>
      </c>
      <c r="M17" s="138">
        <v>31673</v>
      </c>
      <c r="N17" s="124"/>
      <c r="O17" s="121" t="s">
        <v>2213</v>
      </c>
      <c r="P17" s="395">
        <v>35938</v>
      </c>
      <c r="R17" s="333">
        <f t="shared" si="1"/>
        <v>2.3776067436655841E-2</v>
      </c>
      <c r="S17" s="224">
        <v>11</v>
      </c>
    </row>
    <row r="18" spans="1:19">
      <c r="A18" s="224">
        <v>12</v>
      </c>
      <c r="B18" s="248">
        <v>2.0775462962962964E-2</v>
      </c>
      <c r="C18" s="231">
        <f t="shared" si="2"/>
        <v>29.916666666666668</v>
      </c>
      <c r="D18" s="231">
        <f t="shared" si="0"/>
        <v>26.64681011267287</v>
      </c>
      <c r="E18" s="246">
        <f>'5K'!$E18*(1-$K$2)+'10K'!$E18*$K$2</f>
        <v>0.86001538532253075</v>
      </c>
      <c r="F18" s="334">
        <f t="shared" si="3"/>
        <v>89.070117368265855</v>
      </c>
      <c r="G18" s="231">
        <v>26.716266486303685</v>
      </c>
      <c r="H18" s="224">
        <v>12</v>
      </c>
      <c r="I18" s="392" t="s">
        <v>2133</v>
      </c>
      <c r="J18" s="132" t="s">
        <v>2214</v>
      </c>
      <c r="K18" s="132" t="s">
        <v>2215</v>
      </c>
      <c r="L18" s="132" t="s">
        <v>291</v>
      </c>
      <c r="M18" s="138">
        <v>38264</v>
      </c>
      <c r="N18" s="124"/>
      <c r="O18" s="121" t="s">
        <v>2216</v>
      </c>
      <c r="P18" s="395">
        <v>42771</v>
      </c>
      <c r="R18" s="333">
        <f t="shared" si="1"/>
        <v>2.3130911556139642E-2</v>
      </c>
      <c r="S18" s="224">
        <v>12</v>
      </c>
    </row>
    <row r="19" spans="1:19">
      <c r="A19" s="224">
        <v>13</v>
      </c>
      <c r="B19" s="248">
        <v>2.0752314814814814E-2</v>
      </c>
      <c r="C19" s="231">
        <f t="shared" si="2"/>
        <v>29.883333333333333</v>
      </c>
      <c r="D19" s="231">
        <f t="shared" si="0"/>
        <v>25.994032955999959</v>
      </c>
      <c r="E19" s="246">
        <f>'5K'!$E19*(1-$K$2)+'10K'!$E19*$K$2</f>
        <v>0.8816125879911616</v>
      </c>
      <c r="F19" s="334">
        <f t="shared" si="3"/>
        <v>86.985051721137623</v>
      </c>
      <c r="G19" s="231">
        <v>26.101321585903083</v>
      </c>
      <c r="H19" s="224">
        <v>13</v>
      </c>
      <c r="I19" s="392" t="s">
        <v>2134</v>
      </c>
      <c r="J19" s="132" t="s">
        <v>2217</v>
      </c>
      <c r="K19" s="132" t="s">
        <v>2218</v>
      </c>
      <c r="L19" s="132" t="s">
        <v>241</v>
      </c>
      <c r="M19" s="138">
        <v>37825</v>
      </c>
      <c r="N19" s="124"/>
      <c r="O19" s="121" t="s">
        <v>2210</v>
      </c>
      <c r="P19" s="395">
        <v>42721</v>
      </c>
      <c r="R19" s="333">
        <f t="shared" si="1"/>
        <v>2.2564264718749963E-2</v>
      </c>
      <c r="S19" s="224">
        <v>13</v>
      </c>
    </row>
    <row r="20" spans="1:19">
      <c r="A20" s="224">
        <v>14</v>
      </c>
      <c r="B20" s="248">
        <v>1.9212962962962963E-2</v>
      </c>
      <c r="C20" s="231">
        <f t="shared" si="2"/>
        <v>27.666666666666668</v>
      </c>
      <c r="D20" s="231">
        <f t="shared" si="0"/>
        <v>25.420415709146365</v>
      </c>
      <c r="E20" s="246">
        <f>'5K'!$E20*(1-$K$2)+'10K'!$E20*$K$2</f>
        <v>0.90150636908825854</v>
      </c>
      <c r="F20" s="334">
        <f t="shared" si="3"/>
        <v>91.881020635468786</v>
      </c>
      <c r="G20" s="231">
        <v>25.566343042071196</v>
      </c>
      <c r="H20" s="224">
        <v>14</v>
      </c>
      <c r="I20" s="392" t="s">
        <v>2135</v>
      </c>
      <c r="J20" s="132" t="s">
        <v>1321</v>
      </c>
      <c r="K20" s="132" t="s">
        <v>2219</v>
      </c>
      <c r="L20" s="132" t="s">
        <v>241</v>
      </c>
      <c r="M20" s="138">
        <v>23720</v>
      </c>
      <c r="N20" s="124"/>
      <c r="O20" s="121" t="s">
        <v>2220</v>
      </c>
      <c r="P20" s="395">
        <v>28981</v>
      </c>
      <c r="R20" s="333">
        <f t="shared" si="1"/>
        <v>2.2066333080856221E-2</v>
      </c>
      <c r="S20" s="224">
        <v>14</v>
      </c>
    </row>
    <row r="21" spans="1:19">
      <c r="A21" s="224">
        <v>15</v>
      </c>
      <c r="B21" s="248">
        <v>1.8171296296296297E-2</v>
      </c>
      <c r="C21" s="231">
        <f t="shared" si="2"/>
        <v>26.166666666666668</v>
      </c>
      <c r="D21" s="231">
        <f t="shared" si="0"/>
        <v>24.915797222629454</v>
      </c>
      <c r="E21" s="246">
        <f>'5K'!$E21*(1-$K$2)+'10K'!$E21*$K$2</f>
        <v>0.91976453580433293</v>
      </c>
      <c r="F21" s="334">
        <f t="shared" si="3"/>
        <v>95.219607220239936</v>
      </c>
      <c r="G21" s="231">
        <v>25.10593220338983</v>
      </c>
      <c r="H21" s="224">
        <v>15</v>
      </c>
      <c r="I21" s="392" t="s">
        <v>2136</v>
      </c>
      <c r="J21" s="132" t="s">
        <v>276</v>
      </c>
      <c r="K21" s="132" t="s">
        <v>277</v>
      </c>
      <c r="L21" s="132" t="s">
        <v>268</v>
      </c>
      <c r="M21" s="138">
        <v>28256</v>
      </c>
      <c r="N21" s="124"/>
      <c r="O21" s="121" t="s">
        <v>950</v>
      </c>
      <c r="P21" s="395">
        <v>34084</v>
      </c>
      <c r="R21" s="333">
        <f t="shared" si="1"/>
        <v>2.1628296200199175E-2</v>
      </c>
      <c r="S21" s="224">
        <v>15</v>
      </c>
    </row>
    <row r="22" spans="1:19">
      <c r="A22" s="224">
        <v>16</v>
      </c>
      <c r="B22" s="248">
        <v>1.8240740740740741E-2</v>
      </c>
      <c r="C22" s="231">
        <f t="shared" si="2"/>
        <v>26.266666666666669</v>
      </c>
      <c r="D22" s="231">
        <f t="shared" si="0"/>
        <v>24.455215482873008</v>
      </c>
      <c r="E22" s="246">
        <f>'5K'!$E22*(1-$K$2)+'10K'!$E22*$K$2</f>
        <v>0.93708708813938479</v>
      </c>
      <c r="F22" s="334">
        <f t="shared" si="3"/>
        <v>93.103612244440384</v>
      </c>
      <c r="G22" s="231">
        <v>24.6875</v>
      </c>
      <c r="H22" s="224">
        <v>16</v>
      </c>
      <c r="I22" s="392" t="s">
        <v>2137</v>
      </c>
      <c r="J22" s="132" t="s">
        <v>811</v>
      </c>
      <c r="K22" s="132" t="s">
        <v>2221</v>
      </c>
      <c r="L22" s="132" t="s">
        <v>268</v>
      </c>
      <c r="M22" s="138">
        <v>28570</v>
      </c>
      <c r="N22" s="124"/>
      <c r="O22" s="121" t="s">
        <v>2222</v>
      </c>
      <c r="P22" s="395">
        <v>34433</v>
      </c>
      <c r="R22" s="333">
        <f t="shared" si="1"/>
        <v>2.1228485662216155E-2</v>
      </c>
      <c r="S22" s="224">
        <v>16</v>
      </c>
    </row>
    <row r="23" spans="1:19">
      <c r="A23" s="224">
        <v>17</v>
      </c>
      <c r="B23" s="248">
        <v>1.7696759259259259E-2</v>
      </c>
      <c r="C23" s="231">
        <f t="shared" si="2"/>
        <v>25.483333333333334</v>
      </c>
      <c r="D23" s="231">
        <f t="shared" si="0"/>
        <v>24.010542987012453</v>
      </c>
      <c r="E23" s="246">
        <f>'5K'!$E23*(1-$K$2)+'10K'!$E23*$K$2</f>
        <v>0.95444183328392551</v>
      </c>
      <c r="F23" s="334">
        <f t="shared" si="3"/>
        <v>94.220574180558998</v>
      </c>
      <c r="G23" s="231">
        <v>24.282786885245901</v>
      </c>
      <c r="H23" s="224">
        <v>17</v>
      </c>
      <c r="I23" s="392" t="s">
        <v>2138</v>
      </c>
      <c r="J23" s="132" t="s">
        <v>543</v>
      </c>
      <c r="K23" s="132" t="s">
        <v>2223</v>
      </c>
      <c r="L23" s="132" t="s">
        <v>268</v>
      </c>
      <c r="M23" s="138">
        <v>27524</v>
      </c>
      <c r="N23" s="124"/>
      <c r="O23" s="121" t="s">
        <v>950</v>
      </c>
      <c r="P23" s="395">
        <v>34084</v>
      </c>
      <c r="R23" s="333">
        <f t="shared" si="1"/>
        <v>2.0842485231781643E-2</v>
      </c>
      <c r="S23" s="224">
        <v>17</v>
      </c>
    </row>
    <row r="24" spans="1:19">
      <c r="A24" s="224">
        <v>18</v>
      </c>
      <c r="B24" s="248">
        <v>1.7962962962962962E-2</v>
      </c>
      <c r="C24" s="231">
        <f t="shared" si="2"/>
        <v>25.866666666666664</v>
      </c>
      <c r="D24" s="231">
        <f t="shared" si="0"/>
        <v>23.613840537639131</v>
      </c>
      <c r="E24" s="246">
        <f>'5K'!$E24*(1-$K$2)+'10K'!$E24*$K$2</f>
        <v>0.97047604899926343</v>
      </c>
      <c r="F24" s="334">
        <f t="shared" si="3"/>
        <v>91.290620635202828</v>
      </c>
      <c r="G24" s="231">
        <v>23.956332760537755</v>
      </c>
      <c r="H24" s="224">
        <v>18</v>
      </c>
      <c r="I24" s="392" t="s">
        <v>2139</v>
      </c>
      <c r="J24" s="132" t="s">
        <v>1990</v>
      </c>
      <c r="K24" s="132" t="s">
        <v>1991</v>
      </c>
      <c r="L24" s="132" t="s">
        <v>268</v>
      </c>
      <c r="M24" s="138">
        <v>32348</v>
      </c>
      <c r="N24" s="124"/>
      <c r="O24" s="121" t="s">
        <v>2224</v>
      </c>
      <c r="P24" s="395">
        <v>39277</v>
      </c>
      <c r="R24" s="333">
        <f t="shared" si="1"/>
        <v>2.0498125466700635E-2</v>
      </c>
      <c r="S24" s="224">
        <v>18</v>
      </c>
    </row>
    <row r="25" spans="1:19">
      <c r="A25" s="224">
        <v>19</v>
      </c>
      <c r="B25" s="248">
        <v>1.7939814814814815E-2</v>
      </c>
      <c r="C25" s="231">
        <f t="shared" si="2"/>
        <v>25.833333333333332</v>
      </c>
      <c r="D25" s="231">
        <f t="shared" si="0"/>
        <v>23.303829173826305</v>
      </c>
      <c r="E25" s="246">
        <f>'5K'!$E25*(1-$K$2)+'10K'!$E25*$K$2</f>
        <v>0.98338631371386476</v>
      </c>
      <c r="F25" s="334">
        <f t="shared" si="3"/>
        <v>90.208370995456661</v>
      </c>
      <c r="G25" s="231">
        <v>23.764163240750026</v>
      </c>
      <c r="H25" s="224">
        <v>19</v>
      </c>
      <c r="I25" s="392" t="s">
        <v>2140</v>
      </c>
      <c r="J25" s="132" t="s">
        <v>2225</v>
      </c>
      <c r="K25" s="132" t="s">
        <v>2226</v>
      </c>
      <c r="L25" s="132" t="s">
        <v>1499</v>
      </c>
      <c r="M25" s="138">
        <v>30290</v>
      </c>
      <c r="N25" s="124"/>
      <c r="O25" s="121" t="s">
        <v>2227</v>
      </c>
      <c r="P25" s="395">
        <v>37345</v>
      </c>
      <c r="R25" s="333">
        <f t="shared" si="1"/>
        <v>2.0229018380057556E-2</v>
      </c>
      <c r="S25" s="224">
        <v>19</v>
      </c>
    </row>
    <row r="26" spans="1:19">
      <c r="A26" s="224">
        <v>20</v>
      </c>
      <c r="B26" s="248">
        <v>1.7696759259259259E-2</v>
      </c>
      <c r="C26" s="231">
        <f t="shared" si="2"/>
        <v>25.483333333333334</v>
      </c>
      <c r="D26" s="231">
        <f t="shared" si="0"/>
        <v>23.087673442392841</v>
      </c>
      <c r="E26" s="246">
        <f>'5K'!$E26*(1-$K$2)+'10K'!$E26*$K$2</f>
        <v>0.99259315685693239</v>
      </c>
      <c r="F26" s="334">
        <f t="shared" si="3"/>
        <v>90.599110957722075</v>
      </c>
      <c r="G26" s="231">
        <v>23.7</v>
      </c>
      <c r="H26" s="224">
        <v>20</v>
      </c>
      <c r="I26" s="392" t="s">
        <v>2138</v>
      </c>
      <c r="J26" s="132" t="s">
        <v>1209</v>
      </c>
      <c r="K26" s="132" t="s">
        <v>1213</v>
      </c>
      <c r="L26" s="132" t="s">
        <v>268</v>
      </c>
      <c r="M26" s="138">
        <v>31461</v>
      </c>
      <c r="N26" s="124"/>
      <c r="O26" s="121" t="s">
        <v>2228</v>
      </c>
      <c r="P26" s="395">
        <v>39032</v>
      </c>
    </row>
    <row r="27" spans="1:19">
      <c r="A27" s="224">
        <v>21</v>
      </c>
      <c r="B27" s="248">
        <v>1.7337962962962961E-2</v>
      </c>
      <c r="C27" s="231">
        <f t="shared" si="2"/>
        <v>24.966666666666665</v>
      </c>
      <c r="D27" s="231">
        <f t="shared" si="0"/>
        <v>22.95955068051865</v>
      </c>
      <c r="E27" s="246">
        <f>'5K'!$E27*(1-$K$2)+'10K'!$E27*$K$2</f>
        <v>0.99813219280948862</v>
      </c>
      <c r="F27" s="334">
        <f t="shared" si="3"/>
        <v>91.960817144934509</v>
      </c>
      <c r="G27" s="231">
        <v>23.7</v>
      </c>
      <c r="H27" s="224">
        <v>21</v>
      </c>
      <c r="I27" s="392" t="s">
        <v>2141</v>
      </c>
      <c r="J27" s="132" t="s">
        <v>2002</v>
      </c>
      <c r="K27" s="132" t="s">
        <v>2003</v>
      </c>
      <c r="L27" s="132" t="s">
        <v>272</v>
      </c>
      <c r="M27" s="138">
        <v>34374</v>
      </c>
      <c r="N27" s="124"/>
      <c r="O27" s="121" t="s">
        <v>2229</v>
      </c>
      <c r="P27" s="395">
        <v>42078</v>
      </c>
    </row>
    <row r="28" spans="1:19">
      <c r="A28" s="224">
        <v>22</v>
      </c>
      <c r="B28" s="248">
        <v>1.7777777777777778E-2</v>
      </c>
      <c r="C28" s="231">
        <f t="shared" si="2"/>
        <v>25.6</v>
      </c>
      <c r="D28" s="231">
        <f t="shared" si="0"/>
        <v>22.916666666666668</v>
      </c>
      <c r="E28" s="246">
        <f>'5K'!$E28*(1-$K$2)+'10K'!$E28*$K$2</f>
        <v>1</v>
      </c>
      <c r="F28" s="334">
        <f t="shared" si="3"/>
        <v>89.518229166666657</v>
      </c>
      <c r="G28" s="231">
        <v>23.7</v>
      </c>
      <c r="H28" s="224">
        <v>22</v>
      </c>
      <c r="I28" s="392" t="s">
        <v>2142</v>
      </c>
      <c r="J28" s="132" t="s">
        <v>1789</v>
      </c>
      <c r="K28" s="132" t="s">
        <v>2230</v>
      </c>
      <c r="L28" s="132" t="s">
        <v>268</v>
      </c>
      <c r="M28" s="138">
        <v>28684</v>
      </c>
      <c r="N28" s="124"/>
      <c r="O28" s="121" t="s">
        <v>2231</v>
      </c>
      <c r="P28" s="395">
        <v>37005</v>
      </c>
    </row>
    <row r="29" spans="1:19">
      <c r="A29" s="224">
        <v>23</v>
      </c>
      <c r="B29" s="248">
        <v>1.7465277777777777E-2</v>
      </c>
      <c r="C29" s="231">
        <f t="shared" si="2"/>
        <v>25.15</v>
      </c>
      <c r="D29" s="231">
        <f t="shared" si="0"/>
        <v>22.916666666666668</v>
      </c>
      <c r="E29" s="246">
        <f>'5K'!$E29*(1-$K$2)+'10K'!$E29*$K$2</f>
        <v>1</v>
      </c>
      <c r="F29" s="334">
        <f t="shared" si="3"/>
        <v>91.11994698475813</v>
      </c>
      <c r="G29" s="231">
        <v>23.7</v>
      </c>
      <c r="H29" s="224">
        <v>23</v>
      </c>
      <c r="I29" s="392" t="s">
        <v>2143</v>
      </c>
      <c r="J29" s="132" t="s">
        <v>290</v>
      </c>
      <c r="K29" s="132" t="s">
        <v>559</v>
      </c>
      <c r="L29" s="132" t="s">
        <v>291</v>
      </c>
      <c r="M29" s="138">
        <v>27150</v>
      </c>
      <c r="N29" s="124"/>
      <c r="O29" s="121" t="s">
        <v>557</v>
      </c>
      <c r="P29" s="395">
        <v>35582</v>
      </c>
    </row>
    <row r="30" spans="1:19">
      <c r="A30" s="224">
        <v>24</v>
      </c>
      <c r="B30" s="248">
        <v>1.7187499999999998E-2</v>
      </c>
      <c r="C30" s="231">
        <f t="shared" si="2"/>
        <v>24.749999999999996</v>
      </c>
      <c r="D30" s="231">
        <f t="shared" si="0"/>
        <v>22.916666666666668</v>
      </c>
      <c r="E30" s="246">
        <f>'5K'!$E30*(1-$K$2)+'10K'!$E30*$K$2</f>
        <v>1</v>
      </c>
      <c r="F30" s="334">
        <f t="shared" si="3"/>
        <v>92.592592592592609</v>
      </c>
      <c r="G30" s="231">
        <v>23.7</v>
      </c>
      <c r="H30" s="224">
        <v>24</v>
      </c>
      <c r="I30" s="392" t="s">
        <v>2144</v>
      </c>
      <c r="J30" s="132" t="s">
        <v>282</v>
      </c>
      <c r="K30" s="132" t="s">
        <v>554</v>
      </c>
      <c r="L30" s="132" t="s">
        <v>284</v>
      </c>
      <c r="M30" s="138">
        <v>27015</v>
      </c>
      <c r="N30" s="124"/>
      <c r="O30" s="121" t="s">
        <v>2227</v>
      </c>
      <c r="P30" s="395">
        <v>35896</v>
      </c>
    </row>
    <row r="31" spans="1:19">
      <c r="A31" s="224">
        <v>25</v>
      </c>
      <c r="B31" s="248">
        <v>1.699074074074074E-2</v>
      </c>
      <c r="C31" s="231">
        <f t="shared" si="2"/>
        <v>24.466666666666665</v>
      </c>
      <c r="D31" s="231">
        <f t="shared" si="0"/>
        <v>22.916666666666668</v>
      </c>
      <c r="E31" s="246">
        <f>'5K'!$E31*(1-$K$2)+'10K'!$E31*$K$2</f>
        <v>1</v>
      </c>
      <c r="F31" s="334">
        <f t="shared" si="3"/>
        <v>93.664850136239792</v>
      </c>
      <c r="G31" s="231">
        <v>23.7</v>
      </c>
      <c r="H31" s="224">
        <v>25</v>
      </c>
      <c r="I31" s="393" t="s">
        <v>2145</v>
      </c>
      <c r="J31" s="396" t="s">
        <v>2232</v>
      </c>
      <c r="K31" s="396" t="s">
        <v>2233</v>
      </c>
      <c r="L31" s="396" t="s">
        <v>2234</v>
      </c>
      <c r="M31" s="400">
        <v>28002</v>
      </c>
      <c r="N31" s="140"/>
      <c r="O31" s="122" t="s">
        <v>2224</v>
      </c>
      <c r="P31" s="182">
        <v>37450</v>
      </c>
    </row>
    <row r="32" spans="1:19">
      <c r="A32" s="224">
        <v>26</v>
      </c>
      <c r="B32" s="248">
        <v>1.7361111111111112E-2</v>
      </c>
      <c r="C32" s="231">
        <f t="shared" si="2"/>
        <v>25</v>
      </c>
      <c r="D32" s="231">
        <f t="shared" si="0"/>
        <v>22.916666666666668</v>
      </c>
      <c r="E32" s="246">
        <f>'5K'!$E32*(1-$K$2)+'10K'!$E32*$K$2</f>
        <v>1</v>
      </c>
      <c r="F32" s="334">
        <f t="shared" si="3"/>
        <v>91.666666666666671</v>
      </c>
      <c r="G32" s="231">
        <v>23.7</v>
      </c>
      <c r="H32" s="224">
        <v>26</v>
      </c>
      <c r="I32" s="392" t="s">
        <v>2146</v>
      </c>
      <c r="J32" s="132" t="s">
        <v>2235</v>
      </c>
      <c r="K32" s="132" t="s">
        <v>2236</v>
      </c>
      <c r="L32" s="132" t="s">
        <v>268</v>
      </c>
      <c r="M32" s="138">
        <v>32324</v>
      </c>
      <c r="N32" s="124"/>
      <c r="O32" s="121" t="s">
        <v>2229</v>
      </c>
      <c r="P32" s="395">
        <v>42078</v>
      </c>
    </row>
    <row r="33" spans="1:16">
      <c r="A33" s="224">
        <v>27</v>
      </c>
      <c r="B33" s="248">
        <v>1.7222222222222222E-2</v>
      </c>
      <c r="C33" s="231">
        <f t="shared" si="2"/>
        <v>24.8</v>
      </c>
      <c r="D33" s="231">
        <f t="shared" si="0"/>
        <v>22.93844214509857</v>
      </c>
      <c r="E33" s="246">
        <f>'5K'!$E33*(1-$K$2)+'10K'!$E33*$K$2</f>
        <v>0.9990506993328423</v>
      </c>
      <c r="F33" s="334">
        <f t="shared" si="3"/>
        <v>92.493718327010356</v>
      </c>
      <c r="G33" s="231">
        <v>23.7</v>
      </c>
      <c r="H33" s="224">
        <v>27</v>
      </c>
      <c r="I33" s="392" t="s">
        <v>2147</v>
      </c>
      <c r="J33" s="132" t="s">
        <v>549</v>
      </c>
      <c r="K33" s="132" t="s">
        <v>550</v>
      </c>
      <c r="L33" s="132" t="s">
        <v>339</v>
      </c>
      <c r="M33" s="138">
        <v>23521</v>
      </c>
      <c r="N33" s="124"/>
      <c r="O33" s="121" t="s">
        <v>509</v>
      </c>
      <c r="P33" s="395">
        <v>33734</v>
      </c>
    </row>
    <row r="34" spans="1:16">
      <c r="A34" s="224">
        <v>28</v>
      </c>
      <c r="B34" s="248">
        <v>1.744212962962963E-2</v>
      </c>
      <c r="C34" s="231">
        <f t="shared" si="2"/>
        <v>25.116666666666667</v>
      </c>
      <c r="D34" s="231">
        <f t="shared" si="0"/>
        <v>22.957139804627147</v>
      </c>
      <c r="E34" s="246">
        <f>'5K'!$E34*(1-$K$2)+'10K'!$E34*$K$2</f>
        <v>0.99823701304670709</v>
      </c>
      <c r="F34" s="334">
        <f t="shared" si="3"/>
        <v>91.402016474958785</v>
      </c>
      <c r="G34" s="231">
        <v>23.7</v>
      </c>
      <c r="H34" s="224">
        <v>28</v>
      </c>
      <c r="I34" s="392" t="s">
        <v>2148</v>
      </c>
      <c r="J34" s="132" t="s">
        <v>2237</v>
      </c>
      <c r="K34" s="132" t="s">
        <v>2238</v>
      </c>
      <c r="L34" s="132" t="s">
        <v>241</v>
      </c>
      <c r="M34" s="138">
        <v>22098</v>
      </c>
      <c r="N34" s="124"/>
      <c r="O34" s="121" t="s">
        <v>509</v>
      </c>
      <c r="P34" s="395">
        <v>32642</v>
      </c>
    </row>
    <row r="35" spans="1:16">
      <c r="A35" s="224">
        <v>29</v>
      </c>
      <c r="B35" s="248">
        <v>1.7361111111111112E-2</v>
      </c>
      <c r="C35" s="231">
        <f t="shared" si="2"/>
        <v>25</v>
      </c>
      <c r="D35" s="231">
        <f t="shared" si="0"/>
        <v>22.978992303020579</v>
      </c>
      <c r="E35" s="246">
        <f>'5K'!$E35*(1-$K$2)+'10K'!$E35*$K$2</f>
        <v>0.9972877123795495</v>
      </c>
      <c r="F35" s="334">
        <f t="shared" si="3"/>
        <v>91.915969212082317</v>
      </c>
      <c r="G35" s="231">
        <v>23.704740948189638</v>
      </c>
      <c r="H35" s="224">
        <v>29</v>
      </c>
      <c r="I35" s="392" t="s">
        <v>2146</v>
      </c>
      <c r="J35" s="132" t="s">
        <v>1545</v>
      </c>
      <c r="K35" s="132" t="s">
        <v>1546</v>
      </c>
      <c r="L35" s="132" t="s">
        <v>535</v>
      </c>
      <c r="M35" s="138">
        <v>19633</v>
      </c>
      <c r="N35" s="124"/>
      <c r="O35" s="121" t="s">
        <v>913</v>
      </c>
      <c r="P35" s="395">
        <v>30275</v>
      </c>
    </row>
    <row r="36" spans="1:16">
      <c r="A36" s="224">
        <v>30</v>
      </c>
      <c r="B36" s="248">
        <v>1.7164351851851851E-2</v>
      </c>
      <c r="C36" s="231">
        <f t="shared" si="2"/>
        <v>24.716666666666665</v>
      </c>
      <c r="D36" s="231">
        <f t="shared" si="0"/>
        <v>23.007149576786176</v>
      </c>
      <c r="E36" s="246">
        <f>'5K'!$E36*(1-$K$2)+'10K'!$E36*$K$2</f>
        <v>0.99606718295034669</v>
      </c>
      <c r="F36" s="334">
        <f t="shared" si="3"/>
        <v>93.083545152203001</v>
      </c>
      <c r="G36" s="231">
        <v>23.721349214292864</v>
      </c>
      <c r="H36" s="224">
        <v>30</v>
      </c>
      <c r="I36" s="392" t="s">
        <v>2149</v>
      </c>
      <c r="J36" s="132" t="s">
        <v>299</v>
      </c>
      <c r="K36" s="132" t="s">
        <v>2031</v>
      </c>
      <c r="L36" s="132" t="s">
        <v>301</v>
      </c>
      <c r="M36" s="138">
        <v>25535</v>
      </c>
      <c r="N36" s="124"/>
      <c r="O36" s="121" t="s">
        <v>2227</v>
      </c>
      <c r="P36" s="395">
        <v>36638</v>
      </c>
    </row>
    <row r="37" spans="1:16">
      <c r="A37" s="224">
        <v>31</v>
      </c>
      <c r="B37" s="248">
        <v>1.7395833333333336E-2</v>
      </c>
      <c r="C37" s="231">
        <f t="shared" si="2"/>
        <v>25.050000000000004</v>
      </c>
      <c r="D37" s="231">
        <f t="shared" si="0"/>
        <v>23.040753550144039</v>
      </c>
      <c r="E37" s="246">
        <f>'5K'!$E37*(1-$K$2)+'10K'!$E37*$K$2</f>
        <v>0.99461446071165516</v>
      </c>
      <c r="F37" s="334">
        <f t="shared" si="3"/>
        <v>91.979056088399346</v>
      </c>
      <c r="G37" s="231">
        <v>23.749874736947589</v>
      </c>
      <c r="H37" s="224">
        <v>31</v>
      </c>
      <c r="I37" s="392" t="s">
        <v>2150</v>
      </c>
      <c r="J37" s="132" t="s">
        <v>2239</v>
      </c>
      <c r="K37" s="132" t="s">
        <v>2240</v>
      </c>
      <c r="L37" s="132" t="s">
        <v>268</v>
      </c>
      <c r="M37" s="138">
        <v>31037</v>
      </c>
      <c r="N37" s="124"/>
      <c r="O37" s="121" t="s">
        <v>555</v>
      </c>
      <c r="P37" s="395">
        <v>42532</v>
      </c>
    </row>
    <row r="38" spans="1:16">
      <c r="A38" s="224">
        <v>32</v>
      </c>
      <c r="B38" s="248">
        <v>1.7083333333333336E-2</v>
      </c>
      <c r="C38" s="231">
        <f t="shared" si="2"/>
        <v>24.600000000000005</v>
      </c>
      <c r="D38" s="231">
        <f t="shared" si="0"/>
        <v>23.086747491876402</v>
      </c>
      <c r="E38" s="246">
        <f>'5K'!$E38*(1-$K$2)+'10K'!$E38*$K$2</f>
        <v>0.99263296723500871</v>
      </c>
      <c r="F38" s="334">
        <f t="shared" si="3"/>
        <v>93.848567040147955</v>
      </c>
      <c r="G38" s="231">
        <v>23.790403533427021</v>
      </c>
      <c r="H38" s="224">
        <v>32</v>
      </c>
      <c r="I38" s="392" t="s">
        <v>2151</v>
      </c>
      <c r="J38" s="132" t="s">
        <v>316</v>
      </c>
      <c r="K38" s="132" t="s">
        <v>1910</v>
      </c>
      <c r="L38" s="132" t="s">
        <v>241</v>
      </c>
      <c r="M38" s="138">
        <v>26709</v>
      </c>
      <c r="N38" s="124" t="s">
        <v>2241</v>
      </c>
      <c r="O38" s="121" t="s">
        <v>895</v>
      </c>
      <c r="P38" s="395">
        <v>38445</v>
      </c>
    </row>
    <row r="39" spans="1:16">
      <c r="A39" s="224">
        <v>33</v>
      </c>
      <c r="B39" s="248">
        <v>1.7627314814814814E-2</v>
      </c>
      <c r="C39" s="231">
        <f t="shared" si="2"/>
        <v>25.383333333333333</v>
      </c>
      <c r="D39" s="231">
        <f t="shared" si="0"/>
        <v>23.144526957099352</v>
      </c>
      <c r="E39" s="246">
        <f>'5K'!$E39*(1-$K$2)+'10K'!$E39*$K$2</f>
        <v>0.99015489532989609</v>
      </c>
      <c r="F39" s="334">
        <f t="shared" si="3"/>
        <v>91.180014276162908</v>
      </c>
      <c r="G39" s="231">
        <v>23.840659893370887</v>
      </c>
      <c r="H39" s="224">
        <v>33</v>
      </c>
      <c r="I39" s="392" t="s">
        <v>2152</v>
      </c>
      <c r="J39" s="132" t="s">
        <v>296</v>
      </c>
      <c r="K39" s="132" t="s">
        <v>297</v>
      </c>
      <c r="L39" s="132" t="s">
        <v>241</v>
      </c>
      <c r="M39" s="138">
        <v>21798</v>
      </c>
      <c r="N39" s="124"/>
      <c r="O39" s="121" t="s">
        <v>555</v>
      </c>
      <c r="P39" s="395">
        <v>33969</v>
      </c>
    </row>
    <row r="40" spans="1:16">
      <c r="A40" s="224">
        <v>34</v>
      </c>
      <c r="B40" s="248">
        <v>1.7187499999999998E-2</v>
      </c>
      <c r="C40" s="231">
        <f t="shared" si="2"/>
        <v>24.749999999999996</v>
      </c>
      <c r="D40" s="231">
        <f t="shared" si="0"/>
        <v>23.211079260004276</v>
      </c>
      <c r="E40" s="246">
        <f>'5K'!$E40*(1-$K$2)+'10K'!$E40*$K$2</f>
        <v>0.98731585937733979</v>
      </c>
      <c r="F40" s="334">
        <f t="shared" si="3"/>
        <v>93.782138424259713</v>
      </c>
      <c r="G40" s="231">
        <v>23.903177004538577</v>
      </c>
      <c r="H40" s="224">
        <v>34</v>
      </c>
      <c r="I40" s="392" t="s">
        <v>2144</v>
      </c>
      <c r="J40" s="132" t="s">
        <v>564</v>
      </c>
      <c r="K40" s="132" t="s">
        <v>565</v>
      </c>
      <c r="L40" s="132" t="s">
        <v>241</v>
      </c>
      <c r="M40" s="138">
        <v>29775</v>
      </c>
      <c r="N40" s="124"/>
      <c r="O40" s="121" t="s">
        <v>279</v>
      </c>
      <c r="P40" s="395">
        <v>42547</v>
      </c>
    </row>
    <row r="41" spans="1:16">
      <c r="A41" s="224">
        <v>35</v>
      </c>
      <c r="B41" s="248">
        <v>1.7858796296296296E-2</v>
      </c>
      <c r="C41" s="231">
        <f t="shared" si="2"/>
        <v>25.716666666666665</v>
      </c>
      <c r="D41" s="231">
        <f t="shared" ref="D41:D72" si="4">E$4/E41</f>
        <v>23.290524957831138</v>
      </c>
      <c r="E41" s="246">
        <f>'5K'!$E41*(1-$K$2)+'10K'!$E41*$K$2</f>
        <v>0.98394805218682857</v>
      </c>
      <c r="F41" s="334">
        <f t="shared" si="3"/>
        <v>90.565877995454855</v>
      </c>
      <c r="G41" s="231">
        <v>23.97814649939296</v>
      </c>
      <c r="H41" s="224">
        <v>35</v>
      </c>
      <c r="I41" s="392" t="s">
        <v>2153</v>
      </c>
      <c r="J41" s="132" t="s">
        <v>2024</v>
      </c>
      <c r="K41" s="132" t="s">
        <v>2242</v>
      </c>
      <c r="L41" s="132" t="s">
        <v>320</v>
      </c>
      <c r="M41" s="138">
        <v>20852</v>
      </c>
      <c r="N41" s="124"/>
      <c r="O41" s="121" t="s">
        <v>2243</v>
      </c>
      <c r="P41" s="395">
        <v>33851</v>
      </c>
    </row>
    <row r="42" spans="1:16">
      <c r="A42" s="224">
        <v>36</v>
      </c>
      <c r="B42" s="248">
        <v>1.7199074074074071E-2</v>
      </c>
      <c r="C42" s="231">
        <f t="shared" si="2"/>
        <v>24.766666666666662</v>
      </c>
      <c r="D42" s="231">
        <f t="shared" si="4"/>
        <v>23.379890373956716</v>
      </c>
      <c r="E42" s="246">
        <f>'5K'!$E42*(1-$K$2)+'10K'!$E42*$K$2</f>
        <v>0.98018708813938482</v>
      </c>
      <c r="F42" s="334">
        <f t="shared" si="3"/>
        <v>94.400634080578953</v>
      </c>
      <c r="G42" s="231">
        <v>24.063356685957963</v>
      </c>
      <c r="H42" s="224">
        <v>36</v>
      </c>
      <c r="I42" s="392" t="s">
        <v>2154</v>
      </c>
      <c r="J42" s="132" t="s">
        <v>787</v>
      </c>
      <c r="K42" s="132" t="s">
        <v>788</v>
      </c>
      <c r="L42" s="132" t="s">
        <v>268</v>
      </c>
      <c r="M42" s="138">
        <v>29113</v>
      </c>
      <c r="N42" s="124" t="s">
        <v>2244</v>
      </c>
      <c r="O42" s="121" t="s">
        <v>279</v>
      </c>
      <c r="P42" s="395">
        <v>42547</v>
      </c>
    </row>
    <row r="43" spans="1:16">
      <c r="A43" s="224">
        <v>37</v>
      </c>
      <c r="B43" s="248">
        <v>1.8252314814814815E-2</v>
      </c>
      <c r="C43" s="231">
        <f t="shared" si="2"/>
        <v>26.283333333333335</v>
      </c>
      <c r="D43" s="231">
        <f t="shared" si="4"/>
        <v>23.483517964877741</v>
      </c>
      <c r="E43" s="246">
        <f>'5K'!$E43*(1-$K$2)+'10K'!$E43*$K$2</f>
        <v>0.97586173847296376</v>
      </c>
      <c r="F43" s="334">
        <f t="shared" si="3"/>
        <v>89.347563594969202</v>
      </c>
      <c r="G43" s="231">
        <v>24.161484351106125</v>
      </c>
      <c r="H43" s="224">
        <v>37</v>
      </c>
      <c r="I43" s="392" t="s">
        <v>2155</v>
      </c>
      <c r="J43" s="132" t="s">
        <v>2039</v>
      </c>
      <c r="K43" s="132" t="s">
        <v>2040</v>
      </c>
      <c r="L43" s="132" t="s">
        <v>328</v>
      </c>
      <c r="M43" s="138">
        <v>22024</v>
      </c>
      <c r="N43" s="124"/>
      <c r="O43" s="121" t="s">
        <v>2245</v>
      </c>
      <c r="P43" s="395">
        <v>35708</v>
      </c>
    </row>
    <row r="44" spans="1:16">
      <c r="A44" s="224">
        <v>38</v>
      </c>
      <c r="B44" s="248">
        <v>1.8171296296296297E-2</v>
      </c>
      <c r="C44" s="231">
        <f t="shared" si="2"/>
        <v>26.166666666666668</v>
      </c>
      <c r="D44" s="231">
        <f t="shared" si="4"/>
        <v>23.597617645607755</v>
      </c>
      <c r="E44" s="246">
        <f>'5K'!$E44*(1-$K$2)+'10K'!$E44*$K$2</f>
        <v>0.97114323194961027</v>
      </c>
      <c r="F44" s="334">
        <f t="shared" ref="F44:F75" si="5">100*(D44/C44)</f>
        <v>90.181978263469119</v>
      </c>
      <c r="G44" s="231">
        <v>24.272839000409665</v>
      </c>
      <c r="H44" s="224">
        <v>38</v>
      </c>
      <c r="I44" s="392" t="s">
        <v>2136</v>
      </c>
      <c r="J44" s="132" t="s">
        <v>2237</v>
      </c>
      <c r="K44" s="132" t="s">
        <v>2238</v>
      </c>
      <c r="L44" s="132" t="s">
        <v>241</v>
      </c>
      <c r="M44" s="138">
        <v>22098</v>
      </c>
      <c r="N44" s="124"/>
      <c r="O44" s="121" t="s">
        <v>741</v>
      </c>
      <c r="P44" s="395">
        <v>36197</v>
      </c>
    </row>
    <row r="45" spans="1:16">
      <c r="A45" s="224">
        <v>39</v>
      </c>
      <c r="B45" s="248">
        <v>1.7650462962962962E-2</v>
      </c>
      <c r="C45" s="231">
        <f t="shared" si="2"/>
        <v>25.416666666666664</v>
      </c>
      <c r="D45" s="231">
        <f t="shared" si="4"/>
        <v>23.72335677733027</v>
      </c>
      <c r="E45" s="246">
        <f>'5K'!$E45*(1-$K$2)+'10K'!$E45*$K$2</f>
        <v>0.96599595418830164</v>
      </c>
      <c r="F45" s="334">
        <f t="shared" si="5"/>
        <v>93.337797156709271</v>
      </c>
      <c r="G45" s="231">
        <v>24.397776405188385</v>
      </c>
      <c r="H45" s="224">
        <v>39</v>
      </c>
      <c r="I45" s="392" t="s">
        <v>2156</v>
      </c>
      <c r="J45" s="132" t="s">
        <v>1602</v>
      </c>
      <c r="K45" s="132" t="s">
        <v>2246</v>
      </c>
      <c r="L45" s="132" t="s">
        <v>791</v>
      </c>
      <c r="M45" s="138">
        <v>24928</v>
      </c>
      <c r="N45" s="124"/>
      <c r="O45" s="121" t="s">
        <v>2247</v>
      </c>
      <c r="P45" s="395">
        <v>39274</v>
      </c>
    </row>
    <row r="46" spans="1:16">
      <c r="A46" s="224">
        <v>40</v>
      </c>
      <c r="B46" s="248">
        <v>1.8275462962962962E-2</v>
      </c>
      <c r="C46" s="231">
        <f t="shared" si="2"/>
        <v>26.316666666666666</v>
      </c>
      <c r="D46" s="231">
        <f t="shared" si="4"/>
        <v>23.863575609375236</v>
      </c>
      <c r="E46" s="246">
        <f>'5K'!$E46*(1-$K$2)+'10K'!$E46*$K$2</f>
        <v>0.96031990518903809</v>
      </c>
      <c r="F46" s="334">
        <f t="shared" si="5"/>
        <v>90.678564696802667</v>
      </c>
      <c r="G46" s="231">
        <v>24.534161490683228</v>
      </c>
      <c r="H46" s="224">
        <v>40</v>
      </c>
      <c r="I46" s="392" t="s">
        <v>2157</v>
      </c>
      <c r="J46" s="132" t="s">
        <v>665</v>
      </c>
      <c r="K46" s="132" t="s">
        <v>2248</v>
      </c>
      <c r="L46" s="132" t="s">
        <v>241</v>
      </c>
      <c r="M46" s="138">
        <v>20887</v>
      </c>
      <c r="N46" s="124"/>
      <c r="O46" s="121" t="s">
        <v>2249</v>
      </c>
      <c r="P46" s="395">
        <v>35623</v>
      </c>
    </row>
    <row r="47" spans="1:16">
      <c r="A47" s="224">
        <v>41</v>
      </c>
      <c r="B47" s="248">
        <v>1.8229166666666668E-2</v>
      </c>
      <c r="C47" s="231">
        <f t="shared" si="2"/>
        <v>26.25</v>
      </c>
      <c r="D47" s="231">
        <f t="shared" si="4"/>
        <v>24.016248567086713</v>
      </c>
      <c r="E47" s="246">
        <f>'5K'!$E47*(1-$K$2)+'10K'!$E47*$K$2</f>
        <v>0.95421508495181973</v>
      </c>
      <c r="F47" s="334">
        <f t="shared" si="5"/>
        <v>91.490470731758904</v>
      </c>
      <c r="G47" s="231">
        <v>24.684928653265285</v>
      </c>
      <c r="H47" s="224">
        <v>41</v>
      </c>
      <c r="I47" s="392" t="s">
        <v>2158</v>
      </c>
      <c r="J47" s="132" t="s">
        <v>2250</v>
      </c>
      <c r="K47" s="132" t="s">
        <v>2251</v>
      </c>
      <c r="L47" s="132" t="s">
        <v>320</v>
      </c>
      <c r="M47" s="138">
        <v>22636</v>
      </c>
      <c r="N47" s="124" t="s">
        <v>2252</v>
      </c>
      <c r="O47" s="121" t="s">
        <v>2253</v>
      </c>
      <c r="P47" s="395">
        <v>37695</v>
      </c>
    </row>
    <row r="48" spans="1:16">
      <c r="A48" s="224">
        <v>42</v>
      </c>
      <c r="B48" s="248">
        <v>1.8159722222222219E-2</v>
      </c>
      <c r="C48" s="231">
        <f t="shared" si="2"/>
        <v>26.149999999999995</v>
      </c>
      <c r="D48" s="231">
        <f t="shared" si="4"/>
        <v>24.182645046572642</v>
      </c>
      <c r="E48" s="246">
        <f>'5K'!$E48*(1-$K$2)+'10K'!$E48*$K$2</f>
        <v>0.94764930066715769</v>
      </c>
      <c r="F48" s="334">
        <f t="shared" si="5"/>
        <v>92.476654097792149</v>
      </c>
      <c r="G48" s="231">
        <v>24.850581944007548</v>
      </c>
      <c r="H48" s="224">
        <v>42</v>
      </c>
      <c r="I48" s="392" t="s">
        <v>2159</v>
      </c>
      <c r="J48" s="185" t="s">
        <v>787</v>
      </c>
      <c r="K48" s="167" t="s">
        <v>559</v>
      </c>
      <c r="L48" s="185" t="s">
        <v>268</v>
      </c>
      <c r="M48" s="138">
        <v>29174</v>
      </c>
      <c r="N48" s="167" t="s">
        <v>2254</v>
      </c>
      <c r="O48" s="185" t="s">
        <v>668</v>
      </c>
      <c r="P48" s="397">
        <v>44738</v>
      </c>
    </row>
    <row r="49" spans="1:16">
      <c r="A49" s="224">
        <v>43</v>
      </c>
      <c r="B49" s="248">
        <v>1.8483796296296297E-2</v>
      </c>
      <c r="C49" s="231">
        <f t="shared" si="2"/>
        <v>26.616666666666667</v>
      </c>
      <c r="D49" s="231">
        <f t="shared" si="4"/>
        <v>24.362463257595433</v>
      </c>
      <c r="E49" s="246">
        <f>'5K'!$E49*(1-$K$2)+'10K'!$E49*$K$2</f>
        <v>0.94065474514454062</v>
      </c>
      <c r="F49" s="334">
        <f t="shared" si="5"/>
        <v>91.530857573934</v>
      </c>
      <c r="G49" s="231">
        <v>25.031685678073512</v>
      </c>
      <c r="H49" s="224">
        <v>43</v>
      </c>
      <c r="I49" s="392" t="s">
        <v>2160</v>
      </c>
      <c r="J49" s="132" t="s">
        <v>318</v>
      </c>
      <c r="K49" s="132" t="s">
        <v>1570</v>
      </c>
      <c r="L49" s="132" t="s">
        <v>320</v>
      </c>
      <c r="M49" s="138">
        <v>22400</v>
      </c>
      <c r="N49" s="124" t="s">
        <v>2255</v>
      </c>
      <c r="O49" s="121" t="s">
        <v>745</v>
      </c>
      <c r="P49" s="395">
        <v>38312</v>
      </c>
    </row>
    <row r="50" spans="1:16">
      <c r="A50" s="224">
        <v>44</v>
      </c>
      <c r="B50" s="248">
        <v>1.8356481481481481E-2</v>
      </c>
      <c r="C50" s="231">
        <f t="shared" si="2"/>
        <v>26.433333333333334</v>
      </c>
      <c r="D50" s="231">
        <f t="shared" si="4"/>
        <v>24.553711819353133</v>
      </c>
      <c r="E50" s="246">
        <f>'5K'!$E50*(1-$K$2)+'10K'!$E50*$K$2</f>
        <v>0.93332799681243495</v>
      </c>
      <c r="F50" s="334">
        <f t="shared" si="5"/>
        <v>92.889199821008077</v>
      </c>
      <c r="G50" s="231">
        <v>25.226184140500266</v>
      </c>
      <c r="H50" s="224">
        <v>44</v>
      </c>
      <c r="I50" s="392" t="s">
        <v>2161</v>
      </c>
      <c r="J50" s="132" t="s">
        <v>583</v>
      </c>
      <c r="K50" s="132" t="s">
        <v>584</v>
      </c>
      <c r="L50" s="132" t="s">
        <v>241</v>
      </c>
      <c r="M50" s="138">
        <v>16398</v>
      </c>
      <c r="N50" s="124"/>
      <c r="O50" s="121" t="s">
        <v>509</v>
      </c>
      <c r="P50" s="395">
        <v>32642</v>
      </c>
    </row>
    <row r="51" spans="1:16">
      <c r="A51" s="224">
        <v>45</v>
      </c>
      <c r="B51" s="248">
        <v>1.8703703703703705E-2</v>
      </c>
      <c r="C51" s="231">
        <f t="shared" si="2"/>
        <v>26.933333333333334</v>
      </c>
      <c r="D51" s="231">
        <f t="shared" si="4"/>
        <v>24.755237681112053</v>
      </c>
      <c r="E51" s="246">
        <f>'5K'!$E51*(1-$K$2)+'10K'!$E51*$K$2</f>
        <v>0.92573001971828406</v>
      </c>
      <c r="F51" s="334">
        <f t="shared" si="5"/>
        <v>91.913011192247723</v>
      </c>
      <c r="G51" s="231">
        <v>25.437372544810561</v>
      </c>
      <c r="H51" s="224">
        <v>45</v>
      </c>
      <c r="I51" s="392" t="s">
        <v>2162</v>
      </c>
      <c r="J51" s="132" t="s">
        <v>583</v>
      </c>
      <c r="K51" s="132" t="s">
        <v>584</v>
      </c>
      <c r="L51" s="132" t="s">
        <v>241</v>
      </c>
      <c r="M51" s="138">
        <v>16398</v>
      </c>
      <c r="N51" s="124"/>
      <c r="O51" s="121" t="s">
        <v>509</v>
      </c>
      <c r="P51" s="395">
        <v>33006</v>
      </c>
    </row>
    <row r="52" spans="1:16">
      <c r="A52" s="224">
        <v>46</v>
      </c>
      <c r="B52" s="248">
        <v>1.9664351851851853E-2</v>
      </c>
      <c r="C52" s="231">
        <f t="shared" si="2"/>
        <v>28.31666666666667</v>
      </c>
      <c r="D52" s="231">
        <f t="shared" si="4"/>
        <v>24.966505982085643</v>
      </c>
      <c r="E52" s="246">
        <f>'5K'!$E52*(1-$K$2)+'10K'!$E52*$K$2</f>
        <v>0.91789642824311068</v>
      </c>
      <c r="F52" s="334">
        <f t="shared" si="5"/>
        <v>88.16894402149137</v>
      </c>
      <c r="G52" s="231">
        <v>25.666016894087068</v>
      </c>
      <c r="H52" s="224">
        <v>46</v>
      </c>
      <c r="I52" s="392" t="s">
        <v>2163</v>
      </c>
      <c r="J52" s="132" t="s">
        <v>1252</v>
      </c>
      <c r="K52" s="132" t="s">
        <v>2256</v>
      </c>
      <c r="L52" s="132" t="s">
        <v>400</v>
      </c>
      <c r="M52" s="138">
        <v>24882</v>
      </c>
      <c r="N52" s="124"/>
      <c r="O52" s="121" t="s">
        <v>2257</v>
      </c>
      <c r="P52" s="395">
        <v>42015</v>
      </c>
    </row>
    <row r="53" spans="1:16">
      <c r="A53" s="224">
        <v>47</v>
      </c>
      <c r="B53" s="248">
        <v>1.8726851851851852E-2</v>
      </c>
      <c r="C53" s="231">
        <f t="shared" si="2"/>
        <v>26.966666666666669</v>
      </c>
      <c r="D53" s="231">
        <f t="shared" si="4"/>
        <v>25.186150157918881</v>
      </c>
      <c r="E53" s="246">
        <f>'5K'!$E53*(1-$K$2)+'10K'!$E53*$K$2</f>
        <v>0.90989160800589231</v>
      </c>
      <c r="F53" s="334">
        <f t="shared" si="5"/>
        <v>93.397342983629954</v>
      </c>
      <c r="G53" s="231">
        <v>25.910134470318138</v>
      </c>
      <c r="H53" s="224">
        <v>47</v>
      </c>
      <c r="I53" s="392" t="s">
        <v>2164</v>
      </c>
      <c r="J53" s="132" t="s">
        <v>326</v>
      </c>
      <c r="K53" s="132" t="s">
        <v>580</v>
      </c>
      <c r="L53" s="132" t="s">
        <v>328</v>
      </c>
      <c r="M53" s="138">
        <v>20152</v>
      </c>
      <c r="N53" s="124" t="s">
        <v>2252</v>
      </c>
      <c r="O53" s="121" t="s">
        <v>2253</v>
      </c>
      <c r="P53" s="395">
        <v>37331</v>
      </c>
    </row>
    <row r="54" spans="1:16">
      <c r="A54" s="224">
        <v>48</v>
      </c>
      <c r="B54" s="248">
        <v>1.800925925925926E-2</v>
      </c>
      <c r="C54" s="231">
        <f t="shared" si="2"/>
        <v>25.933333333333334</v>
      </c>
      <c r="D54" s="231">
        <f t="shared" si="4"/>
        <v>25.415425775589018</v>
      </c>
      <c r="E54" s="246">
        <f>'5K'!$E54*(1-$K$2)+'10K'!$E54*$K$2</f>
        <v>0.90168336619714018</v>
      </c>
      <c r="F54" s="334">
        <f t="shared" si="5"/>
        <v>98.002927155227567</v>
      </c>
      <c r="G54" s="231">
        <v>26.173384870237438</v>
      </c>
      <c r="H54" s="224">
        <v>48</v>
      </c>
      <c r="I54" s="392" t="s">
        <v>2165</v>
      </c>
      <c r="J54" s="132" t="s">
        <v>326</v>
      </c>
      <c r="K54" s="132" t="s">
        <v>580</v>
      </c>
      <c r="L54" s="132" t="s">
        <v>328</v>
      </c>
      <c r="M54" s="138">
        <v>20152</v>
      </c>
      <c r="N54" s="124" t="s">
        <v>2252</v>
      </c>
      <c r="O54" s="121" t="s">
        <v>2253</v>
      </c>
      <c r="P54" s="395">
        <v>37695</v>
      </c>
    </row>
    <row r="55" spans="1:16">
      <c r="A55" s="224">
        <v>49</v>
      </c>
      <c r="B55" s="248">
        <v>1.8101851851851852E-2</v>
      </c>
      <c r="C55" s="231">
        <f t="shared" si="2"/>
        <v>26.066666666666666</v>
      </c>
      <c r="D55" s="231">
        <f t="shared" si="4"/>
        <v>25.654754980372672</v>
      </c>
      <c r="E55" s="246">
        <f>'5K'!$E55*(1-$K$2)+'10K'!$E55*$K$2</f>
        <v>0.8932717028168542</v>
      </c>
      <c r="F55" s="334">
        <f t="shared" si="5"/>
        <v>98.419776139537106</v>
      </c>
      <c r="G55" s="231">
        <v>26.456798392498325</v>
      </c>
      <c r="H55" s="224">
        <v>49</v>
      </c>
      <c r="I55" s="392" t="s">
        <v>2166</v>
      </c>
      <c r="J55" s="132" t="s">
        <v>326</v>
      </c>
      <c r="K55" s="132" t="s">
        <v>580</v>
      </c>
      <c r="L55" s="132" t="s">
        <v>328</v>
      </c>
      <c r="M55" s="138">
        <v>20152</v>
      </c>
      <c r="N55" s="124" t="s">
        <v>2252</v>
      </c>
      <c r="O55" s="121" t="s">
        <v>2253</v>
      </c>
      <c r="P55" s="395">
        <v>38066</v>
      </c>
    </row>
    <row r="56" spans="1:16">
      <c r="A56" s="224">
        <v>50</v>
      </c>
      <c r="B56" s="248">
        <v>1.8530092592592595E-2</v>
      </c>
      <c r="C56" s="231">
        <f t="shared" si="2"/>
        <v>26.683333333333337</v>
      </c>
      <c r="D56" s="231">
        <f t="shared" si="4"/>
        <v>25.906575337746002</v>
      </c>
      <c r="E56" s="246">
        <f>'5K'!$E56*(1-$K$2)+'10K'!$E56*$K$2</f>
        <v>0.88458881067452311</v>
      </c>
      <c r="F56" s="334">
        <f t="shared" si="5"/>
        <v>97.088976905981255</v>
      </c>
      <c r="G56" s="231">
        <v>26.752455130375889</v>
      </c>
      <c r="H56" s="224">
        <v>50</v>
      </c>
      <c r="I56" s="392" t="s">
        <v>2167</v>
      </c>
      <c r="J56" s="132" t="s">
        <v>326</v>
      </c>
      <c r="K56" s="132" t="s">
        <v>580</v>
      </c>
      <c r="L56" s="132" t="s">
        <v>328</v>
      </c>
      <c r="M56" s="138">
        <v>20152</v>
      </c>
      <c r="N56" s="124" t="s">
        <v>2252</v>
      </c>
      <c r="O56" s="121" t="s">
        <v>2253</v>
      </c>
      <c r="P56" s="395">
        <v>38430</v>
      </c>
    </row>
    <row r="57" spans="1:16">
      <c r="A57" s="224">
        <v>51</v>
      </c>
      <c r="B57" s="248">
        <v>2.0231481481481482E-2</v>
      </c>
      <c r="C57" s="231">
        <f t="shared" si="2"/>
        <v>29.133333333333333</v>
      </c>
      <c r="D57" s="231">
        <f t="shared" si="4"/>
        <v>26.16946593872305</v>
      </c>
      <c r="E57" s="246">
        <f>'5K'!$E57*(1-$K$2)+'10K'!$E57*$K$2</f>
        <v>0.87570249696065816</v>
      </c>
      <c r="F57" s="334">
        <f t="shared" si="5"/>
        <v>89.826542123763332</v>
      </c>
      <c r="G57" s="231">
        <v>27.051706426207055</v>
      </c>
      <c r="H57" s="224">
        <v>51</v>
      </c>
      <c r="I57" s="392" t="s">
        <v>2168</v>
      </c>
      <c r="J57" s="132" t="s">
        <v>337</v>
      </c>
      <c r="K57" s="132" t="s">
        <v>604</v>
      </c>
      <c r="L57" s="132" t="s">
        <v>339</v>
      </c>
      <c r="M57" s="138">
        <v>22396</v>
      </c>
      <c r="N57" s="124"/>
      <c r="O57" s="121" t="s">
        <v>340</v>
      </c>
      <c r="P57" s="395">
        <v>41066</v>
      </c>
    </row>
    <row r="58" spans="1:16">
      <c r="A58" s="224">
        <v>52</v>
      </c>
      <c r="B58" s="248">
        <v>1.9722222222222221E-2</v>
      </c>
      <c r="C58" s="231">
        <f t="shared" si="2"/>
        <v>28.4</v>
      </c>
      <c r="D58" s="231">
        <f t="shared" si="4"/>
        <v>26.443952455034449</v>
      </c>
      <c r="E58" s="246">
        <f>'5K'!$E58*(1-$K$2)+'10K'!$E58*$K$2</f>
        <v>0.86661276167525969</v>
      </c>
      <c r="F58" s="334">
        <f t="shared" si="5"/>
        <v>93.112508644487505</v>
      </c>
      <c r="G58" s="231">
        <v>27.360886631262989</v>
      </c>
      <c r="H58" s="224">
        <v>52</v>
      </c>
      <c r="I58" s="392" t="s">
        <v>2169</v>
      </c>
      <c r="J58" s="132" t="s">
        <v>337</v>
      </c>
      <c r="K58" s="132" t="s">
        <v>604</v>
      </c>
      <c r="L58" s="132" t="s">
        <v>339</v>
      </c>
      <c r="M58" s="138">
        <v>22396</v>
      </c>
      <c r="N58" s="124"/>
      <c r="O58" s="121" t="s">
        <v>2258</v>
      </c>
      <c r="P58" s="395">
        <v>41458</v>
      </c>
    </row>
    <row r="59" spans="1:16">
      <c r="A59" s="224">
        <v>53</v>
      </c>
      <c r="B59" s="248">
        <v>2.0682870370370372E-2</v>
      </c>
      <c r="C59" s="231">
        <f t="shared" si="2"/>
        <v>29.783333333333335</v>
      </c>
      <c r="D59" s="231">
        <f t="shared" si="4"/>
        <v>26.730599111311456</v>
      </c>
      <c r="E59" s="246">
        <f>'5K'!$E59*(1-$K$2)+'10K'!$E59*$K$2</f>
        <v>0.85731960481832725</v>
      </c>
      <c r="F59" s="334">
        <f t="shared" si="5"/>
        <v>89.750192875136392</v>
      </c>
      <c r="G59" s="231">
        <v>27.677215928996848</v>
      </c>
      <c r="H59" s="224">
        <v>53</v>
      </c>
      <c r="I59" s="392" t="s">
        <v>2170</v>
      </c>
      <c r="J59" s="132" t="s">
        <v>609</v>
      </c>
      <c r="K59" s="132" t="s">
        <v>610</v>
      </c>
      <c r="L59" s="132" t="s">
        <v>578</v>
      </c>
      <c r="M59" s="138">
        <v>21934</v>
      </c>
      <c r="N59" s="124"/>
      <c r="O59" s="121" t="s">
        <v>2259</v>
      </c>
      <c r="P59" s="395">
        <v>41637</v>
      </c>
    </row>
    <row r="60" spans="1:16">
      <c r="A60" s="224">
        <v>54</v>
      </c>
      <c r="B60" s="248">
        <v>2.0509259259259258E-2</v>
      </c>
      <c r="C60" s="231">
        <f t="shared" si="2"/>
        <v>29.533333333333331</v>
      </c>
      <c r="D60" s="231">
        <f t="shared" si="4"/>
        <v>27.032174084767046</v>
      </c>
      <c r="E60" s="246">
        <f>'5K'!$E60*(1-$K$2)+'10K'!$E60*$K$2</f>
        <v>0.84775521919934971</v>
      </c>
      <c r="F60" s="334">
        <f t="shared" si="5"/>
        <v>91.531063492439216</v>
      </c>
      <c r="G60" s="231">
        <v>27.997637330183107</v>
      </c>
      <c r="H60" s="224">
        <v>54</v>
      </c>
      <c r="I60" s="392" t="s">
        <v>2171</v>
      </c>
      <c r="J60" s="132" t="s">
        <v>375</v>
      </c>
      <c r="K60" s="132" t="s">
        <v>1608</v>
      </c>
      <c r="L60" s="132" t="s">
        <v>339</v>
      </c>
      <c r="M60" s="138">
        <v>18021</v>
      </c>
      <c r="N60" s="124"/>
      <c r="O60" s="121" t="s">
        <v>2258</v>
      </c>
      <c r="P60" s="395">
        <v>37810</v>
      </c>
    </row>
    <row r="61" spans="1:16">
      <c r="A61" s="224">
        <v>55</v>
      </c>
      <c r="B61" s="248">
        <v>2.1319444444444443E-2</v>
      </c>
      <c r="C61" s="231">
        <f t="shared" si="2"/>
        <v>30.7</v>
      </c>
      <c r="D61" s="231">
        <f t="shared" si="4"/>
        <v>27.345055721460088</v>
      </c>
      <c r="E61" s="246">
        <f>'5K'!$E61*(1-$K$2)+'10K'!$E61*$K$2</f>
        <v>0.83805521919934978</v>
      </c>
      <c r="F61" s="334">
        <f t="shared" si="5"/>
        <v>89.071842740912345</v>
      </c>
      <c r="G61" s="231">
        <v>28.328950513985177</v>
      </c>
      <c r="H61" s="224">
        <v>55</v>
      </c>
      <c r="I61" s="392" t="s">
        <v>2172</v>
      </c>
      <c r="J61" s="132" t="s">
        <v>829</v>
      </c>
      <c r="K61" s="132" t="s">
        <v>914</v>
      </c>
      <c r="L61" s="132" t="s">
        <v>241</v>
      </c>
      <c r="M61" s="138">
        <v>15914</v>
      </c>
      <c r="N61" s="124"/>
      <c r="O61" s="121" t="s">
        <v>2260</v>
      </c>
      <c r="P61" s="395">
        <v>36015</v>
      </c>
    </row>
    <row r="62" spans="1:16">
      <c r="A62" s="224">
        <v>56</v>
      </c>
      <c r="B62" s="248">
        <v>2.0937499999999998E-2</v>
      </c>
      <c r="C62" s="231">
        <f t="shared" si="2"/>
        <v>30.15</v>
      </c>
      <c r="D62" s="231">
        <f t="shared" si="4"/>
        <v>27.67540235081648</v>
      </c>
      <c r="E62" s="246">
        <f>'5K'!$E62*(1-$K$2)+'10K'!$E62*$K$2</f>
        <v>0.82805179762781589</v>
      </c>
      <c r="F62" s="334">
        <f t="shared" si="5"/>
        <v>91.792379273023144</v>
      </c>
      <c r="G62" s="231">
        <v>28.664731494920176</v>
      </c>
      <c r="H62" s="224">
        <v>56</v>
      </c>
      <c r="I62" s="392" t="s">
        <v>2173</v>
      </c>
      <c r="J62" s="132" t="s">
        <v>2261</v>
      </c>
      <c r="K62" s="132" t="s">
        <v>2262</v>
      </c>
      <c r="L62" s="132" t="s">
        <v>400</v>
      </c>
      <c r="M62" s="138">
        <v>21941</v>
      </c>
      <c r="N62" s="124"/>
      <c r="O62" s="121" t="s">
        <v>2222</v>
      </c>
      <c r="P62" s="395">
        <v>42469</v>
      </c>
    </row>
    <row r="63" spans="1:16">
      <c r="A63" s="224">
        <v>57</v>
      </c>
      <c r="B63" s="248">
        <v>2.1319444444444443E-2</v>
      </c>
      <c r="C63" s="231">
        <f t="shared" si="2"/>
        <v>30.7</v>
      </c>
      <c r="D63" s="231">
        <f t="shared" si="4"/>
        <v>28.019693107309962</v>
      </c>
      <c r="E63" s="246">
        <f>'5K'!$E63*(1-$K$2)+'10K'!$E63*$K$2</f>
        <v>0.81787714729423699</v>
      </c>
      <c r="F63" s="334">
        <f t="shared" si="5"/>
        <v>91.269358655732773</v>
      </c>
      <c r="G63" s="231">
        <v>29.012118986412045</v>
      </c>
      <c r="H63" s="224">
        <v>57</v>
      </c>
      <c r="I63" s="392" t="s">
        <v>2172</v>
      </c>
      <c r="J63" s="132" t="s">
        <v>1264</v>
      </c>
      <c r="K63" s="132" t="s">
        <v>1594</v>
      </c>
      <c r="L63" s="132" t="s">
        <v>241</v>
      </c>
      <c r="M63" s="138">
        <v>14922</v>
      </c>
      <c r="N63" s="124" t="s">
        <v>2263</v>
      </c>
      <c r="O63" s="121" t="s">
        <v>2264</v>
      </c>
      <c r="P63" s="395">
        <v>35883</v>
      </c>
    </row>
    <row r="64" spans="1:16">
      <c r="A64" s="224">
        <v>58</v>
      </c>
      <c r="B64" s="248">
        <v>2.1944444444444447E-2</v>
      </c>
      <c r="C64" s="231">
        <f t="shared" si="2"/>
        <v>31.600000000000005</v>
      </c>
      <c r="D64" s="231">
        <f t="shared" si="4"/>
        <v>28.375040048352499</v>
      </c>
      <c r="E64" s="246">
        <f>'5K'!$E64*(1-$K$2)+'10K'!$E64*$K$2</f>
        <v>0.80763468977014696</v>
      </c>
      <c r="F64" s="334">
        <f t="shared" si="5"/>
        <v>89.794430532761055</v>
      </c>
      <c r="G64" s="231">
        <v>29.368029739776947</v>
      </c>
      <c r="H64" s="224">
        <v>58</v>
      </c>
      <c r="I64" s="392" t="s">
        <v>2174</v>
      </c>
      <c r="J64" s="132" t="s">
        <v>360</v>
      </c>
      <c r="K64" s="132" t="s">
        <v>620</v>
      </c>
      <c r="L64" s="132" t="s">
        <v>241</v>
      </c>
      <c r="M64" s="138">
        <v>18901</v>
      </c>
      <c r="N64" s="124" t="s">
        <v>2265</v>
      </c>
      <c r="O64" s="121" t="s">
        <v>555</v>
      </c>
      <c r="P64" s="395">
        <v>40111</v>
      </c>
    </row>
    <row r="65" spans="1:16">
      <c r="A65" s="224">
        <v>59</v>
      </c>
      <c r="B65" s="248">
        <v>2.1898148148148149E-2</v>
      </c>
      <c r="C65" s="231">
        <f t="shared" si="2"/>
        <v>31.533333333333335</v>
      </c>
      <c r="D65" s="231">
        <f t="shared" si="4"/>
        <v>28.739515811580056</v>
      </c>
      <c r="E65" s="246">
        <f>'5K'!$E65*(1-$K$2)+'10K'!$E65*$K$2</f>
        <v>0.79739223224605693</v>
      </c>
      <c r="F65" s="334">
        <f t="shared" si="5"/>
        <v>91.140113567378606</v>
      </c>
      <c r="G65" s="231">
        <v>29.729051680883089</v>
      </c>
      <c r="H65" s="224">
        <v>59</v>
      </c>
      <c r="I65" s="392" t="s">
        <v>2175</v>
      </c>
      <c r="J65" s="132" t="s">
        <v>351</v>
      </c>
      <c r="K65" s="132" t="s">
        <v>2062</v>
      </c>
      <c r="L65" s="132" t="s">
        <v>241</v>
      </c>
      <c r="M65" s="138">
        <v>20087</v>
      </c>
      <c r="N65" s="124" t="s">
        <v>2266</v>
      </c>
      <c r="O65" s="23" t="s">
        <v>2267</v>
      </c>
      <c r="P65" s="395">
        <v>41693</v>
      </c>
    </row>
    <row r="66" spans="1:16">
      <c r="A66" s="224">
        <v>60</v>
      </c>
      <c r="B66" s="248">
        <v>2.1851851851851848E-2</v>
      </c>
      <c r="C66" s="231">
        <f t="shared" si="2"/>
        <v>31.466666666666661</v>
      </c>
      <c r="D66" s="231">
        <f t="shared" si="4"/>
        <v>29.11347675194493</v>
      </c>
      <c r="E66" s="246">
        <f>'5K'!$E66*(1-$K$2)+'10K'!$E66*$K$2</f>
        <v>0.78714977472196679</v>
      </c>
      <c r="F66" s="334">
        <f t="shared" si="5"/>
        <v>92.521642220163997</v>
      </c>
      <c r="G66" s="231">
        <v>30.10288327194208</v>
      </c>
      <c r="H66" s="224">
        <v>60</v>
      </c>
      <c r="I66" s="392" t="s">
        <v>447</v>
      </c>
      <c r="J66" s="132" t="s">
        <v>351</v>
      </c>
      <c r="K66" s="132" t="s">
        <v>2062</v>
      </c>
      <c r="L66" s="132" t="s">
        <v>241</v>
      </c>
      <c r="M66" s="138">
        <v>20087</v>
      </c>
      <c r="N66" s="124" t="s">
        <v>2266</v>
      </c>
      <c r="O66" s="121" t="s">
        <v>2204</v>
      </c>
      <c r="P66" s="395">
        <v>42057</v>
      </c>
    </row>
    <row r="67" spans="1:16">
      <c r="A67" s="224">
        <v>61</v>
      </c>
      <c r="B67" s="248">
        <v>2.2430555555555554E-2</v>
      </c>
      <c r="C67" s="231">
        <f t="shared" si="2"/>
        <v>32.299999999999997</v>
      </c>
      <c r="D67" s="231">
        <f t="shared" si="4"/>
        <v>29.49729801660478</v>
      </c>
      <c r="E67" s="246">
        <f>'5K'!$E67*(1-$K$2)+'10K'!$E67*$K$2</f>
        <v>0.77690731719787665</v>
      </c>
      <c r="F67" s="334">
        <f t="shared" si="5"/>
        <v>91.322904076175803</v>
      </c>
      <c r="G67" s="231">
        <v>30.486236171854902</v>
      </c>
      <c r="H67" s="224">
        <v>61</v>
      </c>
      <c r="I67" s="392" t="s">
        <v>2176</v>
      </c>
      <c r="J67" s="132" t="s">
        <v>372</v>
      </c>
      <c r="K67" s="132" t="s">
        <v>623</v>
      </c>
      <c r="L67" s="132" t="s">
        <v>284</v>
      </c>
      <c r="M67" s="138">
        <v>17277</v>
      </c>
      <c r="N67" s="124"/>
      <c r="O67" s="121" t="s">
        <v>2268</v>
      </c>
      <c r="P67" s="395">
        <v>39616</v>
      </c>
    </row>
    <row r="68" spans="1:16">
      <c r="A68" s="224">
        <v>62</v>
      </c>
      <c r="B68" s="248">
        <v>2.1979166666666664E-2</v>
      </c>
      <c r="C68" s="231">
        <f t="shared" si="2"/>
        <v>31.649999999999995</v>
      </c>
      <c r="D68" s="231">
        <f t="shared" si="4"/>
        <v>29.891374800219275</v>
      </c>
      <c r="E68" s="246">
        <f>'5K'!$E68*(1-$K$2)+'10K'!$E68*$K$2</f>
        <v>0.7666648596737865</v>
      </c>
      <c r="F68" s="334">
        <f t="shared" si="5"/>
        <v>94.443522275574338</v>
      </c>
      <c r="G68" s="231">
        <v>30.875455966649298</v>
      </c>
      <c r="H68" s="224">
        <v>62</v>
      </c>
      <c r="I68" s="392" t="s">
        <v>2177</v>
      </c>
      <c r="J68" s="132" t="s">
        <v>372</v>
      </c>
      <c r="K68" s="132" t="s">
        <v>623</v>
      </c>
      <c r="L68" s="132" t="s">
        <v>284</v>
      </c>
      <c r="M68" s="138">
        <v>17277</v>
      </c>
      <c r="N68" s="124"/>
      <c r="O68" s="121" t="s">
        <v>2269</v>
      </c>
      <c r="P68" s="395">
        <v>40027</v>
      </c>
    </row>
    <row r="69" spans="1:16">
      <c r="A69" s="224">
        <v>63</v>
      </c>
      <c r="B69" s="248">
        <v>2.269675925925926E-2</v>
      </c>
      <c r="C69" s="231">
        <f t="shared" si="2"/>
        <v>32.683333333333337</v>
      </c>
      <c r="D69" s="231">
        <f t="shared" si="4"/>
        <v>30.296123702231981</v>
      </c>
      <c r="E69" s="246">
        <f>'5K'!$E69*(1-$K$2)+'10K'!$E69*$K$2</f>
        <v>0.75642240214969636</v>
      </c>
      <c r="F69" s="334">
        <f t="shared" si="5"/>
        <v>92.695941975212577</v>
      </c>
      <c r="G69" s="231">
        <v>31.278870265276492</v>
      </c>
      <c r="H69" s="224">
        <v>63</v>
      </c>
      <c r="I69" s="392" t="s">
        <v>2178</v>
      </c>
      <c r="J69" s="132" t="s">
        <v>360</v>
      </c>
      <c r="K69" s="132" t="s">
        <v>620</v>
      </c>
      <c r="L69" s="132" t="s">
        <v>241</v>
      </c>
      <c r="M69" s="138">
        <v>18901</v>
      </c>
      <c r="N69" s="124" t="s">
        <v>2270</v>
      </c>
      <c r="O69" s="121" t="s">
        <v>1401</v>
      </c>
      <c r="P69" s="186">
        <v>41965</v>
      </c>
    </row>
    <row r="70" spans="1:16">
      <c r="A70" s="224">
        <v>64</v>
      </c>
      <c r="B70" s="248">
        <v>2.372685185185185E-2</v>
      </c>
      <c r="C70" s="231">
        <f t="shared" si="2"/>
        <v>34.166666666666664</v>
      </c>
      <c r="D70" s="231">
        <f t="shared" si="4"/>
        <v>30.711984195936868</v>
      </c>
      <c r="E70" s="246">
        <f>'5K'!$E70*(1-$K$2)+'10K'!$E70*$K$2</f>
        <v>0.74617994462560633</v>
      </c>
      <c r="F70" s="334">
        <f t="shared" si="5"/>
        <v>89.88873423201035</v>
      </c>
      <c r="G70" s="231">
        <v>31.692966033698848</v>
      </c>
      <c r="H70" s="224">
        <v>64</v>
      </c>
      <c r="I70" s="392" t="s">
        <v>2179</v>
      </c>
      <c r="J70" s="132" t="s">
        <v>360</v>
      </c>
      <c r="K70" s="132" t="s">
        <v>620</v>
      </c>
      <c r="L70" s="132" t="s">
        <v>241</v>
      </c>
      <c r="M70" s="138">
        <v>18901</v>
      </c>
      <c r="N70" s="124" t="s">
        <v>2271</v>
      </c>
      <c r="O70" s="121" t="s">
        <v>555</v>
      </c>
      <c r="P70" s="395">
        <v>42603</v>
      </c>
    </row>
    <row r="71" spans="1:16">
      <c r="A71" s="224">
        <v>65</v>
      </c>
      <c r="B71" s="248">
        <v>2.3472222222222217E-2</v>
      </c>
      <c r="C71" s="231">
        <f t="shared" si="2"/>
        <v>33.79999999999999</v>
      </c>
      <c r="D71" s="231">
        <f t="shared" si="4"/>
        <v>31.139420220219751</v>
      </c>
      <c r="E71" s="246">
        <f>'5K'!$E71*(1-$K$2)+'10K'!$E71*$K$2</f>
        <v>0.7359374871015163</v>
      </c>
      <c r="F71" s="334">
        <f t="shared" si="5"/>
        <v>92.128462189999297</v>
      </c>
      <c r="G71" s="231">
        <v>32.113821138211378</v>
      </c>
      <c r="H71" s="224">
        <v>65</v>
      </c>
      <c r="I71" s="392" t="s">
        <v>2180</v>
      </c>
      <c r="J71" s="132" t="s">
        <v>365</v>
      </c>
      <c r="K71" s="132" t="s">
        <v>1949</v>
      </c>
      <c r="L71" s="132" t="s">
        <v>241</v>
      </c>
      <c r="M71" s="138">
        <v>17959</v>
      </c>
      <c r="N71" s="124" t="s">
        <v>2272</v>
      </c>
      <c r="O71" s="121" t="s">
        <v>368</v>
      </c>
      <c r="P71" s="395">
        <v>41720</v>
      </c>
    </row>
    <row r="72" spans="1:16">
      <c r="A72" s="224">
        <v>66</v>
      </c>
      <c r="B72" s="248">
        <v>2.4641203703703703E-2</v>
      </c>
      <c r="C72" s="231">
        <f t="shared" si="2"/>
        <v>35.483333333333334</v>
      </c>
      <c r="D72" s="231">
        <f t="shared" si="4"/>
        <v>31.580322851775421</v>
      </c>
      <c r="E72" s="246">
        <f>'5K'!$E72*(1-$K$2)+'10K'!$E72*$K$2</f>
        <v>0.7256628367679373</v>
      </c>
      <c r="F72" s="334">
        <f t="shared" si="5"/>
        <v>89.000440164702923</v>
      </c>
      <c r="G72" s="231">
        <v>32.550473836011534</v>
      </c>
      <c r="H72" s="224">
        <v>66</v>
      </c>
      <c r="I72" s="392" t="s">
        <v>2181</v>
      </c>
      <c r="J72" s="132" t="s">
        <v>1302</v>
      </c>
      <c r="K72" s="132" t="s">
        <v>2273</v>
      </c>
      <c r="L72" s="132" t="s">
        <v>241</v>
      </c>
      <c r="M72" s="138">
        <v>11324</v>
      </c>
      <c r="N72" s="124"/>
      <c r="O72" s="121" t="s">
        <v>2249</v>
      </c>
      <c r="P72" s="395">
        <v>35623</v>
      </c>
    </row>
    <row r="73" spans="1:16">
      <c r="A73" s="224">
        <v>67</v>
      </c>
      <c r="B73" s="248">
        <v>2.461805555555556E-2</v>
      </c>
      <c r="C73" s="231">
        <f t="shared" si="2"/>
        <v>35.450000000000003</v>
      </c>
      <c r="D73" s="231">
        <f t="shared" ref="D73:D104" si="6">E$4/E73</f>
        <v>32.032448797290471</v>
      </c>
      <c r="E73" s="246">
        <f>'5K'!$E73*(1-$K$2)+'10K'!$E73*$K$2</f>
        <v>0.71542037924384727</v>
      </c>
      <c r="F73" s="334">
        <f t="shared" si="5"/>
        <v>90.359517058647299</v>
      </c>
      <c r="G73" s="231">
        <v>32.999164578111944</v>
      </c>
      <c r="H73" s="224">
        <v>67</v>
      </c>
      <c r="I73" s="392" t="s">
        <v>2182</v>
      </c>
      <c r="J73" s="132" t="s">
        <v>1607</v>
      </c>
      <c r="K73" s="132" t="s">
        <v>1608</v>
      </c>
      <c r="L73" s="132" t="s">
        <v>241</v>
      </c>
      <c r="M73" s="138">
        <v>18106</v>
      </c>
      <c r="N73" s="124" t="s">
        <v>2266</v>
      </c>
      <c r="O73" s="121" t="s">
        <v>2253</v>
      </c>
      <c r="P73" s="395">
        <v>42812</v>
      </c>
    </row>
    <row r="74" spans="1:16">
      <c r="A74" s="224">
        <v>68</v>
      </c>
      <c r="B74" s="248">
        <v>2.361111111111111E-2</v>
      </c>
      <c r="C74" s="231">
        <f t="shared" si="2"/>
        <v>34</v>
      </c>
      <c r="D74" s="231">
        <f t="shared" si="6"/>
        <v>32.497708678653041</v>
      </c>
      <c r="E74" s="246">
        <f>'5K'!$E74*(1-$K$2)+'10K'!$E74*$K$2</f>
        <v>0.70517792171975713</v>
      </c>
      <c r="F74" s="334">
        <f t="shared" si="5"/>
        <v>95.581496113685418</v>
      </c>
      <c r="G74" s="231">
        <v>33.455674760022582</v>
      </c>
      <c r="H74" s="224">
        <v>68</v>
      </c>
      <c r="I74" s="392" t="s">
        <v>2179</v>
      </c>
      <c r="J74" s="132" t="s">
        <v>365</v>
      </c>
      <c r="K74" s="132" t="s">
        <v>1949</v>
      </c>
      <c r="L74" s="132" t="s">
        <v>241</v>
      </c>
      <c r="M74" s="138">
        <v>17959</v>
      </c>
      <c r="N74" s="124"/>
      <c r="O74" s="121" t="s">
        <v>368</v>
      </c>
      <c r="P74" s="395">
        <v>42805</v>
      </c>
    </row>
    <row r="75" spans="1:16">
      <c r="A75" s="224">
        <v>69</v>
      </c>
      <c r="B75" s="248">
        <v>2.7013888888888889E-2</v>
      </c>
      <c r="C75" s="231">
        <f t="shared" ref="C75:C91" si="7">B75*1440</f>
        <v>38.9</v>
      </c>
      <c r="D75" s="231">
        <f t="shared" si="6"/>
        <v>32.97668322797557</v>
      </c>
      <c r="E75" s="246">
        <f>'5K'!$E75*(1-$K$2)+'10K'!$E75*$K$2</f>
        <v>0.69493546419566699</v>
      </c>
      <c r="F75" s="334">
        <f t="shared" si="5"/>
        <v>84.772964596338227</v>
      </c>
      <c r="G75" s="231">
        <v>33.929849677881172</v>
      </c>
      <c r="H75" s="224">
        <v>69</v>
      </c>
      <c r="I75" s="392" t="s">
        <v>2183</v>
      </c>
      <c r="J75" s="23" t="s">
        <v>898</v>
      </c>
      <c r="K75" s="23" t="s">
        <v>2274</v>
      </c>
      <c r="L75" s="132" t="s">
        <v>241</v>
      </c>
      <c r="M75" s="138">
        <v>17106</v>
      </c>
      <c r="N75" s="23" t="s">
        <v>2241</v>
      </c>
      <c r="O75" s="121" t="s">
        <v>891</v>
      </c>
      <c r="P75" s="186">
        <v>42463</v>
      </c>
    </row>
    <row r="76" spans="1:16">
      <c r="A76" s="224">
        <v>70</v>
      </c>
      <c r="B76" s="248">
        <v>2.5011574074074075E-2</v>
      </c>
      <c r="C76" s="231">
        <f t="shared" si="7"/>
        <v>36.016666666666666</v>
      </c>
      <c r="D76" s="231">
        <f t="shared" si="6"/>
        <v>33.469987926514612</v>
      </c>
      <c r="E76" s="246">
        <f>'5K'!$E76*(1-$K$2)+'10K'!$E76*$K$2</f>
        <v>0.68469300667157695</v>
      </c>
      <c r="F76" s="334">
        <f t="shared" ref="F76:F91" si="8">100*(D76/C76)</f>
        <v>92.929165922761541</v>
      </c>
      <c r="G76" s="231">
        <v>34.417659018297996</v>
      </c>
      <c r="H76" s="224">
        <v>70</v>
      </c>
      <c r="I76" s="392" t="s">
        <v>2184</v>
      </c>
      <c r="J76" s="132" t="s">
        <v>372</v>
      </c>
      <c r="K76" s="132" t="s">
        <v>623</v>
      </c>
      <c r="L76" s="132" t="s">
        <v>284</v>
      </c>
      <c r="M76" s="138">
        <v>17277</v>
      </c>
      <c r="N76" s="124"/>
      <c r="O76" s="121" t="s">
        <v>2275</v>
      </c>
      <c r="P76" s="395">
        <v>42867</v>
      </c>
    </row>
    <row r="77" spans="1:16">
      <c r="A77" s="224">
        <v>71</v>
      </c>
      <c r="B77" s="248">
        <v>2.6805555555555555E-2</v>
      </c>
      <c r="C77" s="231">
        <f t="shared" si="7"/>
        <v>38.6</v>
      </c>
      <c r="D77" s="231">
        <f t="shared" si="6"/>
        <v>33.978275643238185</v>
      </c>
      <c r="E77" s="246">
        <f>'5K'!$E77*(1-$K$2)+'10K'!$E77*$K$2</f>
        <v>0.67445054914748681</v>
      </c>
      <c r="F77" s="334">
        <f t="shared" si="8"/>
        <v>88.026620837404622</v>
      </c>
      <c r="G77" s="231">
        <v>34.914555097230405</v>
      </c>
      <c r="H77" s="224">
        <v>71</v>
      </c>
      <c r="I77" s="392" t="s">
        <v>2185</v>
      </c>
      <c r="J77" s="23" t="s">
        <v>379</v>
      </c>
      <c r="K77" s="23" t="s">
        <v>380</v>
      </c>
      <c r="L77" s="132" t="s">
        <v>241</v>
      </c>
      <c r="M77" s="138">
        <v>16210</v>
      </c>
      <c r="N77" s="398" t="s">
        <v>2276</v>
      </c>
      <c r="O77" s="121" t="s">
        <v>2277</v>
      </c>
      <c r="P77" s="186">
        <v>42225</v>
      </c>
    </row>
    <row r="78" spans="1:16">
      <c r="A78" s="224">
        <v>72</v>
      </c>
      <c r="B78" s="248">
        <v>2.7407407407407408E-2</v>
      </c>
      <c r="C78" s="231">
        <f t="shared" si="7"/>
        <v>39.466666666666669</v>
      </c>
      <c r="D78" s="231">
        <f t="shared" si="6"/>
        <v>34.50223951752205</v>
      </c>
      <c r="E78" s="246">
        <f>'5K'!$E78*(1-$K$2)+'10K'!$E78*$K$2</f>
        <v>0.66420809162339678</v>
      </c>
      <c r="F78" s="334">
        <f t="shared" si="8"/>
        <v>87.421214993721406</v>
      </c>
      <c r="G78" s="231">
        <v>35.431305127821794</v>
      </c>
      <c r="H78" s="224">
        <v>72</v>
      </c>
      <c r="I78" s="392" t="s">
        <v>2186</v>
      </c>
      <c r="J78" s="132" t="s">
        <v>637</v>
      </c>
      <c r="K78" s="132" t="s">
        <v>638</v>
      </c>
      <c r="L78" s="132" t="s">
        <v>284</v>
      </c>
      <c r="M78" s="138">
        <v>12120</v>
      </c>
      <c r="N78" s="124"/>
      <c r="O78" s="121" t="s">
        <v>2278</v>
      </c>
      <c r="P78" s="395">
        <v>38676</v>
      </c>
    </row>
    <row r="79" spans="1:16">
      <c r="A79" s="224">
        <v>73</v>
      </c>
      <c r="B79" s="248">
        <v>2.6354166666666668E-2</v>
      </c>
      <c r="C79" s="231">
        <f t="shared" si="7"/>
        <v>37.950000000000003</v>
      </c>
      <c r="D79" s="231">
        <f t="shared" si="6"/>
        <v>35.04261611274012</v>
      </c>
      <c r="E79" s="246">
        <f>'5K'!$E79*(1-$K$2)+'10K'!$E79*$K$2</f>
        <v>0.65396563409930653</v>
      </c>
      <c r="F79" s="334">
        <f t="shared" si="8"/>
        <v>92.338909387984501</v>
      </c>
      <c r="G79" s="231">
        <v>35.963581183611531</v>
      </c>
      <c r="H79" s="224">
        <v>73</v>
      </c>
      <c r="I79" s="392" t="s">
        <v>2187</v>
      </c>
      <c r="J79" s="132" t="s">
        <v>637</v>
      </c>
      <c r="K79" s="132" t="s">
        <v>638</v>
      </c>
      <c r="L79" s="132" t="s">
        <v>284</v>
      </c>
      <c r="M79" s="138">
        <v>12120</v>
      </c>
      <c r="N79" s="124"/>
      <c r="O79" s="121" t="s">
        <v>573</v>
      </c>
      <c r="P79" s="395">
        <v>38866</v>
      </c>
    </row>
    <row r="80" spans="1:16">
      <c r="A80" s="224">
        <v>74</v>
      </c>
      <c r="B80" s="248">
        <v>2.7881944444444445E-2</v>
      </c>
      <c r="C80" s="231">
        <f t="shared" si="7"/>
        <v>40.15</v>
      </c>
      <c r="D80" s="231">
        <f t="shared" si="6"/>
        <v>35.600188870920583</v>
      </c>
      <c r="E80" s="246">
        <f>'5K'!$E80*(1-$K$2)+'10K'!$E80*$K$2</f>
        <v>0.64372317657521649</v>
      </c>
      <c r="F80" s="334">
        <f t="shared" si="8"/>
        <v>88.66796729992673</v>
      </c>
      <c r="G80" s="231">
        <v>36.506469500924212</v>
      </c>
      <c r="H80" s="224">
        <v>74</v>
      </c>
      <c r="I80" s="392" t="s">
        <v>2188</v>
      </c>
      <c r="J80" s="23" t="s">
        <v>662</v>
      </c>
      <c r="K80" s="23" t="s">
        <v>663</v>
      </c>
      <c r="L80" s="132" t="s">
        <v>241</v>
      </c>
      <c r="M80" s="138">
        <v>6357</v>
      </c>
      <c r="N80" s="124" t="s">
        <v>2252</v>
      </c>
      <c r="O80" s="121" t="s">
        <v>1961</v>
      </c>
      <c r="P80" s="395">
        <v>33734</v>
      </c>
    </row>
    <row r="81" spans="1:16">
      <c r="A81" s="224">
        <v>75</v>
      </c>
      <c r="B81" s="248">
        <v>2.8946759259259255E-2</v>
      </c>
      <c r="C81" s="231">
        <f t="shared" si="7"/>
        <v>41.68333333333333</v>
      </c>
      <c r="D81" s="231">
        <f t="shared" si="6"/>
        <v>36.175791902542706</v>
      </c>
      <c r="E81" s="246">
        <f>'5K'!$E81*(1-$K$2)+'10K'!$E81*$K$2</f>
        <v>0.63348071905112635</v>
      </c>
      <c r="F81" s="334">
        <f t="shared" si="8"/>
        <v>86.787185691825769</v>
      </c>
      <c r="G81" s="231">
        <v>37.07179727827311</v>
      </c>
      <c r="H81" s="224">
        <v>75</v>
      </c>
      <c r="I81" s="392" t="s">
        <v>2189</v>
      </c>
      <c r="J81" s="132" t="s">
        <v>2279</v>
      </c>
      <c r="K81" s="132" t="s">
        <v>2280</v>
      </c>
      <c r="L81" s="132" t="s">
        <v>400</v>
      </c>
      <c r="M81" s="138">
        <v>14071</v>
      </c>
      <c r="N81" s="124"/>
      <c r="O81" s="121" t="s">
        <v>661</v>
      </c>
      <c r="P81" s="395">
        <v>41560</v>
      </c>
    </row>
    <row r="82" spans="1:16">
      <c r="A82" s="224">
        <v>76</v>
      </c>
      <c r="B82" s="248">
        <v>2.8043981481481479E-2</v>
      </c>
      <c r="C82" s="231">
        <f t="shared" si="7"/>
        <v>40.383333333333333</v>
      </c>
      <c r="D82" s="231">
        <f t="shared" si="6"/>
        <v>36.772213585508382</v>
      </c>
      <c r="E82" s="246">
        <f>'5K'!$E82*(1-$K$2)+'10K'!$E82*$K$2</f>
        <v>0.62320606871754747</v>
      </c>
      <c r="F82" s="334">
        <f t="shared" si="8"/>
        <v>91.057895795728555</v>
      </c>
      <c r="G82" s="231">
        <v>37.654909437559581</v>
      </c>
      <c r="H82" s="224">
        <v>76</v>
      </c>
      <c r="I82" s="392" t="s">
        <v>2190</v>
      </c>
      <c r="J82" s="132" t="s">
        <v>637</v>
      </c>
      <c r="K82" s="132" t="s">
        <v>638</v>
      </c>
      <c r="L82" s="132" t="s">
        <v>284</v>
      </c>
      <c r="M82" s="138">
        <v>12120</v>
      </c>
      <c r="N82" s="124"/>
      <c r="O82" s="121" t="s">
        <v>2281</v>
      </c>
      <c r="P82" s="395">
        <v>39958</v>
      </c>
    </row>
    <row r="83" spans="1:16">
      <c r="A83" s="224">
        <v>77</v>
      </c>
      <c r="B83" s="248">
        <v>2.9861111111111113E-2</v>
      </c>
      <c r="C83" s="231">
        <f t="shared" si="7"/>
        <v>43</v>
      </c>
      <c r="D83" s="231">
        <f t="shared" si="6"/>
        <v>37.386667410888016</v>
      </c>
      <c r="E83" s="246">
        <f>'5K'!$E83*(1-$K$2)+'10K'!$E83*$K$2</f>
        <v>0.61296361119345744</v>
      </c>
      <c r="F83" s="334">
        <f t="shared" si="8"/>
        <v>86.945738164855854</v>
      </c>
      <c r="G83" s="231">
        <v>38.269013402228325</v>
      </c>
      <c r="H83" s="224">
        <v>77</v>
      </c>
      <c r="I83" s="392" t="s">
        <v>2191</v>
      </c>
      <c r="J83" s="132" t="s">
        <v>842</v>
      </c>
      <c r="K83" s="132" t="s">
        <v>843</v>
      </c>
      <c r="L83" s="132" t="s">
        <v>400</v>
      </c>
      <c r="M83" s="138">
        <v>10173</v>
      </c>
      <c r="N83" s="124"/>
      <c r="O83" s="121" t="s">
        <v>401</v>
      </c>
      <c r="P83" s="395">
        <v>38501</v>
      </c>
    </row>
    <row r="84" spans="1:16">
      <c r="A84" s="224">
        <v>78</v>
      </c>
      <c r="B84" s="248">
        <v>3.1770833333333331E-2</v>
      </c>
      <c r="C84" s="231">
        <f t="shared" si="7"/>
        <v>45.75</v>
      </c>
      <c r="D84" s="231">
        <f t="shared" si="6"/>
        <v>38.068683424658303</v>
      </c>
      <c r="E84" s="246">
        <f>'5K'!$E84*(1-$K$2)+'10K'!$E84*$K$2</f>
        <v>0.60198211771681098</v>
      </c>
      <c r="F84" s="334">
        <f t="shared" si="8"/>
        <v>83.210236993788641</v>
      </c>
      <c r="G84" s="231">
        <v>38.961038961038966</v>
      </c>
      <c r="H84" s="224">
        <v>78</v>
      </c>
      <c r="I84" s="392" t="s">
        <v>2192</v>
      </c>
      <c r="J84" s="132" t="s">
        <v>398</v>
      </c>
      <c r="K84" s="132" t="s">
        <v>657</v>
      </c>
      <c r="L84" s="132" t="s">
        <v>400</v>
      </c>
      <c r="M84" s="138">
        <v>11106</v>
      </c>
      <c r="N84" s="124"/>
      <c r="O84" s="121" t="s">
        <v>2282</v>
      </c>
      <c r="P84" s="395">
        <v>39691</v>
      </c>
    </row>
    <row r="85" spans="1:16">
      <c r="A85" s="224">
        <v>79</v>
      </c>
      <c r="B85" s="248">
        <v>3.6620370370370373E-2</v>
      </c>
      <c r="C85" s="231">
        <f t="shared" si="7"/>
        <v>52.733333333333334</v>
      </c>
      <c r="D85" s="231">
        <f t="shared" si="6"/>
        <v>38.833066056617007</v>
      </c>
      <c r="E85" s="246">
        <f>'5K'!$E85*(1-$K$2)+'10K'!$E85*$K$2</f>
        <v>0.59013281704965337</v>
      </c>
      <c r="F85" s="334">
        <f t="shared" si="8"/>
        <v>73.640453963243374</v>
      </c>
      <c r="G85" s="231">
        <v>39.731768650461021</v>
      </c>
      <c r="H85" s="224">
        <v>79</v>
      </c>
      <c r="I85" s="392" t="s">
        <v>2193</v>
      </c>
      <c r="J85" s="23" t="s">
        <v>1956</v>
      </c>
      <c r="K85" s="23" t="s">
        <v>2283</v>
      </c>
      <c r="L85" s="132" t="s">
        <v>241</v>
      </c>
      <c r="M85" s="138">
        <v>14375</v>
      </c>
      <c r="N85" s="23" t="s">
        <v>2284</v>
      </c>
      <c r="O85" s="23" t="s">
        <v>2285</v>
      </c>
      <c r="P85" s="186">
        <v>43254</v>
      </c>
    </row>
    <row r="86" spans="1:16">
      <c r="A86" s="224">
        <v>80</v>
      </c>
      <c r="B86" s="298">
        <v>3.0428240740740742E-2</v>
      </c>
      <c r="C86" s="231">
        <f t="shared" si="7"/>
        <v>43.81666666666667</v>
      </c>
      <c r="D86" s="231">
        <f t="shared" si="6"/>
        <v>39.697656081786498</v>
      </c>
      <c r="E86" s="246">
        <f>'5K'!$E86*(1-$K$2)+'10K'!$E86*$K$2</f>
        <v>0.57728009481096187</v>
      </c>
      <c r="F86" s="334">
        <f t="shared" si="8"/>
        <v>90.599443320927719</v>
      </c>
      <c r="G86" s="231">
        <v>40.596094552929088</v>
      </c>
      <c r="H86" s="224">
        <v>80</v>
      </c>
      <c r="I86" s="392" t="s">
        <v>2194</v>
      </c>
      <c r="J86" s="132" t="s">
        <v>842</v>
      </c>
      <c r="K86" s="132" t="s">
        <v>843</v>
      </c>
      <c r="L86" s="132" t="s">
        <v>400</v>
      </c>
      <c r="M86" s="138">
        <v>10173</v>
      </c>
      <c r="N86" s="124"/>
      <c r="O86" s="132" t="s">
        <v>2282</v>
      </c>
      <c r="P86" s="395">
        <v>39691</v>
      </c>
    </row>
    <row r="87" spans="1:16">
      <c r="A87" s="224">
        <v>81</v>
      </c>
      <c r="B87" s="248"/>
      <c r="C87" s="231"/>
      <c r="D87" s="231">
        <f t="shared" si="6"/>
        <v>40.664142842013092</v>
      </c>
      <c r="E87" s="246">
        <f>'5K'!$E87*(1-$K$2)+'10K'!$E87*$K$2</f>
        <v>0.56355956538175911</v>
      </c>
      <c r="F87" s="334"/>
      <c r="G87" s="231">
        <v>41.549789621318368</v>
      </c>
      <c r="H87" s="224">
        <v>81</v>
      </c>
      <c r="I87" s="392" t="s">
        <v>2195</v>
      </c>
      <c r="J87" s="23" t="s">
        <v>390</v>
      </c>
      <c r="K87" s="23" t="s">
        <v>391</v>
      </c>
      <c r="L87" s="132" t="s">
        <v>241</v>
      </c>
      <c r="M87" s="138">
        <v>13343</v>
      </c>
      <c r="N87" s="23" t="s">
        <v>2286</v>
      </c>
      <c r="O87" s="23" t="s">
        <v>2287</v>
      </c>
      <c r="P87" s="399">
        <v>43176</v>
      </c>
    </row>
    <row r="88" spans="1:16">
      <c r="A88" s="224">
        <v>82</v>
      </c>
      <c r="B88" s="248">
        <v>3.3865740740740738E-2</v>
      </c>
      <c r="C88" s="231">
        <f t="shared" si="7"/>
        <v>48.766666666666666</v>
      </c>
      <c r="D88" s="231">
        <f t="shared" si="6"/>
        <v>41.755064843071658</v>
      </c>
      <c r="E88" s="246">
        <f>'5K'!$E88*(1-$K$2)+'10K'!$E88*$K$2</f>
        <v>0.54883561438102257</v>
      </c>
      <c r="F88" s="334">
        <f t="shared" si="8"/>
        <v>85.622142535348573</v>
      </c>
      <c r="G88" s="231">
        <v>42.618234130552054</v>
      </c>
      <c r="H88" s="224">
        <v>82</v>
      </c>
      <c r="I88" s="392" t="s">
        <v>2196</v>
      </c>
      <c r="J88" s="132" t="s">
        <v>842</v>
      </c>
      <c r="K88" s="132" t="s">
        <v>843</v>
      </c>
      <c r="L88" s="132" t="s">
        <v>400</v>
      </c>
      <c r="M88" s="138">
        <v>10173</v>
      </c>
      <c r="N88" s="124"/>
      <c r="O88" s="121" t="s">
        <v>401</v>
      </c>
      <c r="P88" s="395">
        <v>40244</v>
      </c>
    </row>
    <row r="89" spans="1:16">
      <c r="A89" s="224">
        <v>83</v>
      </c>
      <c r="B89" s="248">
        <v>3.5358796296296298E-2</v>
      </c>
      <c r="C89" s="231">
        <f t="shared" si="7"/>
        <v>50.916666666666671</v>
      </c>
      <c r="D89" s="231">
        <f t="shared" si="6"/>
        <v>42.981425571684539</v>
      </c>
      <c r="E89" s="246">
        <f>'5K'!$E89*(1-$K$2)+'10K'!$E89*$K$2</f>
        <v>0.53317604899926341</v>
      </c>
      <c r="F89" s="334">
        <f t="shared" si="8"/>
        <v>84.415238438660296</v>
      </c>
      <c r="G89" s="231">
        <v>43.80776340110905</v>
      </c>
      <c r="H89" s="224">
        <v>83</v>
      </c>
      <c r="I89" s="392" t="s">
        <v>2197</v>
      </c>
      <c r="J89" s="132" t="s">
        <v>398</v>
      </c>
      <c r="K89" s="132" t="s">
        <v>657</v>
      </c>
      <c r="L89" s="132" t="s">
        <v>400</v>
      </c>
      <c r="M89" s="138">
        <v>11106</v>
      </c>
      <c r="N89" s="124"/>
      <c r="O89" s="121" t="s">
        <v>661</v>
      </c>
      <c r="P89" s="395">
        <v>41560</v>
      </c>
    </row>
    <row r="90" spans="1:16">
      <c r="A90" s="224">
        <v>84</v>
      </c>
      <c r="B90" s="248">
        <v>4.6006944444444448E-2</v>
      </c>
      <c r="C90" s="231">
        <f t="shared" si="7"/>
        <v>66.25</v>
      </c>
      <c r="D90" s="231">
        <f t="shared" si="6"/>
        <v>44.368029292213805</v>
      </c>
      <c r="E90" s="246">
        <f>'5K'!$E90*(1-$K$2)+'10K'!$E90*$K$2</f>
        <v>0.51651306204597058</v>
      </c>
      <c r="F90" s="334">
        <f t="shared" si="8"/>
        <v>66.970610252398203</v>
      </c>
      <c r="G90" s="231">
        <v>45.125666412795127</v>
      </c>
      <c r="H90" s="224">
        <v>84</v>
      </c>
      <c r="I90" s="392" t="s">
        <v>2198</v>
      </c>
      <c r="J90" s="132" t="s">
        <v>2288</v>
      </c>
      <c r="K90" s="132" t="s">
        <v>2289</v>
      </c>
      <c r="L90" s="132" t="s">
        <v>241</v>
      </c>
      <c r="M90" s="138">
        <v>11242</v>
      </c>
      <c r="N90" s="23" t="s">
        <v>2241</v>
      </c>
      <c r="O90" s="23" t="s">
        <v>891</v>
      </c>
      <c r="P90" s="186">
        <v>42096</v>
      </c>
    </row>
    <row r="91" spans="1:16">
      <c r="A91" s="224">
        <v>85</v>
      </c>
      <c r="B91" s="248">
        <v>3.8483796296296294E-2</v>
      </c>
      <c r="C91" s="231">
        <f t="shared" si="7"/>
        <v>55.416666666666664</v>
      </c>
      <c r="D91" s="231">
        <f t="shared" si="6"/>
        <v>45.92681572235719</v>
      </c>
      <c r="E91" s="246">
        <f>'5K'!$E91*(1-$K$2)+'10K'!$E91*$K$2</f>
        <v>0.49898226790216649</v>
      </c>
      <c r="F91" s="334">
        <f t="shared" si="8"/>
        <v>82.875456942599442</v>
      </c>
      <c r="G91" s="231">
        <v>46.616837136113297</v>
      </c>
      <c r="H91" s="224">
        <v>85</v>
      </c>
      <c r="I91" s="392" t="s">
        <v>2199</v>
      </c>
      <c r="J91" s="132" t="s">
        <v>398</v>
      </c>
      <c r="K91" s="132" t="s">
        <v>657</v>
      </c>
      <c r="L91" s="132" t="s">
        <v>400</v>
      </c>
      <c r="M91" s="138">
        <v>11106</v>
      </c>
      <c r="N91" s="124"/>
      <c r="O91" s="121" t="s">
        <v>661</v>
      </c>
      <c r="P91" s="395">
        <v>42288</v>
      </c>
    </row>
    <row r="92" spans="1:16">
      <c r="A92" s="224">
        <v>86</v>
      </c>
      <c r="B92" s="248"/>
      <c r="C92" s="231"/>
      <c r="D92" s="231">
        <f t="shared" si="6"/>
        <v>47.70172803281023</v>
      </c>
      <c r="E92" s="246">
        <f>'5K'!$E92*(1-$K$2)+'10K'!$E92*$K$2</f>
        <v>0.48041585937733983</v>
      </c>
      <c r="F92" s="334"/>
      <c r="G92" s="231">
        <v>48.278671827256062</v>
      </c>
      <c r="H92" s="224">
        <v>86</v>
      </c>
      <c r="I92" s="394">
        <v>5.6145833333333339E-2</v>
      </c>
      <c r="J92" s="23" t="s">
        <v>665</v>
      </c>
      <c r="K92" s="23" t="s">
        <v>666</v>
      </c>
      <c r="L92" s="132" t="s">
        <v>241</v>
      </c>
      <c r="M92" s="401">
        <v>535</v>
      </c>
      <c r="N92" s="23" t="s">
        <v>2290</v>
      </c>
      <c r="O92" s="23" t="s">
        <v>2291</v>
      </c>
      <c r="P92" s="186">
        <v>32159</v>
      </c>
    </row>
    <row r="93" spans="1:16">
      <c r="A93" s="224">
        <v>87</v>
      </c>
      <c r="B93" s="248"/>
      <c r="C93" s="231"/>
      <c r="D93" s="231">
        <f t="shared" si="6"/>
        <v>49.716594158352819</v>
      </c>
      <c r="E93" s="246">
        <f>'5K'!$E93*(1-$K$2)+'10K'!$E93*$K$2</f>
        <v>0.46094602928097939</v>
      </c>
      <c r="F93" s="334"/>
      <c r="G93" s="231">
        <v>50.148116800677101</v>
      </c>
      <c r="H93" s="224">
        <v>87</v>
      </c>
      <c r="I93" s="394">
        <v>4.780092592592592E-2</v>
      </c>
      <c r="J93" s="23" t="s">
        <v>2292</v>
      </c>
      <c r="K93" s="23" t="s">
        <v>2293</v>
      </c>
      <c r="L93" s="132" t="s">
        <v>241</v>
      </c>
      <c r="M93" s="401">
        <v>3447</v>
      </c>
      <c r="N93" s="23" t="s">
        <v>2294</v>
      </c>
      <c r="O93" s="23" t="s">
        <v>2295</v>
      </c>
      <c r="P93" s="186">
        <v>35505</v>
      </c>
    </row>
    <row r="94" spans="1:16">
      <c r="A94" s="224">
        <v>88</v>
      </c>
      <c r="B94" s="248"/>
      <c r="C94" s="231"/>
      <c r="D94" s="231">
        <f t="shared" si="6"/>
        <v>52.019422176241655</v>
      </c>
      <c r="E94" s="246">
        <f>'5K'!$E94*(1-$K$2)+'10K'!$E94*$K$2</f>
        <v>0.44054058480359637</v>
      </c>
      <c r="F94" s="334"/>
      <c r="G94" s="231">
        <v>52.271724746360825</v>
      </c>
      <c r="H94" s="224">
        <v>88</v>
      </c>
      <c r="I94" s="394">
        <v>5.6122685185185185E-2</v>
      </c>
      <c r="J94" s="23" t="s">
        <v>2292</v>
      </c>
      <c r="K94" s="23" t="s">
        <v>2293</v>
      </c>
      <c r="L94" s="132" t="s">
        <v>241</v>
      </c>
      <c r="M94" s="401">
        <v>3447</v>
      </c>
      <c r="N94" s="23" t="s">
        <v>2296</v>
      </c>
      <c r="O94" s="23" t="s">
        <v>2297</v>
      </c>
      <c r="P94" s="186">
        <v>35890</v>
      </c>
    </row>
    <row r="95" spans="1:16">
      <c r="A95" s="224">
        <v>89</v>
      </c>
      <c r="B95" s="248"/>
      <c r="C95" s="231"/>
      <c r="D95" s="231">
        <f t="shared" si="6"/>
        <v>54.676526832081478</v>
      </c>
      <c r="E95" s="246">
        <f>'5K'!$E95*(1-$K$2)+'10K'!$E95*$K$2</f>
        <v>0.41913171875467964</v>
      </c>
      <c r="F95" s="334"/>
      <c r="G95" s="231">
        <v>54.683894785417628</v>
      </c>
      <c r="H95" s="224">
        <v>89</v>
      </c>
      <c r="I95" s="394">
        <v>4.8055555555555553E-2</v>
      </c>
      <c r="J95" s="23" t="s">
        <v>415</v>
      </c>
      <c r="K95" s="23" t="s">
        <v>416</v>
      </c>
      <c r="L95" s="132" t="s">
        <v>241</v>
      </c>
      <c r="M95" s="401">
        <v>8487</v>
      </c>
      <c r="N95" s="23" t="s">
        <v>2298</v>
      </c>
      <c r="O95" s="23" t="s">
        <v>418</v>
      </c>
      <c r="P95" s="186">
        <v>41020</v>
      </c>
    </row>
    <row r="96" spans="1:16">
      <c r="A96" s="224">
        <v>90</v>
      </c>
      <c r="B96" s="248"/>
      <c r="C96" s="231"/>
      <c r="D96" s="231">
        <f t="shared" si="6"/>
        <v>57.745685548518374</v>
      </c>
      <c r="E96" s="246">
        <f>'5K'!$E96*(1-$K$2)+'10K'!$E96*$K$2</f>
        <v>0.39685504551525164</v>
      </c>
      <c r="F96" s="334"/>
      <c r="G96" s="231">
        <v>57.440620455647114</v>
      </c>
      <c r="H96" s="224">
        <v>90</v>
      </c>
      <c r="I96" s="394"/>
      <c r="J96" s="23"/>
      <c r="K96" s="23"/>
      <c r="L96" s="132"/>
      <c r="M96" s="401"/>
      <c r="N96" s="23"/>
      <c r="O96" s="23"/>
      <c r="P96" s="186"/>
    </row>
    <row r="97" spans="1:16">
      <c r="A97" s="224">
        <v>91</v>
      </c>
      <c r="B97" s="248"/>
      <c r="C97" s="231"/>
      <c r="D97" s="231">
        <f t="shared" si="6"/>
        <v>61.344227238637266</v>
      </c>
      <c r="E97" s="246">
        <f>'5K'!$E97*(1-$K$2)+'10K'!$E97*$K$2</f>
        <v>0.37357495070428981</v>
      </c>
      <c r="F97" s="334"/>
      <c r="G97" s="231">
        <v>60.613810741687978</v>
      </c>
      <c r="H97" s="224">
        <v>91</v>
      </c>
      <c r="I97" s="394">
        <v>5.2418981481481476E-2</v>
      </c>
      <c r="J97" s="23" t="s">
        <v>415</v>
      </c>
      <c r="K97" s="23" t="s">
        <v>416</v>
      </c>
      <c r="L97" s="132" t="s">
        <v>241</v>
      </c>
      <c r="M97" s="401">
        <v>8487</v>
      </c>
      <c r="N97" s="23" t="s">
        <v>2298</v>
      </c>
      <c r="O97" s="23" t="s">
        <v>418</v>
      </c>
      <c r="P97" s="186">
        <v>42084</v>
      </c>
    </row>
    <row r="98" spans="1:16">
      <c r="A98" s="224">
        <v>92</v>
      </c>
      <c r="B98" s="248"/>
      <c r="C98" s="231"/>
      <c r="D98" s="231">
        <f t="shared" si="6"/>
        <v>65.596280114031202</v>
      </c>
      <c r="E98" s="246">
        <f>'5K'!$E98*(1-$K$2)+'10K'!$E98*$K$2</f>
        <v>0.34935924151230546</v>
      </c>
      <c r="F98" s="334"/>
      <c r="G98" s="231">
        <v>64.314789687924019</v>
      </c>
      <c r="H98" s="224">
        <v>92</v>
      </c>
      <c r="I98" s="280"/>
    </row>
    <row r="99" spans="1:16">
      <c r="A99" s="224">
        <v>93</v>
      </c>
      <c r="B99" s="248"/>
      <c r="C99" s="231"/>
      <c r="D99" s="231">
        <f t="shared" si="6"/>
        <v>70.685092493507057</v>
      </c>
      <c r="E99" s="246">
        <f>'5K'!$E99*(1-$K$2)+'10K'!$E99*$K$2</f>
        <v>0.3242079179392986</v>
      </c>
      <c r="F99" s="334"/>
      <c r="G99" s="231">
        <v>68.635968722849697</v>
      </c>
      <c r="H99" s="224">
        <v>93</v>
      </c>
      <c r="I99" s="280"/>
    </row>
    <row r="100" spans="1:16">
      <c r="A100" s="224">
        <v>94</v>
      </c>
      <c r="B100" s="248"/>
      <c r="C100" s="231"/>
      <c r="D100" s="231">
        <f t="shared" si="6"/>
        <v>76.870358697328257</v>
      </c>
      <c r="E100" s="246">
        <f>'5K'!$E100*(1-$K$2)+'10K'!$E100*$K$2</f>
        <v>0.29812097998526926</v>
      </c>
      <c r="F100" s="334"/>
      <c r="G100" s="231">
        <v>73.785803237858033</v>
      </c>
      <c r="H100" s="224">
        <v>94</v>
      </c>
      <c r="I100" s="280"/>
    </row>
    <row r="101" spans="1:16">
      <c r="A101" s="224">
        <v>95</v>
      </c>
      <c r="B101" s="248"/>
      <c r="C101" s="231"/>
      <c r="D101" s="231">
        <f t="shared" si="6"/>
        <v>84.553791847566075</v>
      </c>
      <c r="E101" s="246">
        <f>'5K'!$E101*(1-$K$2)+'10K'!$E101*$K$2</f>
        <v>0.27103062045970605</v>
      </c>
      <c r="F101" s="334"/>
      <c r="G101" s="231">
        <v>79.986500168747881</v>
      </c>
      <c r="H101" s="224">
        <v>95</v>
      </c>
      <c r="I101" s="280"/>
    </row>
    <row r="102" spans="1:16">
      <c r="A102" s="224">
        <v>96</v>
      </c>
      <c r="B102" s="224" t="s">
        <v>81</v>
      </c>
      <c r="C102" s="231"/>
      <c r="D102" s="231">
        <f t="shared" si="6"/>
        <v>94.317962030571636</v>
      </c>
      <c r="E102" s="246">
        <f>'5K'!$E102*(1-$K$2)+'10K'!$E102*$K$2</f>
        <v>0.24297245374363158</v>
      </c>
      <c r="F102" s="334"/>
      <c r="G102" s="231">
        <v>87.58314855875831</v>
      </c>
      <c r="H102" s="224">
        <v>96</v>
      </c>
      <c r="I102" s="280"/>
    </row>
    <row r="103" spans="1:16">
      <c r="A103" s="224">
        <v>97</v>
      </c>
      <c r="B103" s="224" t="s">
        <v>81</v>
      </c>
      <c r="C103" s="231"/>
      <c r="D103" s="231">
        <f t="shared" si="6"/>
        <v>107.08179053355479</v>
      </c>
      <c r="E103" s="246">
        <f>'5K'!$E103*(1-$K$2)+'10K'!$E103*$K$2</f>
        <v>0.21401086545602332</v>
      </c>
      <c r="G103" s="231">
        <v>97.091356001638658</v>
      </c>
      <c r="H103" s="224">
        <v>97</v>
      </c>
      <c r="I103" s="280"/>
    </row>
    <row r="104" spans="1:16">
      <c r="A104" s="224">
        <v>98</v>
      </c>
      <c r="B104" s="224" t="s">
        <v>81</v>
      </c>
      <c r="C104" s="231"/>
      <c r="D104" s="231">
        <f t="shared" si="6"/>
        <v>124.47021214894824</v>
      </c>
      <c r="E104" s="246">
        <f>'5K'!$E104*(1-$K$2)+'10K'!$E104*$K$2</f>
        <v>0.18411366278739255</v>
      </c>
      <c r="G104" s="231">
        <v>109.36778957083526</v>
      </c>
      <c r="H104" s="224">
        <v>98</v>
      </c>
      <c r="I104" s="280"/>
    </row>
    <row r="105" spans="1:16">
      <c r="A105" s="224">
        <v>99</v>
      </c>
      <c r="B105" s="224" t="s">
        <v>81</v>
      </c>
      <c r="C105" s="231"/>
      <c r="D105" s="231">
        <f>E$4/E105</f>
        <v>149.50769978054964</v>
      </c>
      <c r="E105" s="246">
        <f>'5K'!$E105*(1-$K$2)+'10K'!$E105*$K$2</f>
        <v>0.15328084573773929</v>
      </c>
      <c r="G105" s="231">
        <v>125.72944297082228</v>
      </c>
      <c r="H105" s="224">
        <v>99</v>
      </c>
      <c r="I105" s="280"/>
    </row>
    <row r="106" spans="1:16">
      <c r="A106" s="224">
        <v>100</v>
      </c>
      <c r="D106" s="231">
        <f>E$4/E106</f>
        <v>188.70057066159555</v>
      </c>
      <c r="E106" s="246">
        <f>'5K'!$E106*(1-$K$2)+'10K'!$E106*$K$2</f>
        <v>0.12144460711655219</v>
      </c>
      <c r="G106" s="231">
        <v>148.49624060150376</v>
      </c>
    </row>
    <row r="107" spans="1:16">
      <c r="E107" s="246"/>
    </row>
    <row r="108" spans="1:16">
      <c r="E108" s="246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topLeftCell="A50" zoomScale="87" zoomScaleNormal="87" workbookViewId="0">
      <selection activeCell="E86" sqref="E86"/>
    </sheetView>
  </sheetViews>
  <sheetFormatPr defaultColWidth="9.6640625" defaultRowHeight="15"/>
  <cols>
    <col min="1" max="5" width="9.6640625" style="224" customWidth="1"/>
    <col min="6" max="7" width="10.6640625" style="224" customWidth="1"/>
    <col min="8" max="16384" width="9.6640625" style="224"/>
  </cols>
  <sheetData>
    <row r="1" spans="1:11" ht="47.25">
      <c r="A1" s="220" t="s">
        <v>82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K1" s="221" t="s">
        <v>2124</v>
      </c>
    </row>
    <row r="2" spans="1:11" ht="21.75" customHeight="1">
      <c r="A2" s="220"/>
      <c r="B2" s="221"/>
      <c r="C2" s="222"/>
      <c r="D2" s="223"/>
      <c r="E2" s="223"/>
      <c r="F2" s="328">
        <f>(+H$3-H$4)*F$4/2</f>
        <v>4.725E-2</v>
      </c>
      <c r="G2" s="329">
        <f>(+I$4-I$3)*G$4/2</f>
        <v>0.17219999999999999</v>
      </c>
      <c r="H2" s="225"/>
      <c r="I2" s="225"/>
      <c r="K2" s="221">
        <f>Parameters!Z17</f>
        <v>0.68647273752760152</v>
      </c>
    </row>
    <row r="3" spans="1:11" ht="17.25" customHeight="1">
      <c r="A3" s="220"/>
      <c r="B3" s="221"/>
      <c r="C3" s="222"/>
      <c r="D3" s="223"/>
      <c r="E3" s="223"/>
      <c r="F3" s="328">
        <f>F4/(2*(+H3-H4))</f>
        <v>1.89E-3</v>
      </c>
      <c r="G3" s="329">
        <f>G4/(2*(+I4-I3))</f>
        <v>1.6006097560975613E-4</v>
      </c>
      <c r="H3" s="226">
        <v>22</v>
      </c>
      <c r="I3" s="227">
        <v>24</v>
      </c>
    </row>
    <row r="4" spans="1:11" ht="15.75">
      <c r="A4" s="221"/>
      <c r="B4" s="221"/>
      <c r="C4" s="221"/>
      <c r="D4" s="228">
        <f>Parameters!G17</f>
        <v>1.6030092592592592E-2</v>
      </c>
      <c r="E4" s="229">
        <f>D4*1440</f>
        <v>23.083333333333332</v>
      </c>
      <c r="F4" s="230">
        <v>1.89E-2</v>
      </c>
      <c r="G4" s="219">
        <v>1.0500000000000001E-2</v>
      </c>
      <c r="H4" s="226">
        <v>17</v>
      </c>
      <c r="I4" s="227">
        <v>56.8</v>
      </c>
    </row>
    <row r="5" spans="1:11" ht="15.75">
      <c r="A5" s="221"/>
      <c r="B5" s="221"/>
      <c r="C5" s="221"/>
      <c r="D5" s="228"/>
      <c r="E5" s="221">
        <f>E4*60</f>
        <v>1385</v>
      </c>
      <c r="F5" s="230">
        <v>9.1E-4</v>
      </c>
      <c r="G5" s="219">
        <v>5.1000000000000004E-4</v>
      </c>
      <c r="H5" s="226">
        <v>15</v>
      </c>
      <c r="I5" s="227">
        <v>76.7</v>
      </c>
    </row>
    <row r="6" spans="1:11" ht="31.5">
      <c r="A6" s="232" t="s">
        <v>70</v>
      </c>
      <c r="B6" s="232" t="s">
        <v>32</v>
      </c>
      <c r="C6" s="232" t="s">
        <v>71</v>
      </c>
      <c r="D6" s="232" t="s">
        <v>147</v>
      </c>
      <c r="E6" s="232" t="s">
        <v>151</v>
      </c>
    </row>
    <row r="7" spans="1:11">
      <c r="A7" s="224">
        <v>1</v>
      </c>
    </row>
    <row r="8" spans="1:11">
      <c r="A8" s="224">
        <v>2</v>
      </c>
    </row>
    <row r="9" spans="1:11">
      <c r="A9" s="224">
        <v>3</v>
      </c>
      <c r="B9" s="245"/>
      <c r="C9" s="231"/>
      <c r="D9" s="231"/>
      <c r="E9" s="246">
        <f>'5K'!$E9*(1-$K$2)+'10K'!$E9*$K$2</f>
        <v>0.58766890809105887</v>
      </c>
    </row>
    <row r="10" spans="1:11">
      <c r="A10" s="224">
        <v>4</v>
      </c>
      <c r="B10" s="248"/>
      <c r="C10" s="231"/>
      <c r="D10" s="231">
        <f>E$4/E10</f>
        <v>36.948631786775074</v>
      </c>
      <c r="E10" s="246">
        <f>'5K'!$E10*(1-$K$2)+'10K'!$E10*$K$2</f>
        <v>0.62474122090754902</v>
      </c>
    </row>
    <row r="11" spans="1:11">
      <c r="A11" s="224">
        <v>5</v>
      </c>
      <c r="B11" s="248"/>
      <c r="C11" s="231"/>
      <c r="D11" s="231">
        <f t="shared" ref="D11:D41" si="0">E$4/E11</f>
        <v>34.96541069415975</v>
      </c>
      <c r="E11" s="246">
        <f>'5K'!$E11*(1-$K$2)+'10K'!$E11*$K$2</f>
        <v>0.66017623917653356</v>
      </c>
    </row>
    <row r="12" spans="1:11">
      <c r="A12" s="224">
        <v>6</v>
      </c>
      <c r="B12" s="248"/>
      <c r="C12" s="231"/>
      <c r="D12" s="231">
        <f t="shared" si="0"/>
        <v>33.272408978302458</v>
      </c>
      <c r="E12" s="246">
        <f>'5K'!$E12*(1-$K$2)+'10K'!$E12*$K$2</f>
        <v>0.69376802107675439</v>
      </c>
    </row>
    <row r="13" spans="1:11">
      <c r="A13" s="224">
        <v>7</v>
      </c>
      <c r="B13" s="248"/>
      <c r="C13" s="231"/>
      <c r="D13" s="231">
        <f t="shared" si="0"/>
        <v>31.80738238819103</v>
      </c>
      <c r="E13" s="246">
        <f>'5K'!$E13*(1-$K$2)+'10K'!$E13*$K$2</f>
        <v>0.72572250842946973</v>
      </c>
    </row>
    <row r="14" spans="1:11">
      <c r="A14" s="224">
        <v>8</v>
      </c>
      <c r="B14" s="248"/>
      <c r="C14" s="231"/>
      <c r="D14" s="231">
        <f t="shared" si="0"/>
        <v>30.534678824523382</v>
      </c>
      <c r="E14" s="246">
        <f>'5K'!$E14*(1-$K$2)+'10K'!$E14*$K$2</f>
        <v>0.75597105396092668</v>
      </c>
    </row>
    <row r="15" spans="1:11">
      <c r="A15" s="224">
        <v>9</v>
      </c>
      <c r="B15" s="248"/>
      <c r="C15" s="231"/>
      <c r="D15" s="231">
        <f t="shared" si="0"/>
        <v>29.425148313481809</v>
      </c>
      <c r="E15" s="246">
        <f>'5K'!$E15*(1-$K$2)+'10K'!$E15*$K$2</f>
        <v>0.78447636312362001</v>
      </c>
    </row>
    <row r="16" spans="1:11">
      <c r="A16" s="224">
        <v>10</v>
      </c>
      <c r="B16" s="248"/>
      <c r="C16" s="231"/>
      <c r="D16" s="231">
        <f t="shared" si="0"/>
        <v>28.453129394245611</v>
      </c>
      <c r="E16" s="246">
        <f>'5K'!$E16*(1-$K$2)+'10K'!$E16*$K$2</f>
        <v>0.81127573046505486</v>
      </c>
    </row>
    <row r="17" spans="1:5">
      <c r="A17" s="224">
        <v>11</v>
      </c>
      <c r="B17" s="248"/>
      <c r="C17" s="231"/>
      <c r="D17" s="231">
        <f t="shared" si="0"/>
        <v>27.59945553723999</v>
      </c>
      <c r="E17" s="246">
        <f>'5K'!$E17*(1-$K$2)+'10K'!$E17*$K$2</f>
        <v>0.83636915598523143</v>
      </c>
    </row>
    <row r="18" spans="1:5">
      <c r="A18" s="224">
        <v>12</v>
      </c>
      <c r="B18" s="248"/>
      <c r="C18" s="231"/>
      <c r="D18" s="231">
        <f t="shared" si="0"/>
        <v>26.848682834032537</v>
      </c>
      <c r="E18" s="246">
        <f>'5K'!$E18*(1-$K$2)+'10K'!$E18*$K$2</f>
        <v>0.85975663968414984</v>
      </c>
    </row>
    <row r="19" spans="1:5">
      <c r="A19" s="224">
        <v>13</v>
      </c>
      <c r="B19" s="248"/>
      <c r="C19" s="231"/>
      <c r="D19" s="231">
        <f t="shared" si="0"/>
        <v>26.189369302232965</v>
      </c>
      <c r="E19" s="246">
        <f>'5K'!$E19*(1-$K$2)+'10K'!$E19*$K$2</f>
        <v>0.88140088701430452</v>
      </c>
    </row>
    <row r="20" spans="1:5">
      <c r="A20" s="224">
        <v>14</v>
      </c>
      <c r="B20" s="248"/>
      <c r="C20" s="231"/>
      <c r="D20" s="231">
        <f t="shared" si="0"/>
        <v>25.61004062046171</v>
      </c>
      <c r="E20" s="246">
        <f>'5K'!$E20*(1-$K$2)+'10K'!$E20*$K$2</f>
        <v>0.90133919252320083</v>
      </c>
    </row>
    <row r="21" spans="1:5">
      <c r="A21" s="224">
        <v>15</v>
      </c>
      <c r="B21" s="248"/>
      <c r="C21" s="231"/>
      <c r="D21" s="231">
        <f t="shared" si="0"/>
        <v>25.100396052574375</v>
      </c>
      <c r="E21" s="246">
        <f>'5K'!$E21*(1-$K$2)+'10K'!$E21*$K$2</f>
        <v>0.91964020348459141</v>
      </c>
    </row>
    <row r="22" spans="1:5">
      <c r="A22" s="224">
        <v>16</v>
      </c>
      <c r="B22" s="248"/>
      <c r="C22" s="231"/>
      <c r="D22" s="231">
        <f t="shared" si="0"/>
        <v>24.635258020942306</v>
      </c>
      <c r="E22" s="246">
        <f>'5K'!$E22*(1-$K$2)+'10K'!$E22*$K$2</f>
        <v>0.93700391989847676</v>
      </c>
    </row>
    <row r="23" spans="1:5">
      <c r="A23" s="224">
        <v>17</v>
      </c>
      <c r="B23" s="248"/>
      <c r="C23" s="231"/>
      <c r="D23" s="231">
        <f t="shared" si="0"/>
        <v>24.186250822191013</v>
      </c>
      <c r="E23" s="246">
        <f>'5K'!$E23*(1-$K$2)+'10K'!$E23*$K$2</f>
        <v>0.9543989890386092</v>
      </c>
    </row>
    <row r="24" spans="1:5">
      <c r="A24" s="224">
        <v>18</v>
      </c>
      <c r="B24" s="248"/>
      <c r="C24" s="231"/>
      <c r="D24" s="231">
        <f t="shared" si="0"/>
        <v>23.786009952468241</v>
      </c>
      <c r="E24" s="246">
        <f>'5K'!$E24*(1-$K$2)+'10K'!$E24*$K$2</f>
        <v>0.97045840725119215</v>
      </c>
    </row>
    <row r="25" spans="1:5">
      <c r="A25" s="224">
        <v>19</v>
      </c>
      <c r="B25" s="248"/>
      <c r="C25" s="231"/>
      <c r="D25" s="231">
        <f t="shared" si="0"/>
        <v>23.47355220250078</v>
      </c>
      <c r="E25" s="246">
        <f>'5K'!$E25*(1-$K$2)+'10K'!$E25*$K$2</f>
        <v>0.98337623271496688</v>
      </c>
    </row>
    <row r="26" spans="1:5">
      <c r="A26" s="224">
        <v>20</v>
      </c>
      <c r="B26" s="248"/>
      <c r="C26" s="231"/>
      <c r="D26" s="231">
        <f t="shared" si="0"/>
        <v>23.255701889765326</v>
      </c>
      <c r="E26" s="246">
        <f>'5K'!$E26*(1-$K$2)+'10K'!$E26*$K$2</f>
        <v>0.99258811635748345</v>
      </c>
    </row>
    <row r="27" spans="1:5">
      <c r="A27" s="224">
        <v>21</v>
      </c>
      <c r="B27" s="248"/>
      <c r="C27" s="231"/>
      <c r="D27" s="231">
        <f t="shared" si="0"/>
        <v>23.126548695504496</v>
      </c>
      <c r="E27" s="246">
        <f>'5K'!$E27*(1-$K$2)+'10K'!$E27*$K$2</f>
        <v>0.9981313527262472</v>
      </c>
    </row>
    <row r="28" spans="1:5">
      <c r="A28" s="224">
        <v>22</v>
      </c>
      <c r="B28" s="248"/>
      <c r="C28" s="231"/>
      <c r="D28" s="231">
        <f t="shared" si="0"/>
        <v>23.083333333333332</v>
      </c>
      <c r="E28" s="246">
        <f>'5K'!$E28*(1-$K$2)+'10K'!$E28*$K$2</f>
        <v>1</v>
      </c>
    </row>
    <row r="29" spans="1:5">
      <c r="A29" s="224">
        <v>23</v>
      </c>
      <c r="B29" s="248"/>
      <c r="C29" s="231"/>
      <c r="D29" s="231">
        <f t="shared" si="0"/>
        <v>23.083333333333332</v>
      </c>
      <c r="E29" s="246">
        <f>'5K'!$E29*(1-$K$2)+'10K'!$E29*$K$2</f>
        <v>1</v>
      </c>
    </row>
    <row r="30" spans="1:5">
      <c r="A30" s="224">
        <v>24</v>
      </c>
      <c r="B30" s="248"/>
      <c r="C30" s="231"/>
      <c r="D30" s="231">
        <f t="shared" si="0"/>
        <v>23.083333333333332</v>
      </c>
      <c r="E30" s="246">
        <f>'5K'!$E30*(1-$K$2)+'10K'!$E30*$K$2</f>
        <v>1</v>
      </c>
    </row>
    <row r="31" spans="1:5">
      <c r="A31" s="224">
        <v>25</v>
      </c>
      <c r="B31" s="248"/>
      <c r="C31" s="231"/>
      <c r="D31" s="231">
        <f t="shared" si="0"/>
        <v>23.083333333333332</v>
      </c>
      <c r="E31" s="246">
        <f>'5K'!$E31*(1-$K$2)+'10K'!$E31*$K$2</f>
        <v>1</v>
      </c>
    </row>
    <row r="32" spans="1:5">
      <c r="A32" s="224">
        <v>26</v>
      </c>
      <c r="B32" s="248"/>
      <c r="C32" s="231"/>
      <c r="D32" s="231">
        <f t="shared" si="0"/>
        <v>23.083333333333332</v>
      </c>
      <c r="E32" s="246">
        <f>'5K'!$E32*(1-$K$2)+'10K'!$E32*$K$2</f>
        <v>1</v>
      </c>
    </row>
    <row r="33" spans="1:5">
      <c r="A33" s="224">
        <v>27</v>
      </c>
      <c r="B33" s="248"/>
      <c r="C33" s="231"/>
      <c r="D33" s="231">
        <f t="shared" si="0"/>
        <v>23.105539185164421</v>
      </c>
      <c r="E33" s="246">
        <f>'5K'!$E33*(1-$K$2)+'10K'!$E33*$K$2</f>
        <v>0.99903893816746137</v>
      </c>
    </row>
    <row r="34" spans="1:5">
      <c r="A34" s="224">
        <v>28</v>
      </c>
      <c r="B34" s="248"/>
      <c r="C34" s="231"/>
      <c r="D34" s="231">
        <f t="shared" si="0"/>
        <v>23.124606804891101</v>
      </c>
      <c r="E34" s="246">
        <f>'5K'!$E34*(1-$K$2)+'10K'!$E34*$K$2</f>
        <v>0.99821517088242817</v>
      </c>
    </row>
    <row r="35" spans="1:5">
      <c r="A35" s="224">
        <v>29</v>
      </c>
      <c r="B35" s="248"/>
      <c r="C35" s="231"/>
      <c r="D35" s="231">
        <f t="shared" si="0"/>
        <v>23.146892175080069</v>
      </c>
      <c r="E35" s="246">
        <f>'5K'!$E35*(1-$K$2)+'10K'!$E35*$K$2</f>
        <v>0.99725410904988954</v>
      </c>
    </row>
    <row r="36" spans="1:5">
      <c r="A36" s="224">
        <v>30</v>
      </c>
      <c r="B36" s="248"/>
      <c r="C36" s="231"/>
      <c r="D36" s="231">
        <f t="shared" si="0"/>
        <v>23.175607987074102</v>
      </c>
      <c r="E36" s="246">
        <f>'5K'!$E36*(1-$K$2)+'10K'!$E36*$K$2</f>
        <v>0.99601845812233991</v>
      </c>
    </row>
    <row r="37" spans="1:5">
      <c r="A37" s="224">
        <v>31</v>
      </c>
      <c r="B37" s="248"/>
      <c r="C37" s="231"/>
      <c r="D37" s="231">
        <f t="shared" si="0"/>
        <v>23.209792946980645</v>
      </c>
      <c r="E37" s="246">
        <f>'5K'!$E37*(1-$K$2)+'10K'!$E37*$K$2</f>
        <v>0.99455145446854298</v>
      </c>
    </row>
    <row r="38" spans="1:5">
      <c r="A38" s="224">
        <v>32</v>
      </c>
      <c r="B38" s="248"/>
      <c r="C38" s="231"/>
      <c r="D38" s="231">
        <f t="shared" si="0"/>
        <v>23.25638315221234</v>
      </c>
      <c r="E38" s="246">
        <f>'5K'!$E38*(1-$K$2)+'10K'!$E38*$K$2</f>
        <v>0.99255903990975713</v>
      </c>
    </row>
    <row r="39" spans="1:5">
      <c r="A39" s="224">
        <v>33</v>
      </c>
      <c r="B39" s="248"/>
      <c r="C39" s="231"/>
      <c r="D39" s="231">
        <f t="shared" si="0"/>
        <v>23.314789338383758</v>
      </c>
      <c r="E39" s="246">
        <f>'5K'!$E39*(1-$K$2)+'10K'!$E39*$K$2</f>
        <v>0.99007256717222947</v>
      </c>
    </row>
    <row r="40" spans="1:5">
      <c r="A40" s="224">
        <v>34</v>
      </c>
      <c r="B40" s="248"/>
      <c r="C40" s="231"/>
      <c r="D40" s="231">
        <f t="shared" si="0"/>
        <v>23.381936307085557</v>
      </c>
      <c r="E40" s="246">
        <f>'5K'!$E40*(1-$K$2)+'10K'!$E40*$K$2</f>
        <v>0.98722933080346564</v>
      </c>
    </row>
    <row r="41" spans="1:5">
      <c r="A41" s="224">
        <v>35</v>
      </c>
      <c r="B41" s="248"/>
      <c r="C41" s="231"/>
      <c r="D41" s="231">
        <f t="shared" si="0"/>
        <v>23.461993877546998</v>
      </c>
      <c r="E41" s="246">
        <f>'5K'!$E41*(1-$K$2)+'10K'!$E41*$K$2</f>
        <v>0.98386068352971301</v>
      </c>
    </row>
    <row r="42" spans="1:5">
      <c r="A42" s="224">
        <v>36</v>
      </c>
      <c r="B42" s="248"/>
      <c r="C42" s="231"/>
      <c r="D42" s="231">
        <f t="shared" ref="D42:D73" si="1">E$4/E42</f>
        <v>23.551924305867892</v>
      </c>
      <c r="E42" s="246">
        <f>'5K'!$E42*(1-$K$2)+'10K'!$E42*$K$2</f>
        <v>0.98010391989847678</v>
      </c>
    </row>
    <row r="43" spans="1:5">
      <c r="A43" s="224">
        <v>37</v>
      </c>
      <c r="B43" s="248"/>
      <c r="C43" s="231"/>
      <c r="D43" s="231">
        <f t="shared" si="1"/>
        <v>23.656180741617224</v>
      </c>
      <c r="E43" s="246">
        <f>'5K'!$E43*(1-$K$2)+'10K'!$E43*$K$2</f>
        <v>0.97578445081474596</v>
      </c>
    </row>
    <row r="44" spans="1:5">
      <c r="A44" s="224">
        <v>38</v>
      </c>
      <c r="B44" s="248"/>
      <c r="C44" s="231"/>
      <c r="D44" s="231">
        <f t="shared" si="1"/>
        <v>23.770861150578597</v>
      </c>
      <c r="E44" s="246">
        <f>'5K'!$E44*(1-$K$2)+'10K'!$E44*$K$2</f>
        <v>0.97107686537353199</v>
      </c>
    </row>
    <row r="45" spans="1:5">
      <c r="A45" s="224">
        <v>39</v>
      </c>
      <c r="B45" s="248"/>
      <c r="C45" s="231"/>
      <c r="D45" s="231">
        <f t="shared" si="1"/>
        <v>23.897178783874296</v>
      </c>
      <c r="E45" s="246">
        <f>'5K'!$E45*(1-$K$2)+'10K'!$E45*$K$2</f>
        <v>0.96594386902732876</v>
      </c>
    </row>
    <row r="46" spans="1:5">
      <c r="A46" s="224">
        <v>40</v>
      </c>
      <c r="B46" s="248"/>
      <c r="C46" s="231"/>
      <c r="D46" s="231">
        <f t="shared" si="1"/>
        <v>24.037991047618874</v>
      </c>
      <c r="E46" s="246">
        <f>'5K'!$E46*(1-$K$2)+'10K'!$E46*$K$2</f>
        <v>0.96028546177613672</v>
      </c>
    </row>
    <row r="47" spans="1:5">
      <c r="A47" s="224">
        <v>41</v>
      </c>
      <c r="B47" s="248"/>
      <c r="C47" s="231"/>
      <c r="D47" s="231">
        <f t="shared" si="1"/>
        <v>24.191252957563627</v>
      </c>
      <c r="E47" s="246">
        <f>'5K'!$E47*(1-$K$2)+'10K'!$E47*$K$2</f>
        <v>0.95420164361995585</v>
      </c>
    </row>
    <row r="48" spans="1:5">
      <c r="A48" s="224">
        <v>42</v>
      </c>
      <c r="B48" s="248"/>
      <c r="C48" s="231"/>
      <c r="D48" s="231">
        <f t="shared" si="1"/>
        <v>24.358216521734001</v>
      </c>
      <c r="E48" s="246">
        <f>'5K'!$E48*(1-$K$2)+'10K'!$E48*$K$2</f>
        <v>0.94766106183253873</v>
      </c>
    </row>
    <row r="49" spans="1:5">
      <c r="A49" s="224">
        <v>43</v>
      </c>
      <c r="B49" s="248"/>
      <c r="C49" s="231"/>
      <c r="D49" s="231">
        <f t="shared" si="1"/>
        <v>24.538592887951744</v>
      </c>
      <c r="E49" s="246">
        <f>'5K'!$E49*(1-$K$2)+'10K'!$E49*$K$2</f>
        <v>0.94069506914013257</v>
      </c>
    </row>
    <row r="50" spans="1:5">
      <c r="A50" s="224">
        <v>44</v>
      </c>
      <c r="B50" s="248"/>
      <c r="C50" s="231"/>
      <c r="D50" s="231">
        <f t="shared" si="1"/>
        <v>24.730436711694054</v>
      </c>
      <c r="E50" s="246">
        <f>'5K'!$E50*(1-$K$2)+'10K'!$E50*$K$2</f>
        <v>0.93339772372147922</v>
      </c>
    </row>
    <row r="51" spans="1:5">
      <c r="A51" s="224">
        <v>45</v>
      </c>
      <c r="B51" s="248"/>
      <c r="C51" s="231"/>
      <c r="D51" s="231">
        <f t="shared" si="1"/>
        <v>24.932696412663823</v>
      </c>
      <c r="E51" s="246">
        <f>'5K'!$E51*(1-$K$2)+'10K'!$E51*$K$2</f>
        <v>0.92582578920781455</v>
      </c>
    </row>
    <row r="52" spans="1:5">
      <c r="A52" s="224">
        <v>46</v>
      </c>
      <c r="B52" s="248"/>
      <c r="C52" s="231"/>
      <c r="D52" s="231">
        <f t="shared" si="1"/>
        <v>25.144789686196923</v>
      </c>
      <c r="E52" s="246">
        <f>'5K'!$E52*(1-$K$2)+'10K'!$E52*$K$2</f>
        <v>0.91801656014664479</v>
      </c>
    </row>
    <row r="53" spans="1:5">
      <c r="A53" s="224">
        <v>47</v>
      </c>
      <c r="B53" s="248"/>
      <c r="C53" s="231"/>
      <c r="D53" s="231">
        <f t="shared" si="1"/>
        <v>25.365387714341409</v>
      </c>
      <c r="E53" s="246">
        <f>'5K'!$E53*(1-$K$2)+'10K'!$E53*$K$2</f>
        <v>0.91003274199046369</v>
      </c>
    </row>
    <row r="54" spans="1:5">
      <c r="A54" s="224">
        <v>48</v>
      </c>
      <c r="B54" s="248"/>
      <c r="C54" s="231"/>
      <c r="D54" s="231">
        <f t="shared" si="1"/>
        <v>25.595734283820107</v>
      </c>
      <c r="E54" s="246">
        <f>'5K'!$E54*(1-$K$2)+'10K'!$E54*$K$2</f>
        <v>0.90184298201302449</v>
      </c>
    </row>
    <row r="55" spans="1:5">
      <c r="A55" s="224">
        <v>49</v>
      </c>
      <c r="B55" s="248"/>
      <c r="C55" s="231"/>
      <c r="D55" s="231">
        <f t="shared" si="1"/>
        <v>25.83625676021525</v>
      </c>
      <c r="E55" s="246">
        <f>'5K'!$E55*(1-$K$2)+'10K'!$E55*$K$2</f>
        <v>0.89344728021432696</v>
      </c>
    </row>
    <row r="56" spans="1:5">
      <c r="A56" s="224">
        <v>50</v>
      </c>
      <c r="B56" s="248"/>
      <c r="C56" s="231"/>
      <c r="D56" s="231">
        <f t="shared" si="1"/>
        <v>26.089436786842771</v>
      </c>
      <c r="E56" s="246">
        <f>'5K'!$E56*(1-$K$2)+'10K'!$E56*$K$2</f>
        <v>0.88477698932061821</v>
      </c>
    </row>
    <row r="57" spans="1:5">
      <c r="A57" s="224">
        <v>51</v>
      </c>
      <c r="B57" s="248"/>
      <c r="C57" s="231"/>
      <c r="D57" s="231">
        <f t="shared" si="1"/>
        <v>26.353822803838412</v>
      </c>
      <c r="E57" s="246">
        <f>'5K'!$E57*(1-$K$2)+'10K'!$E57*$K$2</f>
        <v>0.87590075660565136</v>
      </c>
    </row>
    <row r="58" spans="1:5">
      <c r="A58" s="224">
        <v>52</v>
      </c>
      <c r="B58" s="248"/>
      <c r="C58" s="231"/>
      <c r="D58" s="231">
        <f t="shared" si="1"/>
        <v>26.629947500922995</v>
      </c>
      <c r="E58" s="246">
        <f>'5K'!$E58*(1-$K$2)+'10K'!$E58*$K$2</f>
        <v>0.8668185820694263</v>
      </c>
    </row>
    <row r="59" spans="1:5">
      <c r="A59" s="224">
        <v>53</v>
      </c>
      <c r="B59" s="248"/>
      <c r="C59" s="231"/>
      <c r="D59" s="231">
        <f t="shared" si="1"/>
        <v>26.918382793745977</v>
      </c>
      <c r="E59" s="246">
        <f>'5K'!$E59*(1-$K$2)+'10K'!$E59*$K$2</f>
        <v>0.85753046571194269</v>
      </c>
    </row>
    <row r="60" spans="1:5">
      <c r="A60" s="224">
        <v>54</v>
      </c>
      <c r="B60" s="248"/>
      <c r="C60" s="231"/>
      <c r="D60" s="231">
        <f t="shared" si="1"/>
        <v>27.221946888960307</v>
      </c>
      <c r="E60" s="246">
        <f>'5K'!$E60*(1-$K$2)+'10K'!$E60*$K$2</f>
        <v>0.84796776025944842</v>
      </c>
    </row>
    <row r="61" spans="1:5">
      <c r="A61" s="224">
        <v>55</v>
      </c>
      <c r="B61" s="248"/>
      <c r="C61" s="231"/>
      <c r="D61" s="231">
        <f t="shared" si="1"/>
        <v>27.536945147680402</v>
      </c>
      <c r="E61" s="246">
        <f>'5K'!$E61*(1-$K$2)+'10K'!$E61*$K$2</f>
        <v>0.83826776025944827</v>
      </c>
    </row>
    <row r="62" spans="1:5">
      <c r="A62" s="224">
        <v>56</v>
      </c>
      <c r="B62" s="248"/>
      <c r="C62" s="231"/>
      <c r="D62" s="231">
        <f t="shared" si="1"/>
        <v>27.869609366830847</v>
      </c>
      <c r="E62" s="246">
        <f>'5K'!$E62*(1-$K$2)+'10K'!$E62*$K$2</f>
        <v>0.82826181843819002</v>
      </c>
    </row>
    <row r="63" spans="1:5">
      <c r="A63" s="224">
        <v>57</v>
      </c>
      <c r="B63" s="248"/>
      <c r="C63" s="231"/>
      <c r="D63" s="231">
        <f t="shared" si="1"/>
        <v>28.216429938467222</v>
      </c>
      <c r="E63" s="246">
        <f>'5K'!$E63*(1-$K$2)+'10K'!$E63*$K$2</f>
        <v>0.81808128752192066</v>
      </c>
    </row>
    <row r="64" spans="1:5">
      <c r="A64" s="224">
        <v>58</v>
      </c>
      <c r="B64" s="248"/>
      <c r="C64" s="231"/>
      <c r="D64" s="231">
        <f t="shared" si="1"/>
        <v>28.574419197602754</v>
      </c>
      <c r="E64" s="246">
        <f>'5K'!$E64*(1-$K$2)+'10K'!$E64*$K$2</f>
        <v>0.80783210933189864</v>
      </c>
    </row>
    <row r="65" spans="1:5">
      <c r="A65" s="224">
        <v>59</v>
      </c>
      <c r="B65" s="248"/>
      <c r="C65" s="231"/>
      <c r="D65" s="231">
        <f t="shared" si="1"/>
        <v>28.941608993920656</v>
      </c>
      <c r="E65" s="246">
        <f>'5K'!$E65*(1-$K$2)+'10K'!$E65*$K$2</f>
        <v>0.79758293114187651</v>
      </c>
    </row>
    <row r="66" spans="1:5">
      <c r="A66" s="224">
        <v>60</v>
      </c>
      <c r="B66" s="248"/>
      <c r="C66" s="231"/>
      <c r="D66" s="231">
        <f t="shared" si="1"/>
        <v>29.318358633539848</v>
      </c>
      <c r="E66" s="246">
        <f>'5K'!$E66*(1-$K$2)+'10K'!$E66*$K$2</f>
        <v>0.78733375295185448</v>
      </c>
    </row>
    <row r="67" spans="1:5">
      <c r="A67" s="224">
        <v>61</v>
      </c>
      <c r="B67" s="248"/>
      <c r="C67" s="231"/>
      <c r="D67" s="231">
        <f t="shared" si="1"/>
        <v>29.705046378520784</v>
      </c>
      <c r="E67" s="246">
        <f>'5K'!$E67*(1-$K$2)+'10K'!$E67*$K$2</f>
        <v>0.77708457476183235</v>
      </c>
    </row>
    <row r="68" spans="1:5">
      <c r="A68" s="224">
        <v>62</v>
      </c>
      <c r="B68" s="248"/>
      <c r="C68" s="231"/>
      <c r="D68" s="231">
        <f t="shared" si="1"/>
        <v>30.102070713648509</v>
      </c>
      <c r="E68" s="246">
        <f>'5K'!$E68*(1-$K$2)+'10K'!$E68*$K$2</f>
        <v>0.76683539657181032</v>
      </c>
    </row>
    <row r="69" spans="1:5">
      <c r="A69" s="224">
        <v>63</v>
      </c>
      <c r="B69" s="248"/>
      <c r="C69" s="231"/>
      <c r="D69" s="231">
        <f t="shared" si="1"/>
        <v>30.509851716179462</v>
      </c>
      <c r="E69" s="246">
        <f>'5K'!$E69*(1-$K$2)+'10K'!$E69*$K$2</f>
        <v>0.7565862183817883</v>
      </c>
    </row>
    <row r="70" spans="1:5">
      <c r="A70" s="224">
        <v>64</v>
      </c>
      <c r="B70" s="248"/>
      <c r="C70" s="231"/>
      <c r="D70" s="231">
        <f t="shared" si="1"/>
        <v>30.92883253844969</v>
      </c>
      <c r="E70" s="246">
        <f>'5K'!$E70*(1-$K$2)+'10K'!$E70*$K$2</f>
        <v>0.74633704019176617</v>
      </c>
    </row>
    <row r="71" spans="1:5">
      <c r="A71" s="224">
        <v>65</v>
      </c>
      <c r="B71" s="248"/>
      <c r="C71" s="231"/>
      <c r="D71" s="231">
        <f t="shared" si="1"/>
        <v>31.35948101434478</v>
      </c>
      <c r="E71" s="246">
        <f>'5K'!$E71*(1-$K$2)+'10K'!$E71*$K$2</f>
        <v>0.73608786200174403</v>
      </c>
    </row>
    <row r="72" spans="1:5">
      <c r="A72" s="224">
        <v>66</v>
      </c>
      <c r="B72" s="248"/>
      <c r="C72" s="231"/>
      <c r="D72" s="231">
        <f t="shared" si="1"/>
        <v>31.803665166637625</v>
      </c>
      <c r="E72" s="246">
        <f>'5K'!$E72*(1-$K$2)+'10K'!$E72*$K$2</f>
        <v>0.72580733108547468</v>
      </c>
    </row>
    <row r="73" spans="1:5">
      <c r="A73" s="224">
        <v>67</v>
      </c>
      <c r="B73" s="248"/>
      <c r="C73" s="231"/>
      <c r="D73" s="231">
        <f t="shared" si="1"/>
        <v>32.259199675006634</v>
      </c>
      <c r="E73" s="246">
        <f>'5K'!$E73*(1-$K$2)+'10K'!$E73*$K$2</f>
        <v>0.71555815289545266</v>
      </c>
    </row>
    <row r="74" spans="1:5">
      <c r="A74" s="224">
        <v>68</v>
      </c>
      <c r="B74" s="248"/>
      <c r="C74" s="231"/>
      <c r="D74" s="231">
        <f t="shared" ref="D74:D105" si="2">E$4/E74</f>
        <v>32.727973358022261</v>
      </c>
      <c r="E74" s="246">
        <f>'5K'!$E74*(1-$K$2)+'10K'!$E74*$K$2</f>
        <v>0.70530897470543064</v>
      </c>
    </row>
    <row r="75" spans="1:5">
      <c r="A75" s="224">
        <v>69</v>
      </c>
      <c r="B75" s="248"/>
      <c r="C75" s="231"/>
      <c r="D75" s="231">
        <f t="shared" si="2"/>
        <v>33.210571880374331</v>
      </c>
      <c r="E75" s="246">
        <f>'5K'!$E75*(1-$K$2)+'10K'!$E75*$K$2</f>
        <v>0.6950597965154085</v>
      </c>
    </row>
    <row r="76" spans="1:5">
      <c r="A76" s="224">
        <v>70</v>
      </c>
      <c r="B76" s="248"/>
      <c r="C76" s="231"/>
      <c r="D76" s="231">
        <f t="shared" si="2"/>
        <v>33.707615968018374</v>
      </c>
      <c r="E76" s="246">
        <f>'5K'!$E76*(1-$K$2)+'10K'!$E76*$K$2</f>
        <v>0.68481061832538648</v>
      </c>
    </row>
    <row r="77" spans="1:5">
      <c r="A77" s="224">
        <v>71</v>
      </c>
      <c r="B77" s="248"/>
      <c r="C77" s="231"/>
      <c r="D77" s="231">
        <f t="shared" si="2"/>
        <v>34.219764071751861</v>
      </c>
      <c r="E77" s="246">
        <f>'5K'!$E77*(1-$K$2)+'10K'!$E77*$K$2</f>
        <v>0.67456144013536434</v>
      </c>
    </row>
    <row r="78" spans="1:5">
      <c r="A78" s="224">
        <v>72</v>
      </c>
      <c r="B78" s="248"/>
      <c r="C78" s="231"/>
      <c r="D78" s="231">
        <f t="shared" si="2"/>
        <v>34.747715277356363</v>
      </c>
      <c r="E78" s="246">
        <f>'5K'!$E78*(1-$K$2)+'10K'!$E78*$K$2</f>
        <v>0.66431226194534232</v>
      </c>
    </row>
    <row r="79" spans="1:5">
      <c r="A79" s="224">
        <v>73</v>
      </c>
      <c r="B79" s="248"/>
      <c r="C79" s="231"/>
      <c r="D79" s="231">
        <f t="shared" si="2"/>
        <v>35.292212489351606</v>
      </c>
      <c r="E79" s="246">
        <f>'5K'!$E79*(1-$K$2)+'10K'!$E79*$K$2</f>
        <v>0.65406308375532007</v>
      </c>
    </row>
    <row r="80" spans="1:5">
      <c r="A80" s="224">
        <v>74</v>
      </c>
      <c r="B80" s="248"/>
      <c r="C80" s="231"/>
      <c r="D80" s="231">
        <f t="shared" si="2"/>
        <v>35.854045918851519</v>
      </c>
      <c r="E80" s="246">
        <f>'5K'!$E80*(1-$K$2)+'10K'!$E80*$K$2</f>
        <v>0.64381390556529805</v>
      </c>
    </row>
    <row r="81" spans="1:5">
      <c r="A81" s="224">
        <v>75</v>
      </c>
      <c r="B81" s="248"/>
      <c r="C81" s="231"/>
      <c r="D81" s="231">
        <f t="shared" si="2"/>
        <v>36.434056909958791</v>
      </c>
      <c r="E81" s="246">
        <f>'5K'!$E81*(1-$K$2)+'10K'!$E81*$K$2</f>
        <v>0.63356472737527603</v>
      </c>
    </row>
    <row r="82" spans="1:5">
      <c r="A82" s="224">
        <v>76</v>
      </c>
      <c r="B82" s="248"/>
      <c r="C82" s="231"/>
      <c r="D82" s="231">
        <f t="shared" si="2"/>
        <v>37.035005001689498</v>
      </c>
      <c r="E82" s="246">
        <f>'5K'!$E82*(1-$K$2)+'10K'!$E82*$K$2</f>
        <v>0.62328419645900668</v>
      </c>
    </row>
    <row r="83" spans="1:5">
      <c r="A83" s="224">
        <v>77</v>
      </c>
      <c r="B83" s="248"/>
      <c r="C83" s="231"/>
      <c r="D83" s="231">
        <f t="shared" si="2"/>
        <v>37.654183929840265</v>
      </c>
      <c r="E83" s="246">
        <f>'5K'!$E83*(1-$K$2)+'10K'!$E83*$K$2</f>
        <v>0.61303501826898454</v>
      </c>
    </row>
    <row r="84" spans="1:5">
      <c r="A84" s="224">
        <v>78</v>
      </c>
      <c r="B84" s="248"/>
      <c r="C84" s="231"/>
      <c r="D84" s="231">
        <f t="shared" si="2"/>
        <v>38.341694077924103</v>
      </c>
      <c r="E84" s="246">
        <f>'5K'!$E84*(1-$K$2)+'10K'!$E84*$K$2</f>
        <v>0.60204260371019869</v>
      </c>
    </row>
    <row r="85" spans="1:5">
      <c r="A85" s="224">
        <v>79</v>
      </c>
      <c r="B85" s="248"/>
      <c r="C85" s="231"/>
      <c r="D85" s="231">
        <f t="shared" si="2"/>
        <v>39.112259017613127</v>
      </c>
      <c r="E85" s="246">
        <f>'5K'!$E85*(1-$K$2)+'10K'!$E85*$K$2</f>
        <v>0.59018154187766014</v>
      </c>
    </row>
    <row r="86" spans="1:5">
      <c r="A86" s="224">
        <v>80</v>
      </c>
      <c r="B86" s="248"/>
      <c r="C86" s="231"/>
      <c r="D86" s="231">
        <f t="shared" si="2"/>
        <v>39.983980663903516</v>
      </c>
      <c r="E86" s="246">
        <f>'5K'!$E86*(1-$K$2)+'10K'!$E86*$K$2</f>
        <v>0.57731453822386314</v>
      </c>
    </row>
    <row r="87" spans="1:5">
      <c r="A87" s="224">
        <v>81</v>
      </c>
      <c r="B87" s="248"/>
      <c r="C87" s="231"/>
      <c r="D87" s="231">
        <f t="shared" si="2"/>
        <v>40.958477781295556</v>
      </c>
      <c r="E87" s="246">
        <f>'5K'!$E87*(1-$K$2)+'10K'!$E87*$K$2</f>
        <v>0.56357888729631356</v>
      </c>
    </row>
    <row r="88" spans="1:5">
      <c r="A88" s="224">
        <v>82</v>
      </c>
      <c r="B88" s="248"/>
      <c r="C88" s="231"/>
      <c r="D88" s="231">
        <f t="shared" si="2"/>
        <v>42.058609286682348</v>
      </c>
      <c r="E88" s="246">
        <f>'5K'!$E88*(1-$K$2)+'10K'!$E88*$K$2</f>
        <v>0.54883729454750552</v>
      </c>
    </row>
    <row r="89" spans="1:5">
      <c r="A89" s="224">
        <v>83</v>
      </c>
      <c r="B89" s="248"/>
      <c r="C89" s="231"/>
      <c r="D89" s="231">
        <f t="shared" si="2"/>
        <v>43.295450319060357</v>
      </c>
      <c r="E89" s="246">
        <f>'5K'!$E89*(1-$K$2)+'10K'!$E89*$K$2</f>
        <v>0.53315840725119201</v>
      </c>
    </row>
    <row r="90" spans="1:5">
      <c r="A90" s="224">
        <v>84</v>
      </c>
      <c r="B90" s="248"/>
      <c r="C90" s="231"/>
      <c r="D90" s="231">
        <f t="shared" si="2"/>
        <v>44.694122430714728</v>
      </c>
      <c r="E90" s="246">
        <f>'5K'!$E90*(1-$K$2)+'10K'!$E90*$K$2</f>
        <v>0.51647357813362027</v>
      </c>
    </row>
    <row r="91" spans="1:5">
      <c r="A91" s="224">
        <v>85</v>
      </c>
      <c r="B91" s="248"/>
      <c r="C91" s="231"/>
      <c r="D91" s="231">
        <f t="shared" si="2"/>
        <v>46.266593093209202</v>
      </c>
      <c r="E91" s="246">
        <f>'5K'!$E91*(1-$K$2)+'10K'!$E91*$K$2</f>
        <v>0.49892010174229573</v>
      </c>
    </row>
    <row r="92" spans="1:5">
      <c r="A92" s="224">
        <v>86</v>
      </c>
      <c r="B92" s="248"/>
      <c r="C92" s="231"/>
      <c r="D92" s="231">
        <f t="shared" si="2"/>
        <v>48.057305379875373</v>
      </c>
      <c r="E92" s="246">
        <f>'5K'!$E92*(1-$K$2)+'10K'!$E92*$K$2</f>
        <v>0.48032933080346574</v>
      </c>
    </row>
    <row r="93" spans="1:5">
      <c r="A93" s="224">
        <v>87</v>
      </c>
      <c r="B93" s="248"/>
      <c r="C93" s="231"/>
      <c r="D93" s="231">
        <f t="shared" si="2"/>
        <v>50.090493661975415</v>
      </c>
      <c r="E93" s="246">
        <f>'5K'!$E93*(1-$K$2)+'10K'!$E93*$K$2</f>
        <v>0.46083261804337738</v>
      </c>
    </row>
    <row r="94" spans="1:5">
      <c r="A94" s="224">
        <v>88</v>
      </c>
      <c r="B94" s="248"/>
      <c r="C94" s="231"/>
      <c r="D94" s="231">
        <f t="shared" si="2"/>
        <v>52.414637037041295</v>
      </c>
      <c r="E94" s="246">
        <f>'5K'!$E94*(1-$K$2)+'10K'!$E94*$K$2</f>
        <v>0.44039861073578357</v>
      </c>
    </row>
    <row r="95" spans="1:5">
      <c r="A95" s="224">
        <v>89</v>
      </c>
      <c r="B95" s="248"/>
      <c r="C95" s="231"/>
      <c r="D95" s="231">
        <f t="shared" si="2"/>
        <v>55.096923512206089</v>
      </c>
      <c r="E95" s="246">
        <f>'5K'!$E95*(1-$K$2)+'10K'!$E95*$K$2</f>
        <v>0.4189586616069314</v>
      </c>
    </row>
    <row r="96" spans="1:5">
      <c r="A96" s="224">
        <v>90</v>
      </c>
      <c r="B96" s="248"/>
      <c r="C96" s="231"/>
      <c r="D96" s="231">
        <f t="shared" si="2"/>
        <v>58.195712942697746</v>
      </c>
      <c r="E96" s="246">
        <f>'5K'!$E96*(1-$K$2)+'10K'!$E96*$K$2</f>
        <v>0.39665006520432655</v>
      </c>
    </row>
    <row r="97" spans="1:5">
      <c r="A97" s="224">
        <v>91</v>
      </c>
      <c r="B97" s="248"/>
      <c r="C97" s="231"/>
      <c r="D97" s="231">
        <f t="shared" si="2"/>
        <v>61.829993839673563</v>
      </c>
      <c r="E97" s="246">
        <f>'5K'!$E97*(1-$K$2)+'10K'!$E97*$K$2</f>
        <v>0.37333552698046335</v>
      </c>
    </row>
    <row r="98" spans="1:5">
      <c r="A98" s="224">
        <v>92</v>
      </c>
      <c r="B98" s="248"/>
      <c r="C98" s="231"/>
      <c r="D98" s="231">
        <f t="shared" si="2"/>
        <v>66.125498601796167</v>
      </c>
      <c r="E98" s="246">
        <f>'5K'!$E98*(1-$K$2)+'10K'!$E98*$K$2</f>
        <v>0.34908369420909469</v>
      </c>
    </row>
    <row r="99" spans="1:5">
      <c r="A99" s="224">
        <v>93</v>
      </c>
      <c r="B99" s="248"/>
      <c r="C99" s="231"/>
      <c r="D99" s="231">
        <f t="shared" si="2"/>
        <v>71.268047361711709</v>
      </c>
      <c r="E99" s="246">
        <f>'5K'!$E99*(1-$K$2)+'10K'!$E99*$K$2</f>
        <v>0.32389456689022045</v>
      </c>
    </row>
    <row r="100" spans="1:5">
      <c r="A100" s="224">
        <v>94</v>
      </c>
      <c r="C100" s="231"/>
      <c r="D100" s="231">
        <f t="shared" si="2"/>
        <v>77.52116443310338</v>
      </c>
      <c r="E100" s="246">
        <f>'5K'!$E100*(1-$K$2)+'10K'!$E100*$K$2</f>
        <v>0.29776814502384075</v>
      </c>
    </row>
    <row r="101" spans="1:5">
      <c r="A101" s="224">
        <v>95</v>
      </c>
      <c r="B101" s="248"/>
      <c r="C101" s="231"/>
      <c r="D101" s="231">
        <f t="shared" si="2"/>
        <v>85.292983874359152</v>
      </c>
      <c r="E101" s="246">
        <f>'5K'!$E101*(1-$K$2)+'10K'!$E101*$K$2</f>
        <v>0.27063578133620275</v>
      </c>
    </row>
    <row r="102" spans="1:5">
      <c r="A102" s="224">
        <v>96</v>
      </c>
      <c r="C102" s="231"/>
      <c r="D102" s="231">
        <f t="shared" si="2"/>
        <v>95.175356909281376</v>
      </c>
      <c r="E102" s="246">
        <f>'5K'!$E102*(1-$K$2)+'10K'!$E102*$K$2</f>
        <v>0.24253477037481197</v>
      </c>
    </row>
    <row r="103" spans="1:5">
      <c r="A103" s="224">
        <v>97</v>
      </c>
      <c r="C103" s="231"/>
      <c r="D103" s="231">
        <f t="shared" si="2"/>
        <v>108.10457201142</v>
      </c>
      <c r="E103" s="246">
        <f>'5K'!$E103*(1-$K$2)+'10K'!$E103*$K$2</f>
        <v>0.21352781759216294</v>
      </c>
    </row>
    <row r="104" spans="1:5">
      <c r="A104" s="224">
        <v>98</v>
      </c>
      <c r="C104" s="231"/>
      <c r="D104" s="231">
        <f t="shared" si="2"/>
        <v>125.73746822980438</v>
      </c>
      <c r="E104" s="246">
        <f>'5K'!$E104*(1-$K$2)+'10K'!$E104*$K$2</f>
        <v>0.18358357026200833</v>
      </c>
    </row>
    <row r="105" spans="1:5">
      <c r="A105" s="224">
        <v>99</v>
      </c>
      <c r="C105" s="231"/>
      <c r="D105" s="231">
        <f t="shared" si="2"/>
        <v>151.16585927223571</v>
      </c>
      <c r="E105" s="246">
        <f>'5K'!$E105*(1-$K$2)+'10K'!$E105*$K$2</f>
        <v>0.15270202838434827</v>
      </c>
    </row>
    <row r="106" spans="1:5">
      <c r="A106" s="224">
        <v>100</v>
      </c>
      <c r="D106" s="231">
        <f>E$4/E106</f>
        <v>191.06419176131828</v>
      </c>
      <c r="E106" s="246">
        <f>'5K'!$E106*(1-$K$2)+'10K'!$E106*$K$2</f>
        <v>0.12081454468542988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E46" sqref="E46"/>
    </sheetView>
  </sheetViews>
  <sheetFormatPr defaultColWidth="9.6640625" defaultRowHeight="15"/>
  <cols>
    <col min="1" max="3" width="9.6640625" style="224" customWidth="1"/>
    <col min="4" max="4" width="11.5546875" style="224" customWidth="1"/>
    <col min="5" max="5" width="9.6640625" style="224" customWidth="1"/>
    <col min="6" max="6" width="10.6640625" style="224" customWidth="1"/>
    <col min="7" max="7" width="10.44140625" style="224" customWidth="1"/>
    <col min="8" max="8" width="10.6640625" style="224" customWidth="1"/>
    <col min="9" max="9" width="13" style="224" customWidth="1"/>
    <col min="10" max="11" width="12.109375" style="224" customWidth="1"/>
    <col min="12" max="12" width="12.5546875" style="224" customWidth="1"/>
    <col min="13" max="13" width="15.6640625" style="224" customWidth="1"/>
    <col min="14" max="14" width="9.6640625" style="224"/>
    <col min="15" max="15" width="10.109375" style="224" bestFit="1" customWidth="1"/>
    <col min="16" max="16" width="10.33203125" style="224" customWidth="1"/>
    <col min="17" max="17" width="16.6640625" style="224" customWidth="1"/>
    <col min="18" max="18" width="12.33203125" style="224" customWidth="1"/>
    <col min="19" max="19" width="15.6640625" style="224" customWidth="1"/>
    <col min="20" max="16384" width="9.6640625" style="224"/>
  </cols>
  <sheetData>
    <row r="1" spans="1:21" ht="35.25" customHeight="1">
      <c r="A1" s="220" t="s">
        <v>83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</row>
    <row r="2" spans="1:21" ht="17.100000000000001" customHeight="1">
      <c r="A2" s="220"/>
      <c r="B2" s="221"/>
      <c r="C2" s="222"/>
      <c r="D2" s="223"/>
      <c r="E2" s="223"/>
      <c r="F2" s="328">
        <f>(+H$3-H$4)*F$4/2</f>
        <v>4.725E-2</v>
      </c>
      <c r="G2" s="329">
        <f>(+I$4-I$3)*G$4/2</f>
        <v>0.17219999999999999</v>
      </c>
      <c r="H2" s="225"/>
      <c r="I2" s="225"/>
    </row>
    <row r="3" spans="1:21" ht="17.100000000000001" customHeight="1">
      <c r="A3" s="220"/>
      <c r="B3" s="221"/>
      <c r="C3" s="222"/>
      <c r="D3" s="223"/>
      <c r="E3" s="223"/>
      <c r="F3" s="328">
        <f>F4/(2*(+H3-H4))</f>
        <v>1.89E-3</v>
      </c>
      <c r="G3" s="329">
        <f>G4/(2*(+I4-I3))</f>
        <v>1.6006097560975613E-4</v>
      </c>
      <c r="H3" s="226">
        <v>22</v>
      </c>
      <c r="I3" s="227">
        <v>24</v>
      </c>
      <c r="J3" s="219"/>
    </row>
    <row r="4" spans="1:21" ht="15.75">
      <c r="A4" s="221"/>
      <c r="B4" s="221"/>
      <c r="C4" s="221"/>
      <c r="D4" s="228">
        <f>Parameters!G18</f>
        <v>1.9976851851851853E-2</v>
      </c>
      <c r="E4" s="229">
        <f>D4*1440</f>
        <v>28.766666666666669</v>
      </c>
      <c r="F4" s="230">
        <v>1.89E-2</v>
      </c>
      <c r="G4" s="219">
        <v>1.0500000000000001E-2</v>
      </c>
      <c r="H4" s="226">
        <v>17</v>
      </c>
      <c r="I4" s="227">
        <v>56.8</v>
      </c>
      <c r="J4" s="231"/>
    </row>
    <row r="5" spans="1:21" ht="15.75">
      <c r="A5" s="221"/>
      <c r="B5" s="221"/>
      <c r="C5" s="221"/>
      <c r="D5" s="228"/>
      <c r="E5" s="221">
        <f>E4*60</f>
        <v>1726.0000000000002</v>
      </c>
      <c r="F5" s="230">
        <v>9.1E-4</v>
      </c>
      <c r="G5" s="219">
        <v>5.1000000000000004E-4</v>
      </c>
      <c r="H5" s="226">
        <v>15</v>
      </c>
      <c r="I5" s="227">
        <v>76.7</v>
      </c>
      <c r="J5" s="231"/>
    </row>
    <row r="6" spans="1:21" ht="63">
      <c r="A6" s="232" t="s">
        <v>70</v>
      </c>
      <c r="B6" s="232" t="s">
        <v>989</v>
      </c>
      <c r="C6" s="232" t="s">
        <v>989</v>
      </c>
      <c r="D6" s="232" t="s">
        <v>991</v>
      </c>
      <c r="E6" s="232" t="s">
        <v>1808</v>
      </c>
      <c r="F6" s="232" t="s">
        <v>959</v>
      </c>
      <c r="G6" s="232" t="s">
        <v>158</v>
      </c>
      <c r="H6" s="232"/>
      <c r="I6" s="233" t="s">
        <v>70</v>
      </c>
      <c r="J6" s="234" t="s">
        <v>1067</v>
      </c>
      <c r="K6" s="235" t="s">
        <v>992</v>
      </c>
      <c r="L6" s="236" t="s">
        <v>964</v>
      </c>
      <c r="M6" s="237" t="s">
        <v>428</v>
      </c>
      <c r="N6" s="237" t="s">
        <v>429</v>
      </c>
      <c r="O6" s="238" t="s">
        <v>430</v>
      </c>
      <c r="P6" s="238" t="s">
        <v>431</v>
      </c>
      <c r="Q6" s="239" t="s">
        <v>432</v>
      </c>
      <c r="R6" s="238" t="s">
        <v>433</v>
      </c>
      <c r="S6" s="238" t="s">
        <v>434</v>
      </c>
      <c r="T6" s="240" t="s">
        <v>435</v>
      </c>
    </row>
    <row r="7" spans="1:21">
      <c r="A7" s="224">
        <v>1</v>
      </c>
      <c r="B7" s="224" t="s">
        <v>81</v>
      </c>
      <c r="I7" s="224">
        <v>1</v>
      </c>
      <c r="J7" s="241"/>
      <c r="K7" s="242"/>
    </row>
    <row r="8" spans="1:21">
      <c r="A8" s="224">
        <v>2</v>
      </c>
      <c r="B8" s="224" t="s">
        <v>81</v>
      </c>
      <c r="I8" s="224">
        <v>2</v>
      </c>
      <c r="J8" s="243"/>
      <c r="K8" s="244"/>
    </row>
    <row r="9" spans="1:21">
      <c r="A9" s="224">
        <v>3</v>
      </c>
      <c r="B9" s="245" t="s">
        <v>81</v>
      </c>
      <c r="C9" s="231"/>
      <c r="D9" s="231">
        <f t="shared" ref="D9:D72" si="0">E$4/E9</f>
        <v>51.63645066714534</v>
      </c>
      <c r="E9" s="246">
        <f t="shared" ref="E9:E32" si="1">ROUND(1-IF(A9&gt;=H$3,0,IF(A9&gt;=H$4,F$3*(A9-H$3)^2,F$2+F$4*(H$4-A9)+(A9&lt;H$5)*F$5*(H$5-A9)^2)),4)</f>
        <v>0.55710000000000004</v>
      </c>
      <c r="F9" s="231">
        <v>46.927678085916298</v>
      </c>
      <c r="G9" s="231"/>
      <c r="H9" s="247"/>
      <c r="I9" s="224">
        <v>3</v>
      </c>
      <c r="J9" s="243"/>
      <c r="K9" s="244"/>
    </row>
    <row r="10" spans="1:21">
      <c r="A10" s="224">
        <v>4</v>
      </c>
      <c r="B10" s="248"/>
      <c r="C10" s="231"/>
      <c r="D10" s="231">
        <f t="shared" si="0"/>
        <v>48.193443904618313</v>
      </c>
      <c r="E10" s="246">
        <f t="shared" si="1"/>
        <v>0.59689999999999999</v>
      </c>
      <c r="F10" s="231">
        <v>44.263219982561424</v>
      </c>
      <c r="G10" s="231"/>
      <c r="H10" s="247"/>
      <c r="I10" s="224">
        <v>4</v>
      </c>
      <c r="J10" s="243"/>
      <c r="K10" s="244"/>
    </row>
    <row r="11" spans="1:21">
      <c r="A11" s="224">
        <v>5</v>
      </c>
      <c r="B11" s="248"/>
      <c r="C11" s="231"/>
      <c r="D11" s="231">
        <f t="shared" si="0"/>
        <v>45.30183727034121</v>
      </c>
      <c r="E11" s="246">
        <f t="shared" si="1"/>
        <v>0.63500000000000001</v>
      </c>
      <c r="F11" s="231">
        <v>41.995133819951299</v>
      </c>
      <c r="G11" s="231"/>
      <c r="H11" s="247"/>
      <c r="I11" s="224">
        <v>5</v>
      </c>
      <c r="J11" s="243"/>
      <c r="K11" s="244"/>
    </row>
    <row r="12" spans="1:21" ht="15.75">
      <c r="A12" s="224">
        <v>6</v>
      </c>
      <c r="B12" s="248">
        <v>3.335648148148148E-2</v>
      </c>
      <c r="C12" s="231">
        <f>B12*1440</f>
        <v>48.033333333333331</v>
      </c>
      <c r="D12" s="231">
        <f>E$4/E12</f>
        <v>42.864948095167144</v>
      </c>
      <c r="E12" s="246">
        <f t="shared" si="1"/>
        <v>0.67110000000000003</v>
      </c>
      <c r="F12" s="231">
        <v>40.048262100329481</v>
      </c>
      <c r="G12" s="231">
        <v>48.033333333333331</v>
      </c>
      <c r="H12" s="247"/>
      <c r="I12" s="224">
        <v>6</v>
      </c>
      <c r="J12" s="243">
        <f>100*(+F12/+C12)</f>
        <v>83.375979389998918</v>
      </c>
      <c r="K12" s="244">
        <f t="shared" ref="K12:K27" si="2">100*(D12/C12)</f>
        <v>89.240002973977411</v>
      </c>
      <c r="L12" s="249" t="s">
        <v>436</v>
      </c>
      <c r="M12" s="250" t="s">
        <v>246</v>
      </c>
      <c r="N12" s="251" t="s">
        <v>508</v>
      </c>
      <c r="O12" s="250" t="s">
        <v>241</v>
      </c>
      <c r="P12" s="252">
        <v>40412</v>
      </c>
      <c r="Q12" s="251"/>
      <c r="R12" s="250" t="s">
        <v>509</v>
      </c>
      <c r="S12" s="252">
        <v>42876</v>
      </c>
      <c r="T12" s="253"/>
      <c r="U12" s="254"/>
    </row>
    <row r="13" spans="1:21" ht="15.75">
      <c r="A13" s="224">
        <v>7</v>
      </c>
      <c r="B13" s="248">
        <v>3.2037037037037037E-2</v>
      </c>
      <c r="C13" s="231">
        <f t="shared" ref="C13:C75" si="3">B13*1440</f>
        <v>46.133333333333333</v>
      </c>
      <c r="D13" s="231">
        <f t="shared" si="0"/>
        <v>40.774864162532488</v>
      </c>
      <c r="E13" s="246">
        <f t="shared" si="1"/>
        <v>0.70550000000000002</v>
      </c>
      <c r="F13" s="231">
        <v>38.365786431937408</v>
      </c>
      <c r="G13" s="231">
        <v>46.133333333333297</v>
      </c>
      <c r="H13" s="247"/>
      <c r="I13" s="224">
        <v>7</v>
      </c>
      <c r="J13" s="243">
        <f t="shared" ref="J13:J76" si="4">100*(+F13/+C13)</f>
        <v>83.162831861135999</v>
      </c>
      <c r="K13" s="244">
        <f t="shared" si="2"/>
        <v>88.384821161558861</v>
      </c>
      <c r="L13" s="249" t="s">
        <v>437</v>
      </c>
      <c r="M13" s="250" t="s">
        <v>510</v>
      </c>
      <c r="N13" s="251" t="s">
        <v>511</v>
      </c>
      <c r="O13" s="250" t="s">
        <v>241</v>
      </c>
      <c r="P13" s="252">
        <v>39042</v>
      </c>
      <c r="Q13" s="251"/>
      <c r="R13" s="250" t="s">
        <v>512</v>
      </c>
      <c r="S13" s="252">
        <v>41917</v>
      </c>
      <c r="T13" s="253"/>
      <c r="U13" s="254"/>
    </row>
    <row r="14" spans="1:21" ht="15.75">
      <c r="A14" s="224">
        <v>8</v>
      </c>
      <c r="B14" s="248">
        <v>3.1724537037037037E-2</v>
      </c>
      <c r="C14" s="231">
        <f t="shared" si="3"/>
        <v>45.683333333333337</v>
      </c>
      <c r="D14" s="231">
        <f>E$4/E14</f>
        <v>38.973942103599335</v>
      </c>
      <c r="E14" s="246">
        <f t="shared" si="1"/>
        <v>0.73809999999999998</v>
      </c>
      <c r="F14" s="231">
        <v>36.908733213583105</v>
      </c>
      <c r="G14" s="231">
        <v>45.683333333333323</v>
      </c>
      <c r="H14" s="247"/>
      <c r="I14" s="224">
        <v>8</v>
      </c>
      <c r="J14" s="243">
        <f t="shared" si="4"/>
        <v>80.792557198649618</v>
      </c>
      <c r="K14" s="244">
        <f t="shared" si="2"/>
        <v>85.313262539801528</v>
      </c>
      <c r="L14" s="249" t="s">
        <v>438</v>
      </c>
      <c r="M14" s="250" t="s">
        <v>513</v>
      </c>
      <c r="N14" s="251" t="s">
        <v>514</v>
      </c>
      <c r="O14" s="250" t="s">
        <v>241</v>
      </c>
      <c r="P14" s="252">
        <v>38897</v>
      </c>
      <c r="Q14" s="251"/>
      <c r="R14" s="250" t="s">
        <v>515</v>
      </c>
      <c r="S14" s="252">
        <v>42021</v>
      </c>
      <c r="T14" s="253"/>
      <c r="U14" s="254"/>
    </row>
    <row r="15" spans="1:21" ht="15.75">
      <c r="A15" s="224">
        <v>9</v>
      </c>
      <c r="B15" s="248">
        <v>2.6122685185185186E-2</v>
      </c>
      <c r="C15" s="231">
        <f t="shared" si="3"/>
        <v>37.616666666666667</v>
      </c>
      <c r="D15" s="231">
        <f t="shared" si="0"/>
        <v>37.417620534165799</v>
      </c>
      <c r="E15" s="246">
        <f t="shared" si="1"/>
        <v>0.76880000000000004</v>
      </c>
      <c r="F15" s="231">
        <v>35.637594978526593</v>
      </c>
      <c r="G15" s="231">
        <v>37.61666666666666</v>
      </c>
      <c r="H15" s="247"/>
      <c r="I15" s="224">
        <v>9</v>
      </c>
      <c r="J15" s="243">
        <f t="shared" si="4"/>
        <v>94.738843540611242</v>
      </c>
      <c r="K15" s="244">
        <f t="shared" si="2"/>
        <v>99.470856537436774</v>
      </c>
      <c r="L15" s="249" t="s">
        <v>439</v>
      </c>
      <c r="M15" s="250" t="s">
        <v>516</v>
      </c>
      <c r="N15" s="251" t="s">
        <v>517</v>
      </c>
      <c r="O15" s="250" t="s">
        <v>241</v>
      </c>
      <c r="P15" s="252">
        <v>28075</v>
      </c>
      <c r="Q15" s="251"/>
      <c r="R15" s="250" t="s">
        <v>518</v>
      </c>
      <c r="S15" s="252">
        <v>31472</v>
      </c>
      <c r="T15" s="253"/>
      <c r="U15" s="254"/>
    </row>
    <row r="16" spans="1:21" ht="15.75">
      <c r="A16" s="224">
        <v>10</v>
      </c>
      <c r="B16" s="248">
        <v>2.5034722222222222E-2</v>
      </c>
      <c r="C16" s="231">
        <f t="shared" si="3"/>
        <v>36.049999999999997</v>
      </c>
      <c r="D16" s="231">
        <f t="shared" si="0"/>
        <v>36.062011616731439</v>
      </c>
      <c r="E16" s="246">
        <f t="shared" si="1"/>
        <v>0.79769999999999996</v>
      </c>
      <c r="F16" s="231">
        <v>34.521380855234213</v>
      </c>
      <c r="G16" s="231">
        <v>36.049999999999997</v>
      </c>
      <c r="H16" s="247"/>
      <c r="I16" s="224">
        <v>10</v>
      </c>
      <c r="J16" s="243">
        <f t="shared" si="4"/>
        <v>95.759724979845259</v>
      </c>
      <c r="K16" s="244">
        <f t="shared" si="2"/>
        <v>100.03331932519124</v>
      </c>
      <c r="L16" s="249" t="s">
        <v>440</v>
      </c>
      <c r="M16" s="250" t="s">
        <v>516</v>
      </c>
      <c r="N16" s="251" t="s">
        <v>517</v>
      </c>
      <c r="O16" s="250" t="s">
        <v>241</v>
      </c>
      <c r="P16" s="252">
        <v>28075</v>
      </c>
      <c r="Q16" s="251"/>
      <c r="R16" s="250" t="s">
        <v>519</v>
      </c>
      <c r="S16" s="252">
        <v>31802</v>
      </c>
      <c r="T16" s="253"/>
      <c r="U16" s="254"/>
    </row>
    <row r="17" spans="1:21" ht="15.75">
      <c r="A17" s="224">
        <v>11</v>
      </c>
      <c r="B17" s="248">
        <v>2.5335648148148149E-2</v>
      </c>
      <c r="C17" s="231">
        <f t="shared" si="3"/>
        <v>36.483333333333334</v>
      </c>
      <c r="D17" s="231">
        <f t="shared" si="0"/>
        <v>34.877141933398001</v>
      </c>
      <c r="E17" s="246">
        <f t="shared" si="1"/>
        <v>0.82479999999999998</v>
      </c>
      <c r="F17" s="231">
        <v>33.551045797371899</v>
      </c>
      <c r="G17" s="231">
        <v>36.483333333333299</v>
      </c>
      <c r="H17" s="247"/>
      <c r="I17" s="224">
        <v>11</v>
      </c>
      <c r="J17" s="243">
        <f t="shared" si="4"/>
        <v>91.962665502161428</v>
      </c>
      <c r="K17" s="244">
        <f t="shared" si="2"/>
        <v>95.597465326810422</v>
      </c>
      <c r="L17" s="249" t="s">
        <v>441</v>
      </c>
      <c r="M17" s="250" t="s">
        <v>520</v>
      </c>
      <c r="N17" s="251" t="s">
        <v>521</v>
      </c>
      <c r="O17" s="250" t="s">
        <v>522</v>
      </c>
      <c r="P17" s="252">
        <v>36838</v>
      </c>
      <c r="Q17" s="251"/>
      <c r="R17" s="250" t="s">
        <v>523</v>
      </c>
      <c r="S17" s="252">
        <v>41167</v>
      </c>
      <c r="T17" s="253"/>
      <c r="U17" s="254"/>
    </row>
    <row r="18" spans="1:21" ht="15.75">
      <c r="A18" s="224">
        <v>12</v>
      </c>
      <c r="B18" s="248">
        <v>2.3935185185185184E-2</v>
      </c>
      <c r="C18" s="231">
        <f t="shared" si="3"/>
        <v>34.466666666666669</v>
      </c>
      <c r="D18" s="231">
        <f t="shared" si="0"/>
        <v>33.839156177704588</v>
      </c>
      <c r="E18" s="246">
        <f t="shared" si="1"/>
        <v>0.85009999999999997</v>
      </c>
      <c r="F18" s="231">
        <v>32.696825035993029</v>
      </c>
      <c r="G18" s="231">
        <v>34.466666666666669</v>
      </c>
      <c r="H18" s="247"/>
      <c r="I18" s="224">
        <v>12</v>
      </c>
      <c r="J18" s="243">
        <f t="shared" si="4"/>
        <v>94.865062967097757</v>
      </c>
      <c r="K18" s="244">
        <f t="shared" si="2"/>
        <v>98.179369954655471</v>
      </c>
      <c r="L18" s="249" t="s">
        <v>442</v>
      </c>
      <c r="M18" s="250" t="s">
        <v>516</v>
      </c>
      <c r="N18" s="251" t="s">
        <v>517</v>
      </c>
      <c r="O18" s="250" t="s">
        <v>241</v>
      </c>
      <c r="P18" s="252">
        <v>28075</v>
      </c>
      <c r="Q18" s="251"/>
      <c r="R18" s="250" t="s">
        <v>524</v>
      </c>
      <c r="S18" s="252">
        <v>32536</v>
      </c>
      <c r="T18" s="253"/>
      <c r="U18" s="254"/>
    </row>
    <row r="19" spans="1:21" ht="15.75">
      <c r="A19" s="224">
        <v>13</v>
      </c>
      <c r="B19" s="248">
        <v>2.4814814814814814E-2</v>
      </c>
      <c r="C19" s="231">
        <f t="shared" si="3"/>
        <v>35.733333333333334</v>
      </c>
      <c r="D19" s="231">
        <f t="shared" si="0"/>
        <v>32.932646441518798</v>
      </c>
      <c r="E19" s="246">
        <f t="shared" si="1"/>
        <v>0.87350000000000005</v>
      </c>
      <c r="F19" s="231">
        <v>31.948763512512961</v>
      </c>
      <c r="G19" s="231">
        <v>35.733333333333334</v>
      </c>
      <c r="H19" s="247"/>
      <c r="I19" s="224">
        <v>13</v>
      </c>
      <c r="J19" s="243">
        <f t="shared" si="4"/>
        <v>89.408853113375812</v>
      </c>
      <c r="K19" s="244">
        <f t="shared" si="2"/>
        <v>92.162256832608577</v>
      </c>
      <c r="L19" s="249" t="s">
        <v>443</v>
      </c>
      <c r="M19" s="250" t="s">
        <v>520</v>
      </c>
      <c r="N19" s="251" t="s">
        <v>521</v>
      </c>
      <c r="O19" s="250" t="s">
        <v>522</v>
      </c>
      <c r="P19" s="252">
        <v>36838</v>
      </c>
      <c r="Q19" s="251"/>
      <c r="R19" s="250" t="s">
        <v>525</v>
      </c>
      <c r="S19" s="252">
        <v>41923</v>
      </c>
      <c r="T19" s="253"/>
      <c r="U19" s="254"/>
    </row>
    <row r="20" spans="1:21" ht="15.75">
      <c r="A20" s="224">
        <v>14</v>
      </c>
      <c r="B20" s="248">
        <v>2.3101851851851853E-2</v>
      </c>
      <c r="C20" s="231">
        <f t="shared" si="3"/>
        <v>33.266666666666666</v>
      </c>
      <c r="D20" s="231">
        <f t="shared" si="0"/>
        <v>32.137936171005101</v>
      </c>
      <c r="E20" s="246">
        <f t="shared" si="1"/>
        <v>0.89510000000000001</v>
      </c>
      <c r="F20" s="231">
        <v>31.2987342690313</v>
      </c>
      <c r="G20" s="231">
        <v>33.266666666666666</v>
      </c>
      <c r="H20" s="247"/>
      <c r="I20" s="224">
        <v>14</v>
      </c>
      <c r="J20" s="243">
        <f t="shared" si="4"/>
        <v>94.084371550194291</v>
      </c>
      <c r="K20" s="244">
        <f t="shared" si="2"/>
        <v>96.607022558131575</v>
      </c>
      <c r="L20" s="249" t="s">
        <v>444</v>
      </c>
      <c r="M20" s="250" t="s">
        <v>526</v>
      </c>
      <c r="N20" s="251" t="s">
        <v>527</v>
      </c>
      <c r="O20" s="250" t="s">
        <v>528</v>
      </c>
      <c r="P20" s="252">
        <v>31168</v>
      </c>
      <c r="Q20" s="251"/>
      <c r="R20" s="250" t="s">
        <v>529</v>
      </c>
      <c r="S20" s="252">
        <v>36443</v>
      </c>
      <c r="T20" s="253"/>
      <c r="U20" s="254"/>
    </row>
    <row r="21" spans="1:21" ht="15.75">
      <c r="A21" s="224">
        <v>15</v>
      </c>
      <c r="B21" s="248">
        <v>2.3136574074074073E-2</v>
      </c>
      <c r="C21" s="231">
        <f t="shared" si="3"/>
        <v>33.316666666666663</v>
      </c>
      <c r="D21" s="231">
        <f>E$4/E21</f>
        <v>31.43897996357013</v>
      </c>
      <c r="E21" s="246">
        <f t="shared" si="1"/>
        <v>0.91500000000000004</v>
      </c>
      <c r="F21" s="231">
        <v>30.733618233618234</v>
      </c>
      <c r="G21" s="231">
        <v>33.31666666666667</v>
      </c>
      <c r="H21" s="247"/>
      <c r="I21" s="224">
        <v>15</v>
      </c>
      <c r="J21" s="243">
        <f t="shared" si="4"/>
        <v>92.246978189949687</v>
      </c>
      <c r="K21" s="244">
        <f t="shared" si="2"/>
        <v>94.364121951686244</v>
      </c>
      <c r="L21" s="249" t="s">
        <v>445</v>
      </c>
      <c r="M21" s="250" t="s">
        <v>530</v>
      </c>
      <c r="N21" s="251" t="s">
        <v>531</v>
      </c>
      <c r="O21" s="250" t="s">
        <v>288</v>
      </c>
      <c r="P21" s="252">
        <v>31963</v>
      </c>
      <c r="Q21" s="251"/>
      <c r="R21" s="250" t="s">
        <v>532</v>
      </c>
      <c r="S21" s="252">
        <v>37794</v>
      </c>
      <c r="T21" s="253"/>
      <c r="U21" s="254"/>
    </row>
    <row r="22" spans="1:21" ht="15.75">
      <c r="A22" s="224">
        <v>16</v>
      </c>
      <c r="B22" s="248">
        <v>2.2708333333333334E-2</v>
      </c>
      <c r="C22" s="231">
        <f t="shared" si="3"/>
        <v>32.700000000000003</v>
      </c>
      <c r="D22" s="231">
        <f t="shared" si="0"/>
        <v>30.802726915801124</v>
      </c>
      <c r="E22" s="246">
        <f t="shared" si="1"/>
        <v>0.93389999999999995</v>
      </c>
      <c r="F22" s="231">
        <v>30.217086834733898</v>
      </c>
      <c r="G22" s="231">
        <v>32.700000000000003</v>
      </c>
      <c r="H22" s="247"/>
      <c r="I22" s="224">
        <v>16</v>
      </c>
      <c r="J22" s="243">
        <f t="shared" si="4"/>
        <v>92.406993378391121</v>
      </c>
      <c r="K22" s="244">
        <f t="shared" si="2"/>
        <v>94.197941638535539</v>
      </c>
      <c r="L22" s="249" t="s">
        <v>446</v>
      </c>
      <c r="M22" s="250" t="s">
        <v>533</v>
      </c>
      <c r="N22" s="251" t="s">
        <v>534</v>
      </c>
      <c r="O22" s="250" t="s">
        <v>535</v>
      </c>
      <c r="P22" s="252">
        <v>33038</v>
      </c>
      <c r="Q22" s="251"/>
      <c r="R22" s="250" t="s">
        <v>536</v>
      </c>
      <c r="S22" s="252">
        <v>39201</v>
      </c>
      <c r="T22" s="253"/>
      <c r="U22" s="254"/>
    </row>
    <row r="23" spans="1:21" ht="15.75">
      <c r="A23" s="224">
        <v>17</v>
      </c>
      <c r="B23" s="248">
        <v>2.1898148148148149E-2</v>
      </c>
      <c r="C23" s="231">
        <f t="shared" si="3"/>
        <v>31.533333333333335</v>
      </c>
      <c r="D23" s="231">
        <f t="shared" si="0"/>
        <v>30.191715645116151</v>
      </c>
      <c r="E23" s="246">
        <f t="shared" si="1"/>
        <v>0.95279999999999998</v>
      </c>
      <c r="F23" s="231">
        <v>29.717630853994493</v>
      </c>
      <c r="G23" s="231">
        <v>31.533333333333335</v>
      </c>
      <c r="H23" s="247"/>
      <c r="I23" s="224">
        <v>17</v>
      </c>
      <c r="J23" s="243">
        <f t="shared" si="4"/>
        <v>94.241958310764772</v>
      </c>
      <c r="K23" s="244">
        <f t="shared" si="2"/>
        <v>95.745398451742545</v>
      </c>
      <c r="L23" s="249" t="s">
        <v>447</v>
      </c>
      <c r="M23" s="250" t="s">
        <v>537</v>
      </c>
      <c r="N23" s="251" t="s">
        <v>538</v>
      </c>
      <c r="O23" s="250" t="s">
        <v>268</v>
      </c>
      <c r="P23" s="252">
        <v>34251</v>
      </c>
      <c r="Q23" s="251"/>
      <c r="R23" s="250" t="s">
        <v>539</v>
      </c>
      <c r="S23" s="252">
        <v>40811</v>
      </c>
      <c r="T23" s="253"/>
      <c r="U23" s="254"/>
    </row>
    <row r="24" spans="1:21" ht="15.75">
      <c r="A24" s="224">
        <v>18</v>
      </c>
      <c r="B24" s="248">
        <v>2.1863425925925925E-2</v>
      </c>
      <c r="C24" s="231">
        <f t="shared" si="3"/>
        <v>31.483333333333331</v>
      </c>
      <c r="D24" s="231">
        <f t="shared" si="0"/>
        <v>29.662473362205269</v>
      </c>
      <c r="E24" s="246">
        <f t="shared" si="1"/>
        <v>0.9698</v>
      </c>
      <c r="F24" s="231">
        <v>29.293957909029196</v>
      </c>
      <c r="G24" s="231">
        <v>31.483333333333331</v>
      </c>
      <c r="H24" s="247"/>
      <c r="I24" s="224">
        <v>18</v>
      </c>
      <c r="J24" s="243">
        <f t="shared" si="4"/>
        <v>93.045922421479716</v>
      </c>
      <c r="K24" s="244">
        <f t="shared" si="2"/>
        <v>94.216432066295198</v>
      </c>
      <c r="L24" s="249" t="s">
        <v>448</v>
      </c>
      <c r="M24" s="250" t="s">
        <v>533</v>
      </c>
      <c r="N24" s="251" t="s">
        <v>534</v>
      </c>
      <c r="O24" s="250" t="s">
        <v>535</v>
      </c>
      <c r="P24" s="252">
        <v>33038</v>
      </c>
      <c r="Q24" s="251"/>
      <c r="R24" s="250" t="s">
        <v>536</v>
      </c>
      <c r="S24" s="252">
        <v>39936</v>
      </c>
      <c r="T24" s="253"/>
      <c r="U24" s="254"/>
    </row>
    <row r="25" spans="1:21" ht="15.75">
      <c r="A25" s="224">
        <v>19</v>
      </c>
      <c r="B25" s="248">
        <v>2.1608796296296296E-2</v>
      </c>
      <c r="C25" s="231">
        <f t="shared" si="3"/>
        <v>31.116666666666667</v>
      </c>
      <c r="D25" s="231">
        <f t="shared" si="0"/>
        <v>29.264157341471687</v>
      </c>
      <c r="E25" s="246">
        <f t="shared" si="1"/>
        <v>0.98299999999999998</v>
      </c>
      <c r="F25" s="231">
        <v>28.998655913978496</v>
      </c>
      <c r="G25" s="231">
        <v>31.116666666666667</v>
      </c>
      <c r="H25" s="247"/>
      <c r="I25" s="224">
        <v>19</v>
      </c>
      <c r="J25" s="243">
        <f t="shared" si="4"/>
        <v>93.193323772828592</v>
      </c>
      <c r="K25" s="244">
        <f t="shared" si="2"/>
        <v>94.046568853149509</v>
      </c>
      <c r="L25" s="249" t="s">
        <v>449</v>
      </c>
      <c r="M25" s="250" t="s">
        <v>540</v>
      </c>
      <c r="N25" s="251" t="s">
        <v>541</v>
      </c>
      <c r="O25" s="250" t="s">
        <v>272</v>
      </c>
      <c r="P25" s="252">
        <v>33050</v>
      </c>
      <c r="Q25" s="251"/>
      <c r="R25" s="250" t="s">
        <v>542</v>
      </c>
      <c r="S25" s="252">
        <v>40299</v>
      </c>
      <c r="T25" s="253"/>
      <c r="U25" s="254"/>
    </row>
    <row r="26" spans="1:21" ht="15.75">
      <c r="A26" s="224">
        <v>20</v>
      </c>
      <c r="B26" s="248">
        <v>2.1307870370370369E-2</v>
      </c>
      <c r="C26" s="231">
        <f t="shared" si="3"/>
        <v>30.683333333333334</v>
      </c>
      <c r="D26" s="231">
        <f t="shared" si="0"/>
        <v>28.986967620583101</v>
      </c>
      <c r="E26" s="246">
        <f t="shared" si="1"/>
        <v>0.99239999999999995</v>
      </c>
      <c r="F26" s="231">
        <v>28.82431529726119</v>
      </c>
      <c r="G26" s="231">
        <v>30.683333333333334</v>
      </c>
      <c r="H26" s="247"/>
      <c r="I26" s="224">
        <v>20</v>
      </c>
      <c r="J26" s="243">
        <f t="shared" si="4"/>
        <v>93.941277448977274</v>
      </c>
      <c r="K26" s="244">
        <f t="shared" si="2"/>
        <v>94.471377362030751</v>
      </c>
      <c r="L26" s="249" t="s">
        <v>450</v>
      </c>
      <c r="M26" s="250" t="s">
        <v>543</v>
      </c>
      <c r="N26" s="251" t="s">
        <v>544</v>
      </c>
      <c r="O26" s="250" t="s">
        <v>268</v>
      </c>
      <c r="P26" s="252">
        <v>34678</v>
      </c>
      <c r="Q26" s="251"/>
      <c r="R26" s="250" t="s">
        <v>545</v>
      </c>
      <c r="S26" s="252">
        <v>42288</v>
      </c>
      <c r="T26" s="253"/>
      <c r="U26" s="254"/>
    </row>
    <row r="27" spans="1:21" ht="15.75">
      <c r="A27" s="224">
        <v>21</v>
      </c>
      <c r="B27" s="248">
        <v>2.1469907407407406E-2</v>
      </c>
      <c r="C27" s="231">
        <f t="shared" si="3"/>
        <v>30.916666666666664</v>
      </c>
      <c r="D27" s="231">
        <f t="shared" si="0"/>
        <v>28.821427378686174</v>
      </c>
      <c r="E27" s="246">
        <f t="shared" si="1"/>
        <v>0.99809999999999999</v>
      </c>
      <c r="F27" s="231">
        <v>28.766666666666669</v>
      </c>
      <c r="G27" s="231">
        <v>30.916666666666671</v>
      </c>
      <c r="H27" s="247"/>
      <c r="I27" s="224">
        <v>21</v>
      </c>
      <c r="J27" s="243">
        <f t="shared" si="4"/>
        <v>93.045822102425888</v>
      </c>
      <c r="K27" s="244">
        <f t="shared" si="2"/>
        <v>93.222945699254481</v>
      </c>
      <c r="L27" s="249" t="s">
        <v>451</v>
      </c>
      <c r="M27" s="250" t="s">
        <v>546</v>
      </c>
      <c r="N27" s="251" t="s">
        <v>547</v>
      </c>
      <c r="O27" s="250" t="s">
        <v>268</v>
      </c>
      <c r="P27" s="252">
        <v>34239</v>
      </c>
      <c r="Q27" s="251"/>
      <c r="R27" s="250" t="s">
        <v>548</v>
      </c>
      <c r="S27" s="252">
        <v>42252</v>
      </c>
      <c r="T27" s="253"/>
      <c r="U27" s="254"/>
    </row>
    <row r="28" spans="1:21" ht="15.75">
      <c r="A28" s="224">
        <v>22</v>
      </c>
      <c r="B28" s="248">
        <v>1.9976851851851853E-2</v>
      </c>
      <c r="C28" s="231">
        <f t="shared" si="3"/>
        <v>28.766666666666669</v>
      </c>
      <c r="D28" s="231">
        <f t="shared" si="0"/>
        <v>28.766666666666669</v>
      </c>
      <c r="E28" s="246">
        <f t="shared" si="1"/>
        <v>1</v>
      </c>
      <c r="F28" s="231">
        <v>28.766666666666669</v>
      </c>
      <c r="G28" s="231">
        <v>30.100000000000005</v>
      </c>
      <c r="H28" s="247"/>
      <c r="I28" s="224">
        <v>22</v>
      </c>
      <c r="J28" s="243">
        <f t="shared" si="4"/>
        <v>100</v>
      </c>
      <c r="K28" s="244">
        <f>100*(D28/C28)</f>
        <v>100</v>
      </c>
      <c r="L28" s="255" t="s">
        <v>965</v>
      </c>
      <c r="M28" s="256" t="s">
        <v>972</v>
      </c>
      <c r="N28" s="257" t="s">
        <v>973</v>
      </c>
      <c r="O28" s="257" t="s">
        <v>268</v>
      </c>
      <c r="P28" s="258">
        <v>36914</v>
      </c>
      <c r="Q28" s="257" t="s">
        <v>974</v>
      </c>
      <c r="R28" s="257" t="s">
        <v>975</v>
      </c>
      <c r="S28" s="259">
        <v>45305</v>
      </c>
      <c r="T28" s="260" t="s">
        <v>976</v>
      </c>
      <c r="U28" s="261" t="s">
        <v>976</v>
      </c>
    </row>
    <row r="29" spans="1:21" ht="15.75">
      <c r="A29" s="224">
        <v>23</v>
      </c>
      <c r="B29" s="248">
        <v>2.0104166666666666E-2</v>
      </c>
      <c r="C29" s="231">
        <f t="shared" si="3"/>
        <v>28.95</v>
      </c>
      <c r="D29" s="231">
        <f t="shared" si="0"/>
        <v>28.766666666666669</v>
      </c>
      <c r="E29" s="246">
        <f t="shared" si="1"/>
        <v>1</v>
      </c>
      <c r="F29" s="231">
        <v>28.766666666666669</v>
      </c>
      <c r="G29" s="231">
        <v>29.716666666666669</v>
      </c>
      <c r="H29" s="247"/>
      <c r="I29" s="224">
        <v>23</v>
      </c>
      <c r="J29" s="243">
        <f t="shared" si="4"/>
        <v>99.366724237190567</v>
      </c>
      <c r="K29" s="244">
        <f t="shared" ref="K29:K92" si="5">100*(D29/C29)</f>
        <v>99.366724237190567</v>
      </c>
      <c r="L29" s="249" t="s">
        <v>966</v>
      </c>
      <c r="M29" s="250" t="s">
        <v>977</v>
      </c>
      <c r="N29" s="251" t="s">
        <v>978</v>
      </c>
      <c r="O29" s="250" t="s">
        <v>268</v>
      </c>
      <c r="P29" s="252">
        <v>36618</v>
      </c>
      <c r="Q29" s="250" t="s">
        <v>974</v>
      </c>
      <c r="R29" s="250" t="s">
        <v>975</v>
      </c>
      <c r="S29" s="252">
        <v>45305</v>
      </c>
      <c r="T29" s="253"/>
      <c r="U29" s="254"/>
    </row>
    <row r="30" spans="1:21" ht="15.75">
      <c r="A30" s="224">
        <v>24</v>
      </c>
      <c r="B30" s="248">
        <v>2.1284722222222222E-2</v>
      </c>
      <c r="C30" s="231">
        <f t="shared" si="3"/>
        <v>30.65</v>
      </c>
      <c r="D30" s="231">
        <f t="shared" si="0"/>
        <v>28.766666666666669</v>
      </c>
      <c r="E30" s="246">
        <f t="shared" si="1"/>
        <v>1</v>
      </c>
      <c r="F30" s="231">
        <v>28.766666666666669</v>
      </c>
      <c r="G30" s="231">
        <v>30.65</v>
      </c>
      <c r="H30" s="247"/>
      <c r="I30" s="224">
        <v>24</v>
      </c>
      <c r="J30" s="243">
        <f t="shared" si="4"/>
        <v>93.855356171832526</v>
      </c>
      <c r="K30" s="244">
        <f t="shared" si="5"/>
        <v>93.855356171832526</v>
      </c>
      <c r="L30" s="249" t="s">
        <v>452</v>
      </c>
      <c r="M30" s="250" t="s">
        <v>549</v>
      </c>
      <c r="N30" s="251" t="s">
        <v>550</v>
      </c>
      <c r="O30" s="250" t="s">
        <v>339</v>
      </c>
      <c r="P30" s="252">
        <v>23521</v>
      </c>
      <c r="Q30" s="251"/>
      <c r="R30" s="250" t="s">
        <v>551</v>
      </c>
      <c r="S30" s="252">
        <v>32578</v>
      </c>
      <c r="T30" s="253"/>
      <c r="U30" s="254"/>
    </row>
    <row r="31" spans="1:21" ht="15.75">
      <c r="A31" s="224">
        <v>25</v>
      </c>
      <c r="B31" s="248">
        <v>2.0844907407407406E-2</v>
      </c>
      <c r="C31" s="231">
        <f t="shared" si="3"/>
        <v>30.016666666666666</v>
      </c>
      <c r="D31" s="231">
        <f t="shared" si="0"/>
        <v>28.766666666666669</v>
      </c>
      <c r="E31" s="246">
        <f t="shared" si="1"/>
        <v>1</v>
      </c>
      <c r="F31" s="231">
        <v>28.766666666666669</v>
      </c>
      <c r="G31" s="231">
        <v>30.399999999999995</v>
      </c>
      <c r="H31" s="247"/>
      <c r="I31" s="224">
        <v>25</v>
      </c>
      <c r="J31" s="243">
        <f t="shared" si="4"/>
        <v>95.835646862853991</v>
      </c>
      <c r="K31" s="244">
        <f t="shared" si="5"/>
        <v>95.835646862853991</v>
      </c>
      <c r="L31" s="249" t="s">
        <v>967</v>
      </c>
      <c r="M31" s="250" t="s">
        <v>972</v>
      </c>
      <c r="N31" s="251" t="s">
        <v>979</v>
      </c>
      <c r="O31" s="250" t="s">
        <v>268</v>
      </c>
      <c r="P31" s="252">
        <v>34995</v>
      </c>
      <c r="Q31" s="262" t="s">
        <v>980</v>
      </c>
      <c r="R31" s="263" t="s">
        <v>981</v>
      </c>
      <c r="S31" s="252">
        <v>44451</v>
      </c>
      <c r="T31" s="253"/>
      <c r="U31" s="254"/>
    </row>
    <row r="32" spans="1:21" ht="15.75">
      <c r="A32" s="224">
        <v>26</v>
      </c>
      <c r="B32" s="248">
        <v>2.1122685185185185E-2</v>
      </c>
      <c r="C32" s="231">
        <f t="shared" si="3"/>
        <v>30.416666666666668</v>
      </c>
      <c r="D32" s="231">
        <f t="shared" si="0"/>
        <v>28.766666666666669</v>
      </c>
      <c r="E32" s="246">
        <f t="shared" si="1"/>
        <v>1</v>
      </c>
      <c r="F32" s="231">
        <v>28.766666666666669</v>
      </c>
      <c r="G32" s="231">
        <v>30.416666666666668</v>
      </c>
      <c r="H32" s="247"/>
      <c r="I32" s="224">
        <v>26</v>
      </c>
      <c r="J32" s="243">
        <f t="shared" si="4"/>
        <v>94.575342465753437</v>
      </c>
      <c r="K32" s="244">
        <f t="shared" si="5"/>
        <v>94.575342465753437</v>
      </c>
      <c r="L32" s="249" t="s">
        <v>453</v>
      </c>
      <c r="M32" s="250" t="s">
        <v>552</v>
      </c>
      <c r="N32" s="251" t="s">
        <v>553</v>
      </c>
      <c r="O32" s="250" t="s">
        <v>268</v>
      </c>
      <c r="P32" s="252">
        <v>33169</v>
      </c>
      <c r="Q32" s="251"/>
      <c r="R32" s="250" t="s">
        <v>548</v>
      </c>
      <c r="S32" s="252">
        <v>42987</v>
      </c>
      <c r="T32" s="253"/>
      <c r="U32" s="254"/>
    </row>
    <row r="33" spans="1:21" ht="15.75">
      <c r="A33" s="224">
        <v>27</v>
      </c>
      <c r="B33" s="248">
        <v>2.1377314814814814E-2</v>
      </c>
      <c r="C33" s="231">
        <f t="shared" si="3"/>
        <v>30.783333333333331</v>
      </c>
      <c r="D33" s="231">
        <f t="shared" si="0"/>
        <v>28.806996461713066</v>
      </c>
      <c r="E33" s="246">
        <f t="shared" ref="E33:E64" si="6">ROUND(1-IF(A33&lt;I$3,0,IF(A33&lt;I$4,G$3*(A33-I$3)^2,G$2+G$4*(A33-I$4)+(A33&gt;I$5)*G$5*(A33-I$5)^2)),4)</f>
        <v>0.99860000000000004</v>
      </c>
      <c r="F33" s="231">
        <v>28.766666666666669</v>
      </c>
      <c r="G33" s="231">
        <v>30.783333333333339</v>
      </c>
      <c r="H33" s="247"/>
      <c r="I33" s="224">
        <v>27</v>
      </c>
      <c r="J33" s="243">
        <f t="shared" si="4"/>
        <v>93.448835950189519</v>
      </c>
      <c r="K33" s="244">
        <f t="shared" si="5"/>
        <v>93.579847737021339</v>
      </c>
      <c r="L33" s="249" t="s">
        <v>454</v>
      </c>
      <c r="M33" s="250" t="s">
        <v>282</v>
      </c>
      <c r="N33" s="251" t="s">
        <v>554</v>
      </c>
      <c r="O33" s="250" t="s">
        <v>284</v>
      </c>
      <c r="P33" s="252">
        <v>27015</v>
      </c>
      <c r="Q33" s="251"/>
      <c r="R33" s="250" t="s">
        <v>555</v>
      </c>
      <c r="S33" s="252">
        <v>37051</v>
      </c>
      <c r="T33" s="253"/>
      <c r="U33" s="254"/>
    </row>
    <row r="34" spans="1:21" ht="15.75">
      <c r="A34" s="224">
        <v>28</v>
      </c>
      <c r="B34" s="248">
        <v>2.1180555555555557E-2</v>
      </c>
      <c r="C34" s="231">
        <f t="shared" si="3"/>
        <v>30.5</v>
      </c>
      <c r="D34" s="231">
        <f t="shared" si="0"/>
        <v>28.841654969587598</v>
      </c>
      <c r="E34" s="246">
        <f t="shared" si="6"/>
        <v>0.99739999999999995</v>
      </c>
      <c r="F34" s="231">
        <v>28.772421150896847</v>
      </c>
      <c r="G34" s="231">
        <v>30.499999999999996</v>
      </c>
      <c r="H34" s="247"/>
      <c r="I34" s="224">
        <v>28</v>
      </c>
      <c r="J34" s="243">
        <f t="shared" si="4"/>
        <v>94.335807052120813</v>
      </c>
      <c r="K34" s="244">
        <f t="shared" si="5"/>
        <v>94.562803178975727</v>
      </c>
      <c r="L34" s="249" t="s">
        <v>455</v>
      </c>
      <c r="M34" s="250" t="s">
        <v>270</v>
      </c>
      <c r="N34" s="251" t="s">
        <v>556</v>
      </c>
      <c r="O34" s="250" t="s">
        <v>272</v>
      </c>
      <c r="P34" s="252">
        <v>31199</v>
      </c>
      <c r="Q34" s="251"/>
      <c r="R34" s="250" t="s">
        <v>557</v>
      </c>
      <c r="S34" s="252">
        <v>41518</v>
      </c>
      <c r="T34" s="253"/>
      <c r="U34" s="254"/>
    </row>
    <row r="35" spans="1:21" ht="15.75">
      <c r="A35" s="224">
        <v>29</v>
      </c>
      <c r="B35" s="248">
        <v>2.1076388888888888E-2</v>
      </c>
      <c r="C35" s="231">
        <f t="shared" si="3"/>
        <v>30.349999999999998</v>
      </c>
      <c r="D35" s="231">
        <f t="shared" si="0"/>
        <v>28.882195448460511</v>
      </c>
      <c r="E35" s="246">
        <f t="shared" si="6"/>
        <v>0.996</v>
      </c>
      <c r="F35" s="231">
        <v>28.79257998865646</v>
      </c>
      <c r="G35" s="231">
        <v>30.35</v>
      </c>
      <c r="H35" s="247"/>
      <c r="I35" s="224">
        <v>29</v>
      </c>
      <c r="J35" s="243">
        <f t="shared" si="4"/>
        <v>94.868467837418322</v>
      </c>
      <c r="K35" s="244">
        <f t="shared" si="5"/>
        <v>95.163741181088994</v>
      </c>
      <c r="L35" s="249" t="s">
        <v>456</v>
      </c>
      <c r="M35" s="250" t="s">
        <v>282</v>
      </c>
      <c r="N35" s="251" t="s">
        <v>554</v>
      </c>
      <c r="O35" s="250" t="s">
        <v>284</v>
      </c>
      <c r="P35" s="252">
        <v>27015</v>
      </c>
      <c r="Q35" s="251"/>
      <c r="R35" s="250" t="s">
        <v>558</v>
      </c>
      <c r="S35" s="252">
        <v>37675</v>
      </c>
      <c r="T35" s="253"/>
      <c r="U35" s="254"/>
    </row>
    <row r="36" spans="1:21" ht="15.75">
      <c r="A36" s="224">
        <v>30</v>
      </c>
      <c r="B36" s="248">
        <v>2.0578703703703703E-2</v>
      </c>
      <c r="C36" s="231">
        <f t="shared" si="3"/>
        <v>29.633333333333333</v>
      </c>
      <c r="D36" s="231">
        <f t="shared" si="0"/>
        <v>28.934486689465569</v>
      </c>
      <c r="E36" s="246">
        <f t="shared" si="6"/>
        <v>0.99419999999999997</v>
      </c>
      <c r="F36" s="231">
        <v>28.82431529726119</v>
      </c>
      <c r="G36" s="231">
        <v>30.749999999999996</v>
      </c>
      <c r="H36" s="247"/>
      <c r="I36" s="224">
        <v>30</v>
      </c>
      <c r="J36" s="243">
        <f t="shared" si="4"/>
        <v>97.269905390082755</v>
      </c>
      <c r="K36" s="244">
        <f t="shared" si="5"/>
        <v>97.641687366025536</v>
      </c>
      <c r="L36" s="249" t="s">
        <v>968</v>
      </c>
      <c r="M36" s="250" t="s">
        <v>982</v>
      </c>
      <c r="N36" s="251" t="s">
        <v>983</v>
      </c>
      <c r="O36" s="250" t="s">
        <v>780</v>
      </c>
      <c r="P36" s="264">
        <v>33366</v>
      </c>
      <c r="Q36" s="262" t="s">
        <v>984</v>
      </c>
      <c r="R36" s="263" t="s">
        <v>985</v>
      </c>
      <c r="S36" s="252">
        <v>44472</v>
      </c>
      <c r="T36" s="253"/>
      <c r="U36" s="254"/>
    </row>
    <row r="37" spans="1:21" ht="15.75">
      <c r="A37" s="224">
        <v>31</v>
      </c>
      <c r="B37" s="248">
        <v>2.1412037037037038E-2</v>
      </c>
      <c r="C37" s="231">
        <f t="shared" si="3"/>
        <v>30.833333333333336</v>
      </c>
      <c r="D37" s="231">
        <f t="shared" si="0"/>
        <v>28.99281058926292</v>
      </c>
      <c r="E37" s="246">
        <f t="shared" si="6"/>
        <v>0.99219999999999997</v>
      </c>
      <c r="F37" s="231">
        <v>28.870600829653423</v>
      </c>
      <c r="G37" s="231">
        <v>30.833333333333329</v>
      </c>
      <c r="H37" s="247"/>
      <c r="I37" s="224">
        <v>31</v>
      </c>
      <c r="J37" s="243">
        <f t="shared" si="4"/>
        <v>93.634381069146229</v>
      </c>
      <c r="K37" s="244">
        <f t="shared" si="5"/>
        <v>94.03073704625811</v>
      </c>
      <c r="L37" s="249" t="s">
        <v>457</v>
      </c>
      <c r="M37" s="250" t="s">
        <v>290</v>
      </c>
      <c r="N37" s="251" t="s">
        <v>559</v>
      </c>
      <c r="O37" s="250" t="s">
        <v>291</v>
      </c>
      <c r="P37" s="252">
        <v>27150</v>
      </c>
      <c r="Q37" s="251"/>
      <c r="R37" s="250" t="s">
        <v>558</v>
      </c>
      <c r="S37" s="252">
        <v>38774</v>
      </c>
      <c r="T37" s="253"/>
      <c r="U37" s="254"/>
    </row>
    <row r="38" spans="1:21" ht="15.75">
      <c r="A38" s="224">
        <v>32</v>
      </c>
      <c r="B38" s="248">
        <v>2.148148148148148E-2</v>
      </c>
      <c r="C38" s="231">
        <f t="shared" si="3"/>
        <v>30.93333333333333</v>
      </c>
      <c r="D38" s="231">
        <f t="shared" si="0"/>
        <v>29.063110392671923</v>
      </c>
      <c r="E38" s="246">
        <f t="shared" si="6"/>
        <v>0.98980000000000001</v>
      </c>
      <c r="F38" s="231">
        <v>28.928667203003489</v>
      </c>
      <c r="G38" s="231">
        <v>30.93333333333333</v>
      </c>
      <c r="H38" s="247"/>
      <c r="I38" s="224">
        <v>32</v>
      </c>
      <c r="J38" s="243">
        <f t="shared" si="4"/>
        <v>93.519398285571626</v>
      </c>
      <c r="K38" s="244">
        <f t="shared" si="5"/>
        <v>93.954020665965274</v>
      </c>
      <c r="L38" s="249" t="s">
        <v>458</v>
      </c>
      <c r="M38" s="250" t="s">
        <v>543</v>
      </c>
      <c r="N38" s="251" t="s">
        <v>560</v>
      </c>
      <c r="O38" s="250" t="s">
        <v>268</v>
      </c>
      <c r="P38" s="252">
        <v>30448</v>
      </c>
      <c r="Q38" s="251"/>
      <c r="R38" s="250" t="s">
        <v>561</v>
      </c>
      <c r="S38" s="252">
        <v>42147</v>
      </c>
      <c r="T38" s="253"/>
      <c r="U38" s="254"/>
    </row>
    <row r="39" spans="1:21" ht="15.75">
      <c r="A39" s="224">
        <v>33</v>
      </c>
      <c r="B39" s="248">
        <v>2.1516203703703704E-2</v>
      </c>
      <c r="C39" s="231">
        <f t="shared" si="3"/>
        <v>30.983333333333334</v>
      </c>
      <c r="D39" s="231">
        <f t="shared" si="0"/>
        <v>29.14555893279298</v>
      </c>
      <c r="E39" s="246">
        <f t="shared" si="6"/>
        <v>0.98699999999999999</v>
      </c>
      <c r="F39" s="231">
        <v>28.998655913978496</v>
      </c>
      <c r="G39" s="231">
        <v>30.983333333333334</v>
      </c>
      <c r="H39" s="247"/>
      <c r="I39" s="224">
        <v>33</v>
      </c>
      <c r="J39" s="243">
        <f t="shared" si="4"/>
        <v>93.594370889656247</v>
      </c>
      <c r="K39" s="244">
        <f t="shared" si="5"/>
        <v>94.068506507131715</v>
      </c>
      <c r="L39" s="249" t="s">
        <v>459</v>
      </c>
      <c r="M39" s="250" t="s">
        <v>562</v>
      </c>
      <c r="N39" s="251" t="s">
        <v>563</v>
      </c>
      <c r="O39" s="250" t="s">
        <v>535</v>
      </c>
      <c r="P39" s="252">
        <v>20535</v>
      </c>
      <c r="Q39" s="251"/>
      <c r="R39" s="250" t="s">
        <v>279</v>
      </c>
      <c r="S39" s="252">
        <v>32607</v>
      </c>
      <c r="T39" s="253"/>
      <c r="U39" s="254"/>
    </row>
    <row r="40" spans="1:21" ht="15.75">
      <c r="A40" s="224">
        <v>34</v>
      </c>
      <c r="B40" s="248">
        <v>2.1435185185185186E-2</v>
      </c>
      <c r="C40" s="231">
        <f t="shared" si="3"/>
        <v>30.866666666666667</v>
      </c>
      <c r="D40" s="231">
        <f t="shared" si="0"/>
        <v>29.234417344173444</v>
      </c>
      <c r="E40" s="246">
        <f t="shared" si="6"/>
        <v>0.98399999999999999</v>
      </c>
      <c r="F40" s="231">
        <v>29.083678765207431</v>
      </c>
      <c r="G40" s="231">
        <v>30.866666666666667</v>
      </c>
      <c r="H40" s="247"/>
      <c r="I40" s="224">
        <v>34</v>
      </c>
      <c r="J40" s="243">
        <f t="shared" si="4"/>
        <v>94.223581312767053</v>
      </c>
      <c r="K40" s="244">
        <f t="shared" si="5"/>
        <v>94.711935240302736</v>
      </c>
      <c r="L40" s="249" t="s">
        <v>460</v>
      </c>
      <c r="M40" s="250" t="s">
        <v>564</v>
      </c>
      <c r="N40" s="251" t="s">
        <v>565</v>
      </c>
      <c r="O40" s="250" t="s">
        <v>241</v>
      </c>
      <c r="P40" s="252">
        <v>29775</v>
      </c>
      <c r="Q40" s="251"/>
      <c r="R40" s="250" t="s">
        <v>279</v>
      </c>
      <c r="S40" s="252">
        <v>42547</v>
      </c>
      <c r="T40" s="253"/>
      <c r="U40" s="254"/>
    </row>
    <row r="41" spans="1:21" ht="15.75">
      <c r="A41" s="224">
        <v>35</v>
      </c>
      <c r="B41" s="248">
        <v>2.1678240740740741E-2</v>
      </c>
      <c r="C41" s="231">
        <f t="shared" si="3"/>
        <v>31.216666666666669</v>
      </c>
      <c r="D41" s="231">
        <f t="shared" si="0"/>
        <v>29.335780814467334</v>
      </c>
      <c r="E41" s="246">
        <f t="shared" si="6"/>
        <v>0.98060000000000003</v>
      </c>
      <c r="F41" s="231">
        <v>29.183997835717427</v>
      </c>
      <c r="G41" s="231">
        <v>31.216666666666661</v>
      </c>
      <c r="H41" s="247"/>
      <c r="I41" s="224">
        <v>35</v>
      </c>
      <c r="J41" s="243">
        <f t="shared" si="4"/>
        <v>93.488514156062223</v>
      </c>
      <c r="K41" s="244">
        <f t="shared" si="5"/>
        <v>93.974738327177789</v>
      </c>
      <c r="L41" s="249" t="s">
        <v>461</v>
      </c>
      <c r="M41" s="250" t="s">
        <v>286</v>
      </c>
      <c r="N41" s="251" t="s">
        <v>566</v>
      </c>
      <c r="O41" s="250" t="s">
        <v>288</v>
      </c>
      <c r="P41" s="252">
        <v>24390</v>
      </c>
      <c r="Q41" s="251"/>
      <c r="R41" s="250" t="s">
        <v>567</v>
      </c>
      <c r="S41" s="252">
        <v>37178</v>
      </c>
      <c r="T41" s="253"/>
      <c r="U41" s="254"/>
    </row>
    <row r="42" spans="1:21" ht="15.75">
      <c r="A42" s="224">
        <v>36</v>
      </c>
      <c r="B42" s="248">
        <v>2.1493055555555557E-2</v>
      </c>
      <c r="C42" s="231">
        <f t="shared" si="3"/>
        <v>30.950000000000003</v>
      </c>
      <c r="D42" s="231">
        <f t="shared" si="0"/>
        <v>29.443875810303656</v>
      </c>
      <c r="E42" s="246">
        <f t="shared" si="6"/>
        <v>0.97699999999999998</v>
      </c>
      <c r="F42" s="231">
        <v>29.296941304274029</v>
      </c>
      <c r="G42" s="231">
        <v>30.950000000000003</v>
      </c>
      <c r="H42" s="247"/>
      <c r="I42" s="224">
        <v>36</v>
      </c>
      <c r="J42" s="243">
        <f t="shared" si="4"/>
        <v>94.658937978268256</v>
      </c>
      <c r="K42" s="244">
        <f t="shared" si="5"/>
        <v>95.133685978363985</v>
      </c>
      <c r="L42" s="249" t="s">
        <v>462</v>
      </c>
      <c r="M42" s="250" t="s">
        <v>568</v>
      </c>
      <c r="N42" s="251" t="s">
        <v>569</v>
      </c>
      <c r="O42" s="250" t="s">
        <v>345</v>
      </c>
      <c r="P42" s="252">
        <v>26534</v>
      </c>
      <c r="Q42" s="251"/>
      <c r="R42" s="250" t="s">
        <v>570</v>
      </c>
      <c r="S42" s="252">
        <v>39704</v>
      </c>
      <c r="T42" s="253"/>
      <c r="U42" s="254"/>
    </row>
    <row r="43" spans="1:21" ht="15.75">
      <c r="A43" s="224">
        <v>37</v>
      </c>
      <c r="B43" s="248">
        <v>2.2048611111111113E-2</v>
      </c>
      <c r="C43" s="231">
        <f t="shared" si="3"/>
        <v>31.750000000000004</v>
      </c>
      <c r="D43" s="231">
        <f t="shared" si="0"/>
        <v>29.567958337616066</v>
      </c>
      <c r="E43" s="246">
        <f t="shared" si="6"/>
        <v>0.97289999999999999</v>
      </c>
      <c r="F43" s="231">
        <v>29.422794995056428</v>
      </c>
      <c r="G43" s="231">
        <v>31.750000000000004</v>
      </c>
      <c r="H43" s="247"/>
      <c r="I43" s="224">
        <v>37</v>
      </c>
      <c r="J43" s="243">
        <f t="shared" si="4"/>
        <v>92.670220456870638</v>
      </c>
      <c r="K43" s="244">
        <f t="shared" si="5"/>
        <v>93.127427835011218</v>
      </c>
      <c r="L43" s="249" t="s">
        <v>463</v>
      </c>
      <c r="M43" s="250" t="s">
        <v>571</v>
      </c>
      <c r="N43" s="251" t="s">
        <v>572</v>
      </c>
      <c r="O43" s="250" t="s">
        <v>284</v>
      </c>
      <c r="P43" s="252">
        <v>27031</v>
      </c>
      <c r="Q43" s="251"/>
      <c r="R43" s="250" t="s">
        <v>573</v>
      </c>
      <c r="S43" s="252">
        <v>40678</v>
      </c>
      <c r="T43" s="253"/>
      <c r="U43" s="254"/>
    </row>
    <row r="44" spans="1:21" ht="15.75">
      <c r="A44" s="224">
        <v>38</v>
      </c>
      <c r="B44" s="248">
        <v>2.1956018518518517E-2</v>
      </c>
      <c r="C44" s="231">
        <f t="shared" si="3"/>
        <v>31.616666666666664</v>
      </c>
      <c r="D44" s="231">
        <f t="shared" si="0"/>
        <v>29.699222245164844</v>
      </c>
      <c r="E44" s="246">
        <f t="shared" si="6"/>
        <v>0.96860000000000002</v>
      </c>
      <c r="F44" s="231">
        <v>29.564919492977051</v>
      </c>
      <c r="G44" s="231">
        <v>31.616666666666664</v>
      </c>
      <c r="H44" s="247"/>
      <c r="I44" s="224">
        <v>38</v>
      </c>
      <c r="J44" s="243">
        <f t="shared" si="4"/>
        <v>93.510551901877875</v>
      </c>
      <c r="K44" s="244">
        <f t="shared" si="5"/>
        <v>93.935336568787079</v>
      </c>
      <c r="L44" s="249" t="s">
        <v>464</v>
      </c>
      <c r="M44" s="250" t="s">
        <v>309</v>
      </c>
      <c r="N44" s="251" t="s">
        <v>574</v>
      </c>
      <c r="O44" s="250" t="s">
        <v>268</v>
      </c>
      <c r="P44" s="252">
        <v>24566</v>
      </c>
      <c r="Q44" s="251"/>
      <c r="R44" s="250" t="s">
        <v>557</v>
      </c>
      <c r="S44" s="252">
        <v>38599</v>
      </c>
      <c r="T44" s="253"/>
      <c r="U44" s="254"/>
    </row>
    <row r="45" spans="1:21" ht="15.75">
      <c r="A45" s="224">
        <v>39</v>
      </c>
      <c r="B45" s="248">
        <v>2.2037037037037036E-2</v>
      </c>
      <c r="C45" s="231">
        <f t="shared" si="3"/>
        <v>31.733333333333331</v>
      </c>
      <c r="D45" s="231">
        <f t="shared" si="0"/>
        <v>29.840940525587833</v>
      </c>
      <c r="E45" s="246">
        <f t="shared" si="6"/>
        <v>0.96399999999999997</v>
      </c>
      <c r="F45" s="231">
        <v>29.720701174363747</v>
      </c>
      <c r="G45" s="231">
        <v>31.733333333333331</v>
      </c>
      <c r="H45" s="247"/>
      <c r="I45" s="224">
        <v>39</v>
      </c>
      <c r="J45" s="243">
        <f t="shared" si="4"/>
        <v>93.657671767952991</v>
      </c>
      <c r="K45" s="244">
        <f t="shared" si="5"/>
        <v>94.036577286516291</v>
      </c>
      <c r="L45" s="249" t="s">
        <v>465</v>
      </c>
      <c r="M45" s="250" t="s">
        <v>568</v>
      </c>
      <c r="N45" s="251" t="s">
        <v>569</v>
      </c>
      <c r="O45" s="250" t="s">
        <v>345</v>
      </c>
      <c r="P45" s="252">
        <v>26534</v>
      </c>
      <c r="Q45" s="251"/>
      <c r="R45" s="250" t="s">
        <v>575</v>
      </c>
      <c r="S45" s="252">
        <v>41006</v>
      </c>
      <c r="T45" s="253"/>
      <c r="U45" s="254"/>
    </row>
    <row r="46" spans="1:21" ht="15.75">
      <c r="A46" s="224">
        <v>40</v>
      </c>
      <c r="B46" s="248">
        <v>2.2488425925925926E-2</v>
      </c>
      <c r="C46" s="231">
        <f t="shared" si="3"/>
        <v>32.383333333333333</v>
      </c>
      <c r="D46" s="231">
        <f t="shared" si="0"/>
        <v>29.996524157108102</v>
      </c>
      <c r="E46" s="246">
        <f t="shared" si="6"/>
        <v>0.95899999999999996</v>
      </c>
      <c r="F46" s="231">
        <v>29.893657556548547</v>
      </c>
      <c r="G46" s="231">
        <v>32.383333333333333</v>
      </c>
      <c r="H46" s="247"/>
      <c r="I46" s="224">
        <v>40</v>
      </c>
      <c r="J46" s="243">
        <f t="shared" si="4"/>
        <v>92.311860699583775</v>
      </c>
      <c r="K46" s="244">
        <f t="shared" si="5"/>
        <v>92.629513609186105</v>
      </c>
      <c r="L46" s="249" t="s">
        <v>466</v>
      </c>
      <c r="M46" s="250" t="s">
        <v>576</v>
      </c>
      <c r="N46" s="251" t="s">
        <v>577</v>
      </c>
      <c r="O46" s="250" t="s">
        <v>578</v>
      </c>
      <c r="P46" s="252">
        <v>27368</v>
      </c>
      <c r="Q46" s="251"/>
      <c r="R46" s="250" t="s">
        <v>579</v>
      </c>
      <c r="S46" s="252">
        <v>42246</v>
      </c>
      <c r="T46" s="253"/>
      <c r="U46" s="254"/>
    </row>
    <row r="47" spans="1:21" ht="15.75">
      <c r="A47" s="224">
        <v>41</v>
      </c>
      <c r="B47" s="248">
        <v>2.2488425925925926E-2</v>
      </c>
      <c r="C47" s="231">
        <f t="shared" si="3"/>
        <v>32.383333333333333</v>
      </c>
      <c r="D47" s="231">
        <f t="shared" si="0"/>
        <v>30.163223934850237</v>
      </c>
      <c r="E47" s="246">
        <f t="shared" si="6"/>
        <v>0.95369999999999999</v>
      </c>
      <c r="F47" s="231">
        <v>30.081215796995366</v>
      </c>
      <c r="G47" s="231">
        <v>32.383333333333333</v>
      </c>
      <c r="H47" s="247"/>
      <c r="I47" s="224">
        <v>41</v>
      </c>
      <c r="J47" s="243">
        <f t="shared" si="4"/>
        <v>92.891042090567268</v>
      </c>
      <c r="K47" s="244">
        <f t="shared" si="5"/>
        <v>93.144283895574588</v>
      </c>
      <c r="L47" s="249" t="s">
        <v>466</v>
      </c>
      <c r="M47" s="250" t="s">
        <v>576</v>
      </c>
      <c r="N47" s="251" t="s">
        <v>577</v>
      </c>
      <c r="O47" s="250" t="s">
        <v>578</v>
      </c>
      <c r="P47" s="252">
        <v>27368</v>
      </c>
      <c r="Q47" s="251"/>
      <c r="R47" s="250" t="s">
        <v>573</v>
      </c>
      <c r="S47" s="252">
        <v>42512</v>
      </c>
      <c r="T47" s="253"/>
      <c r="U47" s="254"/>
    </row>
    <row r="48" spans="1:21" ht="15.75">
      <c r="A48" s="224">
        <v>42</v>
      </c>
      <c r="B48" s="248">
        <v>2.2326388888888889E-2</v>
      </c>
      <c r="C48" s="231">
        <f t="shared" si="3"/>
        <v>32.15</v>
      </c>
      <c r="D48" s="231">
        <f t="shared" si="0"/>
        <v>30.341384523432833</v>
      </c>
      <c r="E48" s="246">
        <f t="shared" si="6"/>
        <v>0.94810000000000005</v>
      </c>
      <c r="F48" s="231">
        <v>30.283889532231466</v>
      </c>
      <c r="G48" s="231">
        <v>32.466666666666669</v>
      </c>
      <c r="H48" s="247"/>
      <c r="I48" s="224">
        <v>42</v>
      </c>
      <c r="J48" s="243">
        <f t="shared" si="4"/>
        <v>94.195612852975017</v>
      </c>
      <c r="K48" s="244">
        <f t="shared" si="5"/>
        <v>94.374446418142568</v>
      </c>
      <c r="L48" s="249" t="s">
        <v>969</v>
      </c>
      <c r="M48" s="250" t="s">
        <v>787</v>
      </c>
      <c r="N48" s="251" t="s">
        <v>559</v>
      </c>
      <c r="O48" s="250" t="s">
        <v>268</v>
      </c>
      <c r="P48" s="265">
        <v>29174</v>
      </c>
      <c r="Q48" s="251" t="s">
        <v>986</v>
      </c>
      <c r="R48" s="250" t="s">
        <v>668</v>
      </c>
      <c r="S48" s="252">
        <v>44738</v>
      </c>
      <c r="T48" s="253"/>
      <c r="U48" s="254"/>
    </row>
    <row r="49" spans="1:21" ht="15.75">
      <c r="A49" s="224">
        <v>43</v>
      </c>
      <c r="B49" s="248">
        <v>2.269675925925926E-2</v>
      </c>
      <c r="C49" s="231">
        <f t="shared" si="3"/>
        <v>32.683333333333337</v>
      </c>
      <c r="D49" s="231">
        <f t="shared" si="0"/>
        <v>30.531380457086254</v>
      </c>
      <c r="E49" s="246">
        <f t="shared" si="6"/>
        <v>0.94220000000000004</v>
      </c>
      <c r="F49" s="231">
        <v>30.50871425036236</v>
      </c>
      <c r="G49" s="231">
        <v>32.683333333333337</v>
      </c>
      <c r="H49" s="247"/>
      <c r="I49" s="224">
        <v>43</v>
      </c>
      <c r="J49" s="243">
        <f t="shared" si="4"/>
        <v>93.346397502383553</v>
      </c>
      <c r="K49" s="244">
        <f t="shared" si="5"/>
        <v>93.415748466352625</v>
      </c>
      <c r="L49" s="249" t="s">
        <v>467</v>
      </c>
      <c r="M49" s="250" t="s">
        <v>326</v>
      </c>
      <c r="N49" s="251" t="s">
        <v>580</v>
      </c>
      <c r="O49" s="250" t="s">
        <v>328</v>
      </c>
      <c r="P49" s="252">
        <v>20152</v>
      </c>
      <c r="Q49" s="253" t="s">
        <v>581</v>
      </c>
      <c r="R49" s="253" t="s">
        <v>582</v>
      </c>
      <c r="S49" s="264">
        <v>35896</v>
      </c>
      <c r="T49" s="251"/>
      <c r="U49" s="266"/>
    </row>
    <row r="50" spans="1:21" ht="15.75">
      <c r="A50" s="224">
        <v>44</v>
      </c>
      <c r="B50" s="248">
        <v>2.3009259259259261E-2</v>
      </c>
      <c r="C50" s="231">
        <f t="shared" si="3"/>
        <v>33.133333333333333</v>
      </c>
      <c r="D50" s="231">
        <f t="shared" si="0"/>
        <v>30.733618233618234</v>
      </c>
      <c r="E50" s="246">
        <f t="shared" si="6"/>
        <v>0.93600000000000005</v>
      </c>
      <c r="F50" s="231">
        <v>30.746757873735216</v>
      </c>
      <c r="G50" s="231">
        <v>33.133333333333333</v>
      </c>
      <c r="H50" s="247"/>
      <c r="I50" s="224">
        <v>44</v>
      </c>
      <c r="J50" s="243">
        <f t="shared" si="4"/>
        <v>92.797055956947332</v>
      </c>
      <c r="K50" s="244">
        <f t="shared" si="5"/>
        <v>92.75739909542726</v>
      </c>
      <c r="L50" s="249" t="s">
        <v>468</v>
      </c>
      <c r="M50" s="250" t="s">
        <v>583</v>
      </c>
      <c r="N50" s="251" t="s">
        <v>584</v>
      </c>
      <c r="O50" s="250" t="s">
        <v>241</v>
      </c>
      <c r="P50" s="252">
        <v>16398</v>
      </c>
      <c r="Q50" s="251"/>
      <c r="R50" s="250" t="s">
        <v>585</v>
      </c>
      <c r="S50" s="252">
        <v>32803</v>
      </c>
      <c r="T50" s="253"/>
      <c r="U50" s="254"/>
    </row>
    <row r="51" spans="1:21" ht="15.75">
      <c r="A51" s="224">
        <v>45</v>
      </c>
      <c r="B51" s="248">
        <v>2.3252314814814816E-2</v>
      </c>
      <c r="C51" s="231">
        <f t="shared" si="3"/>
        <v>33.483333333333334</v>
      </c>
      <c r="D51" s="231">
        <f t="shared" si="0"/>
        <v>30.951868589053873</v>
      </c>
      <c r="E51" s="246">
        <f t="shared" si="6"/>
        <v>0.9294</v>
      </c>
      <c r="F51" s="231">
        <v>31.005245383344114</v>
      </c>
      <c r="G51" s="231">
        <v>33.483333333333327</v>
      </c>
      <c r="H51" s="247"/>
      <c r="I51" s="224">
        <v>45</v>
      </c>
      <c r="J51" s="243">
        <f t="shared" si="4"/>
        <v>92.59904046792667</v>
      </c>
      <c r="K51" s="244">
        <f t="shared" si="5"/>
        <v>92.439627443665131</v>
      </c>
      <c r="L51" s="249" t="s">
        <v>469</v>
      </c>
      <c r="M51" s="253" t="s">
        <v>586</v>
      </c>
      <c r="N51" s="253" t="s">
        <v>587</v>
      </c>
      <c r="O51" s="250" t="s">
        <v>241</v>
      </c>
      <c r="P51" s="264">
        <v>24103</v>
      </c>
      <c r="Q51" s="253" t="s">
        <v>588</v>
      </c>
      <c r="R51" s="253" t="s">
        <v>589</v>
      </c>
      <c r="S51" s="264">
        <v>40728</v>
      </c>
      <c r="T51" s="251"/>
      <c r="U51" s="266"/>
    </row>
    <row r="52" spans="1:21" ht="15.75">
      <c r="A52" s="224">
        <v>46</v>
      </c>
      <c r="B52" s="248">
        <v>2.3622685185185184E-2</v>
      </c>
      <c r="C52" s="231">
        <f t="shared" si="3"/>
        <v>34.016666666666666</v>
      </c>
      <c r="D52" s="231">
        <f t="shared" si="0"/>
        <v>31.183378500451674</v>
      </c>
      <c r="E52" s="246">
        <f t="shared" si="6"/>
        <v>0.92249999999999999</v>
      </c>
      <c r="F52" s="231">
        <v>31.285118723944176</v>
      </c>
      <c r="G52" s="231">
        <v>34.016666666666673</v>
      </c>
      <c r="H52" s="247"/>
      <c r="I52" s="224">
        <v>46</v>
      </c>
      <c r="J52" s="243">
        <f t="shared" si="4"/>
        <v>91.969971750938299</v>
      </c>
      <c r="K52" s="244">
        <f t="shared" si="5"/>
        <v>91.670882411910853</v>
      </c>
      <c r="L52" s="249" t="s">
        <v>470</v>
      </c>
      <c r="M52" s="253" t="s">
        <v>590</v>
      </c>
      <c r="N52" s="253" t="s">
        <v>591</v>
      </c>
      <c r="O52" s="250" t="s">
        <v>241</v>
      </c>
      <c r="P52" s="252">
        <v>22400</v>
      </c>
      <c r="Q52" s="253" t="s">
        <v>588</v>
      </c>
      <c r="R52" s="253" t="s">
        <v>589</v>
      </c>
      <c r="S52" s="264">
        <v>39267</v>
      </c>
      <c r="T52" s="251"/>
      <c r="U52" s="266"/>
    </row>
    <row r="53" spans="1:21" ht="15.75">
      <c r="A53" s="224">
        <v>47</v>
      </c>
      <c r="B53" s="248">
        <v>2.3240740740740742E-2</v>
      </c>
      <c r="C53" s="231">
        <f t="shared" si="3"/>
        <v>33.466666666666669</v>
      </c>
      <c r="D53" s="231">
        <f t="shared" si="0"/>
        <v>31.428675479806259</v>
      </c>
      <c r="E53" s="246">
        <f t="shared" si="6"/>
        <v>0.9153</v>
      </c>
      <c r="F53" s="231">
        <v>31.580488161891171</v>
      </c>
      <c r="G53" s="231">
        <v>33.466666666666669</v>
      </c>
      <c r="H53" s="247"/>
      <c r="I53" s="224">
        <v>47</v>
      </c>
      <c r="J53" s="243">
        <f t="shared" si="4"/>
        <v>94.364008451866042</v>
      </c>
      <c r="K53" s="244">
        <f t="shared" si="5"/>
        <v>93.910384899819491</v>
      </c>
      <c r="L53" s="249" t="s">
        <v>471</v>
      </c>
      <c r="M53" s="250" t="s">
        <v>326</v>
      </c>
      <c r="N53" s="251" t="s">
        <v>580</v>
      </c>
      <c r="O53" s="250" t="s">
        <v>328</v>
      </c>
      <c r="P53" s="252">
        <v>20152</v>
      </c>
      <c r="Q53" s="251" t="s">
        <v>592</v>
      </c>
      <c r="R53" s="250" t="s">
        <v>593</v>
      </c>
      <c r="S53" s="252">
        <v>37338</v>
      </c>
      <c r="T53" s="253"/>
      <c r="U53" s="254"/>
    </row>
    <row r="54" spans="1:21" ht="15.75">
      <c r="A54" s="224">
        <v>48</v>
      </c>
      <c r="B54" s="248">
        <v>2.3622685185185184E-2</v>
      </c>
      <c r="C54" s="231">
        <f t="shared" si="3"/>
        <v>34.016666666666666</v>
      </c>
      <c r="D54" s="231">
        <f t="shared" si="0"/>
        <v>31.688330763016818</v>
      </c>
      <c r="E54" s="246">
        <f t="shared" si="6"/>
        <v>0.90780000000000005</v>
      </c>
      <c r="F54" s="231">
        <v>31.902702303057193</v>
      </c>
      <c r="G54" s="231">
        <v>34.016666666666673</v>
      </c>
      <c r="H54" s="247"/>
      <c r="I54" s="224">
        <v>48</v>
      </c>
      <c r="J54" s="243">
        <f t="shared" si="4"/>
        <v>93.785504075621333</v>
      </c>
      <c r="K54" s="244">
        <f t="shared" si="5"/>
        <v>93.155308465507559</v>
      </c>
      <c r="L54" s="249" t="s">
        <v>470</v>
      </c>
      <c r="M54" s="250" t="s">
        <v>594</v>
      </c>
      <c r="N54" s="251" t="s">
        <v>595</v>
      </c>
      <c r="O54" s="250" t="s">
        <v>596</v>
      </c>
      <c r="P54" s="252">
        <v>15372</v>
      </c>
      <c r="Q54" s="251"/>
      <c r="R54" s="250" t="s">
        <v>597</v>
      </c>
      <c r="S54" s="252">
        <v>33019</v>
      </c>
      <c r="T54" s="253"/>
      <c r="U54" s="254"/>
    </row>
    <row r="55" spans="1:21" ht="15.75">
      <c r="A55" s="224">
        <v>49</v>
      </c>
      <c r="B55" s="248">
        <v>2.3368055555555555E-2</v>
      </c>
      <c r="C55" s="231">
        <f t="shared" si="3"/>
        <v>33.65</v>
      </c>
      <c r="D55" s="231">
        <f t="shared" si="0"/>
        <v>31.962962962962965</v>
      </c>
      <c r="E55" s="246">
        <f t="shared" si="6"/>
        <v>0.9</v>
      </c>
      <c r="F55" s="231">
        <v>32.246011284235699</v>
      </c>
      <c r="G55" s="231">
        <v>33.65</v>
      </c>
      <c r="H55" s="247"/>
      <c r="I55" s="224">
        <v>49</v>
      </c>
      <c r="J55" s="243">
        <f t="shared" si="4"/>
        <v>95.827670978412186</v>
      </c>
      <c r="K55" s="244">
        <f t="shared" si="5"/>
        <v>94.986516977601681</v>
      </c>
      <c r="L55" s="249" t="s">
        <v>472</v>
      </c>
      <c r="M55" s="250" t="s">
        <v>330</v>
      </c>
      <c r="N55" s="251" t="s">
        <v>598</v>
      </c>
      <c r="O55" s="250" t="s">
        <v>241</v>
      </c>
      <c r="P55" s="252">
        <v>22408</v>
      </c>
      <c r="Q55" s="251" t="s">
        <v>599</v>
      </c>
      <c r="R55" s="250" t="s">
        <v>600</v>
      </c>
      <c r="S55" s="252">
        <v>40447</v>
      </c>
      <c r="T55" s="253"/>
      <c r="U55" s="254"/>
    </row>
    <row r="56" spans="1:21" ht="15.75">
      <c r="A56" s="224">
        <v>50</v>
      </c>
      <c r="B56" s="248">
        <v>2.3773148148148147E-2</v>
      </c>
      <c r="C56" s="231">
        <f t="shared" si="3"/>
        <v>34.233333333333334</v>
      </c>
      <c r="D56" s="231">
        <f t="shared" si="0"/>
        <v>32.256858787471032</v>
      </c>
      <c r="E56" s="246">
        <f t="shared" si="6"/>
        <v>0.89180000000000004</v>
      </c>
      <c r="F56" s="231">
        <v>32.607874253759547</v>
      </c>
      <c r="G56" s="231">
        <v>34.233333333333334</v>
      </c>
      <c r="H56" s="247"/>
      <c r="I56" s="224">
        <v>50</v>
      </c>
      <c r="J56" s="243">
        <f t="shared" si="4"/>
        <v>95.251823526074617</v>
      </c>
      <c r="K56" s="244">
        <f t="shared" si="5"/>
        <v>94.22646189134673</v>
      </c>
      <c r="L56" s="249" t="s">
        <v>473</v>
      </c>
      <c r="M56" s="250" t="s">
        <v>330</v>
      </c>
      <c r="N56" s="251" t="s">
        <v>598</v>
      </c>
      <c r="O56" s="250" t="s">
        <v>241</v>
      </c>
      <c r="P56" s="252">
        <v>22408</v>
      </c>
      <c r="Q56" s="251" t="s">
        <v>599</v>
      </c>
      <c r="R56" s="250" t="s">
        <v>600</v>
      </c>
      <c r="S56" s="252">
        <v>40811</v>
      </c>
      <c r="T56" s="253"/>
      <c r="U56" s="254"/>
    </row>
    <row r="57" spans="1:21" ht="15.75">
      <c r="A57" s="224">
        <v>51</v>
      </c>
      <c r="B57" s="248">
        <v>2.4120370370370372E-2</v>
      </c>
      <c r="C57" s="231">
        <f t="shared" si="3"/>
        <v>34.733333333333334</v>
      </c>
      <c r="D57" s="231">
        <f t="shared" si="0"/>
        <v>32.567266689309037</v>
      </c>
      <c r="E57" s="246">
        <f t="shared" si="6"/>
        <v>0.88329999999999997</v>
      </c>
      <c r="F57" s="231">
        <v>32.977951010737897</v>
      </c>
      <c r="G57" s="231">
        <v>34.733333333333334</v>
      </c>
      <c r="H57" s="247"/>
      <c r="I57" s="224">
        <v>51</v>
      </c>
      <c r="J57" s="243">
        <f t="shared" si="4"/>
        <v>94.946116153755938</v>
      </c>
      <c r="K57" s="244">
        <f t="shared" si="5"/>
        <v>93.763723673634459</v>
      </c>
      <c r="L57" s="249" t="s">
        <v>474</v>
      </c>
      <c r="M57" s="250" t="s">
        <v>326</v>
      </c>
      <c r="N57" s="251" t="s">
        <v>580</v>
      </c>
      <c r="O57" s="250" t="s">
        <v>328</v>
      </c>
      <c r="P57" s="252">
        <v>20152</v>
      </c>
      <c r="Q57" s="251" t="s">
        <v>592</v>
      </c>
      <c r="R57" s="250" t="s">
        <v>593</v>
      </c>
      <c r="S57" s="252">
        <v>38801</v>
      </c>
      <c r="T57" s="253"/>
      <c r="U57" s="254"/>
    </row>
    <row r="58" spans="1:21" ht="15.75">
      <c r="A58" s="224">
        <v>52</v>
      </c>
      <c r="B58" s="248">
        <v>2.480324074074074E-2</v>
      </c>
      <c r="C58" s="231">
        <f t="shared" si="3"/>
        <v>35.716666666666669</v>
      </c>
      <c r="D58" s="231">
        <f t="shared" si="0"/>
        <v>32.894987611968745</v>
      </c>
      <c r="E58" s="246">
        <f t="shared" si="6"/>
        <v>0.87450000000000006</v>
      </c>
      <c r="F58" s="231">
        <v>33.360392748076855</v>
      </c>
      <c r="G58" s="231">
        <v>35.716666666666669</v>
      </c>
      <c r="H58" s="247"/>
      <c r="I58" s="224">
        <v>52</v>
      </c>
      <c r="J58" s="243">
        <f t="shared" si="4"/>
        <v>93.402872836426099</v>
      </c>
      <c r="K58" s="244">
        <f t="shared" si="5"/>
        <v>92.099825325157468</v>
      </c>
      <c r="L58" s="249" t="s">
        <v>475</v>
      </c>
      <c r="M58" s="250" t="s">
        <v>601</v>
      </c>
      <c r="N58" s="251" t="s">
        <v>602</v>
      </c>
      <c r="O58" s="250" t="s">
        <v>578</v>
      </c>
      <c r="P58" s="252">
        <v>18655</v>
      </c>
      <c r="Q58" s="251"/>
      <c r="R58" s="250" t="s">
        <v>603</v>
      </c>
      <c r="S58" s="252">
        <v>37710</v>
      </c>
      <c r="T58" s="253"/>
      <c r="U58" s="254"/>
    </row>
    <row r="59" spans="1:21" ht="15.75">
      <c r="A59" s="224">
        <v>53</v>
      </c>
      <c r="B59" s="248">
        <v>2.4780092592592593E-2</v>
      </c>
      <c r="C59" s="231">
        <f t="shared" si="3"/>
        <v>35.683333333333337</v>
      </c>
      <c r="D59" s="231">
        <f t="shared" si="0"/>
        <v>33.24089053231647</v>
      </c>
      <c r="E59" s="246">
        <f t="shared" si="6"/>
        <v>0.86539999999999995</v>
      </c>
      <c r="F59" s="231">
        <v>33.747849210073518</v>
      </c>
      <c r="G59" s="231">
        <v>35.68333333333333</v>
      </c>
      <c r="H59" s="247"/>
      <c r="I59" s="224">
        <v>53</v>
      </c>
      <c r="J59" s="243">
        <f t="shared" si="4"/>
        <v>94.575943605997708</v>
      </c>
      <c r="K59" s="244">
        <f t="shared" si="5"/>
        <v>93.15522802143802</v>
      </c>
      <c r="L59" s="249" t="s">
        <v>476</v>
      </c>
      <c r="M59" s="250" t="s">
        <v>337</v>
      </c>
      <c r="N59" s="251" t="s">
        <v>604</v>
      </c>
      <c r="O59" s="250" t="s">
        <v>339</v>
      </c>
      <c r="P59" s="252">
        <v>22396</v>
      </c>
      <c r="Q59" s="251"/>
      <c r="R59" s="250" t="s">
        <v>605</v>
      </c>
      <c r="S59" s="252">
        <v>42106</v>
      </c>
      <c r="T59" s="253"/>
      <c r="U59" s="254"/>
    </row>
    <row r="60" spans="1:21" ht="15.75">
      <c r="A60" s="224">
        <v>54</v>
      </c>
      <c r="B60" s="248">
        <v>2.5034722222222222E-2</v>
      </c>
      <c r="C60" s="231">
        <f t="shared" si="3"/>
        <v>36.049999999999997</v>
      </c>
      <c r="D60" s="231">
        <f t="shared" si="0"/>
        <v>33.609845386922153</v>
      </c>
      <c r="E60" s="246">
        <f t="shared" si="6"/>
        <v>0.85589999999999999</v>
      </c>
      <c r="F60" s="231">
        <v>34.144411473788331</v>
      </c>
      <c r="G60" s="231">
        <v>36.049999999999997</v>
      </c>
      <c r="H60" s="247"/>
      <c r="I60" s="224">
        <v>54</v>
      </c>
      <c r="J60" s="243">
        <f t="shared" si="4"/>
        <v>94.71404014920482</v>
      </c>
      <c r="K60" s="244">
        <f t="shared" si="5"/>
        <v>93.231193861087817</v>
      </c>
      <c r="L60" s="249" t="s">
        <v>440</v>
      </c>
      <c r="M60" s="250" t="s">
        <v>343</v>
      </c>
      <c r="N60" s="251" t="s">
        <v>606</v>
      </c>
      <c r="O60" s="250" t="s">
        <v>345</v>
      </c>
      <c r="P60" s="252">
        <v>21769</v>
      </c>
      <c r="Q60" s="251"/>
      <c r="R60" s="250" t="s">
        <v>607</v>
      </c>
      <c r="S60" s="252">
        <v>41784</v>
      </c>
      <c r="T60" s="253"/>
      <c r="U60" s="254"/>
    </row>
    <row r="61" spans="1:21" ht="15.75">
      <c r="A61" s="224">
        <v>55</v>
      </c>
      <c r="B61" s="248">
        <v>2.5185185185185185E-2</v>
      </c>
      <c r="C61" s="231">
        <f t="shared" si="3"/>
        <v>36.266666666666666</v>
      </c>
      <c r="D61" s="231">
        <f t="shared" si="0"/>
        <v>33.995115417946906</v>
      </c>
      <c r="E61" s="246">
        <f t="shared" si="6"/>
        <v>0.84619999999999995</v>
      </c>
      <c r="F61" s="231">
        <v>34.554554554554556</v>
      </c>
      <c r="G61" s="231">
        <v>36.266666666666666</v>
      </c>
      <c r="H61" s="247"/>
      <c r="I61" s="224">
        <v>55</v>
      </c>
      <c r="J61" s="243">
        <f t="shared" si="4"/>
        <v>95.279102632043816</v>
      </c>
      <c r="K61" s="244">
        <f t="shared" si="5"/>
        <v>93.736531483309477</v>
      </c>
      <c r="L61" s="249" t="s">
        <v>477</v>
      </c>
      <c r="M61" s="250" t="s">
        <v>337</v>
      </c>
      <c r="N61" s="251" t="s">
        <v>604</v>
      </c>
      <c r="O61" s="250" t="s">
        <v>339</v>
      </c>
      <c r="P61" s="252">
        <v>22396</v>
      </c>
      <c r="Q61" s="251"/>
      <c r="R61" s="250" t="s">
        <v>608</v>
      </c>
      <c r="S61" s="252">
        <v>42645</v>
      </c>
      <c r="T61" s="253"/>
      <c r="U61" s="254"/>
    </row>
    <row r="62" spans="1:21" ht="15.75">
      <c r="A62" s="224">
        <v>56</v>
      </c>
      <c r="B62" s="248">
        <v>2.5208333333333333E-2</v>
      </c>
      <c r="C62" s="231">
        <f t="shared" si="3"/>
        <v>36.299999999999997</v>
      </c>
      <c r="D62" s="231">
        <f t="shared" si="0"/>
        <v>34.405772834190493</v>
      </c>
      <c r="E62" s="246">
        <f t="shared" si="6"/>
        <v>0.83609999999999995</v>
      </c>
      <c r="F62" s="231">
        <v>34.970418996677203</v>
      </c>
      <c r="G62" s="231">
        <v>36.299999999999997</v>
      </c>
      <c r="H62" s="247"/>
      <c r="I62" s="224">
        <v>56</v>
      </c>
      <c r="J62" s="243">
        <f t="shared" si="4"/>
        <v>96.337242415088724</v>
      </c>
      <c r="K62" s="244">
        <f t="shared" si="5"/>
        <v>94.781743344877398</v>
      </c>
      <c r="L62" s="249" t="s">
        <v>478</v>
      </c>
      <c r="M62" s="250" t="s">
        <v>343</v>
      </c>
      <c r="N62" s="251" t="s">
        <v>606</v>
      </c>
      <c r="O62" s="250" t="s">
        <v>345</v>
      </c>
      <c r="P62" s="252">
        <v>21769</v>
      </c>
      <c r="Q62" s="251"/>
      <c r="R62" s="250" t="s">
        <v>539</v>
      </c>
      <c r="S62" s="252">
        <v>42274</v>
      </c>
      <c r="T62" s="253"/>
      <c r="U62" s="254"/>
    </row>
    <row r="63" spans="1:21" ht="15.75">
      <c r="A63" s="224">
        <v>57</v>
      </c>
      <c r="B63" s="248">
        <v>2.5949074074074076E-2</v>
      </c>
      <c r="C63" s="231">
        <f t="shared" si="3"/>
        <v>37.366666666666667</v>
      </c>
      <c r="D63" s="231">
        <f t="shared" si="0"/>
        <v>34.839126397803888</v>
      </c>
      <c r="E63" s="246">
        <f t="shared" si="6"/>
        <v>0.82569999999999999</v>
      </c>
      <c r="F63" s="231">
        <v>35.400771187135945</v>
      </c>
      <c r="G63" s="231">
        <v>37.366666666666667</v>
      </c>
      <c r="H63" s="247"/>
      <c r="I63" s="224">
        <v>57</v>
      </c>
      <c r="J63" s="243">
        <f t="shared" si="4"/>
        <v>94.738905942379873</v>
      </c>
      <c r="K63" s="244">
        <f t="shared" si="5"/>
        <v>93.235842277798099</v>
      </c>
      <c r="L63" s="249" t="s">
        <v>479</v>
      </c>
      <c r="M63" s="250" t="s">
        <v>609</v>
      </c>
      <c r="N63" s="251" t="s">
        <v>610</v>
      </c>
      <c r="O63" s="250" t="s">
        <v>578</v>
      </c>
      <c r="P63" s="252">
        <v>21934</v>
      </c>
      <c r="Q63" s="251"/>
      <c r="R63" s="250" t="s">
        <v>611</v>
      </c>
      <c r="S63" s="252">
        <v>42856</v>
      </c>
      <c r="T63" s="253"/>
      <c r="U63" s="254"/>
    </row>
    <row r="64" spans="1:21" ht="15.75">
      <c r="A64" s="224">
        <v>58</v>
      </c>
      <c r="B64" s="248">
        <v>2.6493055555555554E-2</v>
      </c>
      <c r="C64" s="231">
        <f t="shared" si="3"/>
        <v>38.15</v>
      </c>
      <c r="D64" s="231">
        <f t="shared" si="0"/>
        <v>35.287863918874713</v>
      </c>
      <c r="E64" s="246">
        <f t="shared" si="6"/>
        <v>0.81520000000000004</v>
      </c>
      <c r="F64" s="231">
        <v>35.837382168514601</v>
      </c>
      <c r="G64" s="231">
        <v>38.150000000000006</v>
      </c>
      <c r="H64" s="247"/>
      <c r="I64" s="224">
        <v>58</v>
      </c>
      <c r="J64" s="243">
        <f t="shared" si="4"/>
        <v>93.938092184835128</v>
      </c>
      <c r="K64" s="244">
        <f t="shared" si="5"/>
        <v>92.497677375818384</v>
      </c>
      <c r="L64" s="249" t="s">
        <v>232</v>
      </c>
      <c r="M64" s="250" t="s">
        <v>357</v>
      </c>
      <c r="N64" s="251" t="s">
        <v>612</v>
      </c>
      <c r="O64" s="250" t="s">
        <v>284</v>
      </c>
      <c r="P64" s="252">
        <v>18405</v>
      </c>
      <c r="Q64" s="251"/>
      <c r="R64" s="250" t="s">
        <v>613</v>
      </c>
      <c r="S64" s="252">
        <v>39814</v>
      </c>
      <c r="T64" s="253"/>
      <c r="U64" s="254"/>
    </row>
    <row r="65" spans="1:21" ht="15.75">
      <c r="A65" s="224">
        <v>59</v>
      </c>
      <c r="B65" s="248">
        <v>2.6817129629629628E-2</v>
      </c>
      <c r="C65" s="231">
        <f t="shared" si="3"/>
        <v>38.616666666666667</v>
      </c>
      <c r="D65" s="231">
        <f t="shared" si="0"/>
        <v>35.748312000331389</v>
      </c>
      <c r="E65" s="246">
        <f t="shared" ref="E65:E96" si="7">ROUND(1-IF(A65&lt;I$3,0,IF(A65&lt;I$4,G$3*(A65-I$3)^2,G$2+G$4*(A65-I$4)+(A65&gt;I$5)*G$5*(A65-I$5)^2)),4)</f>
        <v>0.80469999999999997</v>
      </c>
      <c r="F65" s="231">
        <v>36.284897410023554</v>
      </c>
      <c r="G65" s="231">
        <v>38.616666666666667</v>
      </c>
      <c r="H65" s="247"/>
      <c r="I65" s="224">
        <v>59</v>
      </c>
      <c r="J65" s="243">
        <f t="shared" si="4"/>
        <v>93.961754190824905</v>
      </c>
      <c r="K65" s="244">
        <f t="shared" si="5"/>
        <v>92.572236513590127</v>
      </c>
      <c r="L65" s="249" t="s">
        <v>480</v>
      </c>
      <c r="M65" s="250" t="s">
        <v>357</v>
      </c>
      <c r="N65" s="251" t="s">
        <v>612</v>
      </c>
      <c r="O65" s="250" t="s">
        <v>284</v>
      </c>
      <c r="P65" s="252">
        <v>18405</v>
      </c>
      <c r="Q65" s="251"/>
      <c r="R65" s="250" t="s">
        <v>614</v>
      </c>
      <c r="S65" s="252">
        <v>39971</v>
      </c>
      <c r="T65" s="253"/>
      <c r="U65" s="254"/>
    </row>
    <row r="66" spans="1:21" ht="15.75">
      <c r="A66" s="224">
        <v>60</v>
      </c>
      <c r="B66" s="248">
        <v>2.7199074074074073E-2</v>
      </c>
      <c r="C66" s="231">
        <f t="shared" si="3"/>
        <v>39.166666666666664</v>
      </c>
      <c r="D66" s="231">
        <f t="shared" si="0"/>
        <v>36.220935112901877</v>
      </c>
      <c r="E66" s="246">
        <f t="shared" si="7"/>
        <v>0.79420000000000002</v>
      </c>
      <c r="F66" s="231">
        <v>36.748424459206269</v>
      </c>
      <c r="G66" s="231">
        <v>39.166666666666664</v>
      </c>
      <c r="H66" s="247"/>
      <c r="I66" s="224">
        <v>60</v>
      </c>
      <c r="J66" s="243">
        <f t="shared" si="4"/>
        <v>93.825764576696869</v>
      </c>
      <c r="K66" s="244">
        <f t="shared" si="5"/>
        <v>92.478983266983519</v>
      </c>
      <c r="L66" s="249" t="s">
        <v>481</v>
      </c>
      <c r="M66" s="250" t="s">
        <v>357</v>
      </c>
      <c r="N66" s="251" t="s">
        <v>612</v>
      </c>
      <c r="O66" s="250" t="s">
        <v>284</v>
      </c>
      <c r="P66" s="252">
        <v>18405</v>
      </c>
      <c r="Q66" s="251"/>
      <c r="R66" s="250" t="s">
        <v>615</v>
      </c>
      <c r="S66" s="252">
        <v>40335</v>
      </c>
      <c r="T66" s="253"/>
      <c r="U66" s="254"/>
    </row>
    <row r="67" spans="1:21" ht="15.75">
      <c r="A67" s="224">
        <v>61</v>
      </c>
      <c r="B67" s="248">
        <v>2.7650462962962963E-2</v>
      </c>
      <c r="C67" s="231">
        <f t="shared" si="3"/>
        <v>39.81666666666667</v>
      </c>
      <c r="D67" s="231">
        <f t="shared" si="0"/>
        <v>36.706222619199529</v>
      </c>
      <c r="E67" s="246">
        <f t="shared" si="7"/>
        <v>0.78369999999999995</v>
      </c>
      <c r="F67" s="231">
        <v>37.219131409841722</v>
      </c>
      <c r="G67" s="231">
        <v>39.81666666666667</v>
      </c>
      <c r="H67" s="247"/>
      <c r="I67" s="224">
        <v>61</v>
      </c>
      <c r="J67" s="243">
        <f t="shared" si="4"/>
        <v>93.476261389305279</v>
      </c>
      <c r="K67" s="244">
        <f t="shared" si="5"/>
        <v>92.188085272162894</v>
      </c>
      <c r="L67" s="249" t="s">
        <v>482</v>
      </c>
      <c r="M67" s="250" t="s">
        <v>601</v>
      </c>
      <c r="N67" s="251" t="s">
        <v>602</v>
      </c>
      <c r="O67" s="250" t="s">
        <v>578</v>
      </c>
      <c r="P67" s="252">
        <v>18655</v>
      </c>
      <c r="Q67" s="251"/>
      <c r="R67" s="250" t="s">
        <v>616</v>
      </c>
      <c r="S67" s="252">
        <v>41273</v>
      </c>
      <c r="T67" s="253"/>
      <c r="U67" s="254"/>
    </row>
    <row r="68" spans="1:21" ht="15.75">
      <c r="A68" s="224">
        <v>62</v>
      </c>
      <c r="B68" s="248">
        <v>2.7037037037037037E-2</v>
      </c>
      <c r="C68" s="231">
        <f t="shared" si="3"/>
        <v>38.93333333333333</v>
      </c>
      <c r="D68" s="231">
        <f t="shared" si="0"/>
        <v>37.204690463873085</v>
      </c>
      <c r="E68" s="246">
        <f t="shared" si="7"/>
        <v>0.7732</v>
      </c>
      <c r="F68" s="231">
        <v>37.706995237471055</v>
      </c>
      <c r="G68" s="231">
        <v>38.93333333333333</v>
      </c>
      <c r="H68" s="247"/>
      <c r="I68" s="224">
        <v>62</v>
      </c>
      <c r="J68" s="243">
        <f t="shared" si="4"/>
        <v>96.850159000353742</v>
      </c>
      <c r="K68" s="244">
        <f t="shared" si="5"/>
        <v>95.55999262981102</v>
      </c>
      <c r="L68" s="249" t="s">
        <v>483</v>
      </c>
      <c r="M68" s="250" t="s">
        <v>617</v>
      </c>
      <c r="N68" s="251" t="s">
        <v>618</v>
      </c>
      <c r="O68" s="250" t="s">
        <v>345</v>
      </c>
      <c r="P68" s="252">
        <v>19445</v>
      </c>
      <c r="Q68" s="251"/>
      <c r="R68" s="250" t="s">
        <v>619</v>
      </c>
      <c r="S68" s="252">
        <v>42253</v>
      </c>
      <c r="T68" s="253"/>
      <c r="U68" s="254"/>
    </row>
    <row r="69" spans="1:21" ht="15.75">
      <c r="A69" s="224">
        <v>63</v>
      </c>
      <c r="B69" s="248">
        <v>2.8460648148148148E-2</v>
      </c>
      <c r="C69" s="231">
        <f t="shared" si="3"/>
        <v>40.983333333333334</v>
      </c>
      <c r="D69" s="231">
        <f t="shared" si="0"/>
        <v>37.71688300336524</v>
      </c>
      <c r="E69" s="246">
        <f t="shared" si="7"/>
        <v>0.76270000000000004</v>
      </c>
      <c r="F69" s="231">
        <v>38.20274457724657</v>
      </c>
      <c r="G69" s="231">
        <v>40.983333333333334</v>
      </c>
      <c r="H69" s="247"/>
      <c r="I69" s="224">
        <v>63</v>
      </c>
      <c r="J69" s="243">
        <f t="shared" si="4"/>
        <v>93.21531820393632</v>
      </c>
      <c r="K69" s="244">
        <f t="shared" si="5"/>
        <v>92.029808060264912</v>
      </c>
      <c r="L69" s="249" t="s">
        <v>484</v>
      </c>
      <c r="M69" s="250" t="s">
        <v>360</v>
      </c>
      <c r="N69" s="251" t="s">
        <v>620</v>
      </c>
      <c r="O69" s="250" t="s">
        <v>241</v>
      </c>
      <c r="P69" s="252">
        <v>18901</v>
      </c>
      <c r="Q69" s="267" t="s">
        <v>621</v>
      </c>
      <c r="R69" s="250" t="s">
        <v>622</v>
      </c>
      <c r="S69" s="252">
        <v>41959</v>
      </c>
      <c r="T69" s="253"/>
      <c r="U69" s="254"/>
    </row>
    <row r="70" spans="1:21" ht="15.75">
      <c r="A70" s="224">
        <v>64</v>
      </c>
      <c r="B70" s="248">
        <v>2.704861111111111E-2</v>
      </c>
      <c r="C70" s="231">
        <f t="shared" si="3"/>
        <v>38.949999999999996</v>
      </c>
      <c r="D70" s="231">
        <f t="shared" si="0"/>
        <v>38.243374988921389</v>
      </c>
      <c r="E70" s="246">
        <f t="shared" si="7"/>
        <v>0.75219999999999998</v>
      </c>
      <c r="F70" s="231">
        <v>38.711703225227652</v>
      </c>
      <c r="G70" s="231">
        <v>38.949999999999996</v>
      </c>
      <c r="H70" s="247"/>
      <c r="I70" s="224">
        <v>64</v>
      </c>
      <c r="J70" s="243">
        <f t="shared" si="4"/>
        <v>99.388198267593467</v>
      </c>
      <c r="K70" s="244">
        <f t="shared" si="5"/>
        <v>98.18581511918201</v>
      </c>
      <c r="L70" s="249" t="s">
        <v>485</v>
      </c>
      <c r="M70" s="250" t="s">
        <v>372</v>
      </c>
      <c r="N70" s="251" t="s">
        <v>623</v>
      </c>
      <c r="O70" s="250" t="s">
        <v>284</v>
      </c>
      <c r="P70" s="252">
        <v>17277</v>
      </c>
      <c r="Q70" s="251"/>
      <c r="R70" s="250" t="s">
        <v>624</v>
      </c>
      <c r="S70" s="252">
        <v>40667</v>
      </c>
      <c r="T70" s="253"/>
      <c r="U70" s="254"/>
    </row>
    <row r="71" spans="1:21" ht="15.75">
      <c r="A71" s="224">
        <v>65</v>
      </c>
      <c r="B71" s="248">
        <v>2.9131944444444443E-2</v>
      </c>
      <c r="C71" s="231">
        <f t="shared" si="3"/>
        <v>41.949999999999996</v>
      </c>
      <c r="D71" s="231">
        <f t="shared" si="0"/>
        <v>38.784773718035147</v>
      </c>
      <c r="E71" s="246">
        <f t="shared" si="7"/>
        <v>0.74170000000000003</v>
      </c>
      <c r="F71" s="231">
        <v>39.239758104851546</v>
      </c>
      <c r="G71" s="231">
        <v>41.95</v>
      </c>
      <c r="H71" s="247"/>
      <c r="I71" s="224">
        <v>65</v>
      </c>
      <c r="J71" s="243">
        <f t="shared" si="4"/>
        <v>93.539351859002508</v>
      </c>
      <c r="K71" s="244">
        <f t="shared" si="5"/>
        <v>92.454764524517643</v>
      </c>
      <c r="L71" s="249" t="s">
        <v>486</v>
      </c>
      <c r="M71" s="250" t="s">
        <v>360</v>
      </c>
      <c r="N71" s="251" t="s">
        <v>620</v>
      </c>
      <c r="O71" s="250" t="s">
        <v>241</v>
      </c>
      <c r="P71" s="252">
        <v>18901</v>
      </c>
      <c r="Q71" s="253" t="s">
        <v>625</v>
      </c>
      <c r="R71" s="253" t="s">
        <v>626</v>
      </c>
      <c r="S71" s="264">
        <v>42826</v>
      </c>
      <c r="T71" s="268"/>
      <c r="U71" s="269"/>
    </row>
    <row r="72" spans="1:21" ht="15.75">
      <c r="A72" s="224">
        <v>66</v>
      </c>
      <c r="B72" s="248">
        <v>2.9374999999999998E-2</v>
      </c>
      <c r="C72" s="231">
        <f t="shared" si="3"/>
        <v>42.3</v>
      </c>
      <c r="D72" s="231">
        <f t="shared" si="0"/>
        <v>39.341721371261862</v>
      </c>
      <c r="E72" s="246">
        <f t="shared" si="7"/>
        <v>0.73119999999999996</v>
      </c>
      <c r="F72" s="231">
        <v>39.776917404129797</v>
      </c>
      <c r="G72" s="231">
        <v>42.3</v>
      </c>
      <c r="H72" s="247"/>
      <c r="I72" s="224">
        <v>66</v>
      </c>
      <c r="J72" s="243">
        <f t="shared" si="4"/>
        <v>94.035265730803303</v>
      </c>
      <c r="K72" s="244">
        <f t="shared" si="5"/>
        <v>93.006433501801098</v>
      </c>
      <c r="L72" s="249" t="s">
        <v>487</v>
      </c>
      <c r="M72" s="250" t="s">
        <v>360</v>
      </c>
      <c r="N72" s="251" t="s">
        <v>620</v>
      </c>
      <c r="O72" s="250" t="s">
        <v>241</v>
      </c>
      <c r="P72" s="252">
        <v>18901</v>
      </c>
      <c r="Q72" s="251" t="s">
        <v>627</v>
      </c>
      <c r="R72" s="250" t="s">
        <v>555</v>
      </c>
      <c r="S72" s="252">
        <v>43009</v>
      </c>
      <c r="T72" s="251"/>
      <c r="U72" s="266"/>
    </row>
    <row r="73" spans="1:21" ht="15.75">
      <c r="A73" s="224">
        <v>67</v>
      </c>
      <c r="B73" s="248">
        <v>2.9409722222222223E-2</v>
      </c>
      <c r="C73" s="231">
        <f t="shared" si="3"/>
        <v>42.35</v>
      </c>
      <c r="D73" s="231">
        <f t="shared" ref="D73:D106" si="8">E$4/E73</f>
        <v>39.914897553304662</v>
      </c>
      <c r="E73" s="246">
        <f t="shared" si="7"/>
        <v>0.72070000000000001</v>
      </c>
      <c r="F73" s="231">
        <v>40.334641989156857</v>
      </c>
      <c r="G73" s="231">
        <v>42.35</v>
      </c>
      <c r="H73" s="247"/>
      <c r="I73" s="224">
        <v>67</v>
      </c>
      <c r="J73" s="243">
        <f t="shared" si="4"/>
        <v>95.241185334490808</v>
      </c>
      <c r="K73" s="244">
        <f t="shared" si="5"/>
        <v>94.250053254556462</v>
      </c>
      <c r="L73" s="249" t="s">
        <v>488</v>
      </c>
      <c r="M73" s="250" t="s">
        <v>372</v>
      </c>
      <c r="N73" s="251" t="s">
        <v>623</v>
      </c>
      <c r="O73" s="250" t="s">
        <v>284</v>
      </c>
      <c r="P73" s="252">
        <v>17277</v>
      </c>
      <c r="Q73" s="251"/>
      <c r="R73" s="250" t="s">
        <v>628</v>
      </c>
      <c r="S73" s="252">
        <v>41763</v>
      </c>
      <c r="T73" s="253"/>
      <c r="U73" s="254"/>
    </row>
    <row r="74" spans="1:21" ht="15.75">
      <c r="A74" s="224">
        <v>68</v>
      </c>
      <c r="B74" s="248">
        <v>2.8125000000000001E-2</v>
      </c>
      <c r="C74" s="231">
        <f t="shared" si="3"/>
        <v>40.5</v>
      </c>
      <c r="D74" s="231">
        <f t="shared" si="8"/>
        <v>40.505022059513756</v>
      </c>
      <c r="E74" s="246">
        <f t="shared" si="7"/>
        <v>0.71020000000000005</v>
      </c>
      <c r="F74" s="231">
        <v>40.902412436608373</v>
      </c>
      <c r="G74" s="231">
        <v>40.5</v>
      </c>
      <c r="H74" s="247"/>
      <c r="I74" s="224">
        <v>68</v>
      </c>
      <c r="J74" s="243">
        <f t="shared" si="4"/>
        <v>100.99361095458856</v>
      </c>
      <c r="K74" s="244">
        <f t="shared" si="5"/>
        <v>100.01240014694754</v>
      </c>
      <c r="L74" s="249" t="s">
        <v>489</v>
      </c>
      <c r="M74" s="250" t="s">
        <v>372</v>
      </c>
      <c r="N74" s="251" t="s">
        <v>623</v>
      </c>
      <c r="O74" s="250" t="s">
        <v>284</v>
      </c>
      <c r="P74" s="252">
        <v>17277</v>
      </c>
      <c r="Q74" s="251"/>
      <c r="R74" s="250" t="s">
        <v>573</v>
      </c>
      <c r="S74" s="252">
        <v>42134</v>
      </c>
      <c r="T74" s="253"/>
      <c r="U74" s="254"/>
    </row>
    <row r="75" spans="1:21" ht="15.75">
      <c r="A75" s="224">
        <v>69</v>
      </c>
      <c r="B75" s="248">
        <v>2.991898148148148E-2</v>
      </c>
      <c r="C75" s="231">
        <f t="shared" si="3"/>
        <v>43.083333333333329</v>
      </c>
      <c r="D75" s="231">
        <f t="shared" si="8"/>
        <v>41.112857891477304</v>
      </c>
      <c r="E75" s="246">
        <f t="shared" si="7"/>
        <v>0.69969999999999999</v>
      </c>
      <c r="F75" s="231">
        <v>41.486395538890491</v>
      </c>
      <c r="G75" s="231">
        <v>43.083333333333329</v>
      </c>
      <c r="H75" s="247"/>
      <c r="I75" s="224">
        <v>69</v>
      </c>
      <c r="J75" s="243">
        <f t="shared" si="4"/>
        <v>96.293374558353179</v>
      </c>
      <c r="K75" s="244">
        <f t="shared" si="5"/>
        <v>95.426362610779051</v>
      </c>
      <c r="L75" s="249" t="s">
        <v>490</v>
      </c>
      <c r="M75" s="250" t="s">
        <v>372</v>
      </c>
      <c r="N75" s="251" t="s">
        <v>623</v>
      </c>
      <c r="O75" s="250" t="s">
        <v>284</v>
      </c>
      <c r="P75" s="252">
        <v>17277</v>
      </c>
      <c r="Q75" s="251"/>
      <c r="R75" s="250" t="s">
        <v>629</v>
      </c>
      <c r="S75" s="252">
        <v>42539</v>
      </c>
      <c r="T75" s="253"/>
      <c r="U75" s="254"/>
    </row>
    <row r="76" spans="1:21" ht="15.75">
      <c r="A76" s="224">
        <v>70</v>
      </c>
      <c r="B76" s="248">
        <v>3.1377314814814816E-2</v>
      </c>
      <c r="C76" s="231">
        <f t="shared" ref="C76:C98" si="9">B76*1440</f>
        <v>45.183333333333337</v>
      </c>
      <c r="D76" s="231">
        <f t="shared" si="8"/>
        <v>41.739214548268528</v>
      </c>
      <c r="E76" s="246">
        <f t="shared" si="7"/>
        <v>0.68920000000000003</v>
      </c>
      <c r="F76" s="231">
        <v>42.093454297141747</v>
      </c>
      <c r="G76" s="231">
        <v>45.183333333333323</v>
      </c>
      <c r="H76" s="247"/>
      <c r="I76" s="224">
        <v>70</v>
      </c>
      <c r="J76" s="243">
        <f t="shared" si="4"/>
        <v>93.161462848709135</v>
      </c>
      <c r="K76" s="244">
        <f t="shared" si="5"/>
        <v>92.377457502623074</v>
      </c>
      <c r="L76" s="249" t="s">
        <v>491</v>
      </c>
      <c r="M76" s="250" t="s">
        <v>372</v>
      </c>
      <c r="N76" s="251" t="s">
        <v>623</v>
      </c>
      <c r="O76" s="250" t="s">
        <v>284</v>
      </c>
      <c r="P76" s="252">
        <v>17277</v>
      </c>
      <c r="Q76" s="251"/>
      <c r="R76" s="250" t="s">
        <v>285</v>
      </c>
      <c r="S76" s="252">
        <v>42884</v>
      </c>
      <c r="T76" s="253"/>
      <c r="U76" s="254"/>
    </row>
    <row r="77" spans="1:21" ht="15.75">
      <c r="A77" s="224">
        <v>71</v>
      </c>
      <c r="B77" s="248">
        <v>3.0659722222222224E-2</v>
      </c>
      <c r="C77" s="231">
        <f t="shared" si="9"/>
        <v>44.15</v>
      </c>
      <c r="D77" s="231">
        <f t="shared" si="8"/>
        <v>42.384951623201225</v>
      </c>
      <c r="E77" s="246">
        <f t="shared" si="7"/>
        <v>0.67869999999999997</v>
      </c>
      <c r="F77" s="231">
        <v>42.712199950507305</v>
      </c>
      <c r="G77" s="231">
        <v>44.15</v>
      </c>
      <c r="H77" s="247"/>
      <c r="I77" s="224">
        <v>71</v>
      </c>
      <c r="J77" s="243">
        <f t="shared" ref="J77:J98" si="10">100*(+F77/+C77)</f>
        <v>96.743374746335917</v>
      </c>
      <c r="K77" s="244">
        <f t="shared" si="5"/>
        <v>96.002155431939357</v>
      </c>
      <c r="L77" s="249" t="s">
        <v>492</v>
      </c>
      <c r="M77" s="250" t="s">
        <v>630</v>
      </c>
      <c r="N77" s="251" t="s">
        <v>631</v>
      </c>
      <c r="O77" s="250" t="s">
        <v>632</v>
      </c>
      <c r="P77" s="252">
        <v>15962</v>
      </c>
      <c r="Q77" s="251"/>
      <c r="R77" s="250" t="s">
        <v>633</v>
      </c>
      <c r="S77" s="252">
        <v>41924</v>
      </c>
      <c r="T77" s="253"/>
      <c r="U77" s="254"/>
    </row>
    <row r="78" spans="1:21" ht="15.75">
      <c r="A78" s="224">
        <v>72</v>
      </c>
      <c r="B78" s="248">
        <v>3.2719907407407406E-2</v>
      </c>
      <c r="C78" s="231">
        <f t="shared" si="9"/>
        <v>47.116666666666667</v>
      </c>
      <c r="D78" s="231">
        <f t="shared" si="8"/>
        <v>43.050982739698696</v>
      </c>
      <c r="E78" s="246">
        <f t="shared" si="7"/>
        <v>0.66820000000000002</v>
      </c>
      <c r="F78" s="231">
        <v>43.355940718412462</v>
      </c>
      <c r="G78" s="231">
        <v>47.116666666666667</v>
      </c>
      <c r="H78" s="247"/>
      <c r="I78" s="224">
        <v>72</v>
      </c>
      <c r="J78" s="243">
        <f t="shared" si="10"/>
        <v>92.018268238583218</v>
      </c>
      <c r="K78" s="244">
        <f t="shared" si="5"/>
        <v>91.371028099820364</v>
      </c>
      <c r="L78" s="249" t="s">
        <v>493</v>
      </c>
      <c r="M78" s="250" t="s">
        <v>634</v>
      </c>
      <c r="N78" s="251" t="s">
        <v>635</v>
      </c>
      <c r="O78" s="250" t="s">
        <v>320</v>
      </c>
      <c r="P78" s="252">
        <v>14907</v>
      </c>
      <c r="Q78" s="251"/>
      <c r="R78" s="250" t="s">
        <v>636</v>
      </c>
      <c r="S78" s="252">
        <v>41418</v>
      </c>
      <c r="T78" s="253"/>
      <c r="U78" s="254"/>
    </row>
    <row r="79" spans="1:21" ht="15.75">
      <c r="A79" s="224">
        <v>73</v>
      </c>
      <c r="B79" s="248">
        <v>3.3414351851851855E-2</v>
      </c>
      <c r="C79" s="231">
        <f t="shared" si="9"/>
        <v>48.116666666666674</v>
      </c>
      <c r="D79" s="231">
        <f t="shared" si="8"/>
        <v>43.738279864173137</v>
      </c>
      <c r="E79" s="246">
        <f t="shared" si="7"/>
        <v>0.65769999999999995</v>
      </c>
      <c r="F79" s="231">
        <v>44.012647898816816</v>
      </c>
      <c r="G79" s="231">
        <v>48.116666666666674</v>
      </c>
      <c r="H79" s="247"/>
      <c r="I79" s="224">
        <v>73</v>
      </c>
      <c r="J79" s="243">
        <f t="shared" si="10"/>
        <v>91.470691857603342</v>
      </c>
      <c r="K79" s="244">
        <f t="shared" si="5"/>
        <v>90.900477722562783</v>
      </c>
      <c r="L79" s="249" t="s">
        <v>494</v>
      </c>
      <c r="M79" s="250" t="s">
        <v>637</v>
      </c>
      <c r="N79" s="251" t="s">
        <v>638</v>
      </c>
      <c r="O79" s="250" t="s">
        <v>284</v>
      </c>
      <c r="P79" s="252">
        <v>12120</v>
      </c>
      <c r="Q79" s="251"/>
      <c r="R79" s="250" t="s">
        <v>639</v>
      </c>
      <c r="S79" s="252">
        <v>38970</v>
      </c>
      <c r="T79" s="253"/>
      <c r="U79" s="254"/>
    </row>
    <row r="80" spans="1:21" ht="15.75">
      <c r="A80" s="224">
        <v>74</v>
      </c>
      <c r="B80" s="248">
        <v>3.412037037037037E-2</v>
      </c>
      <c r="C80" s="231">
        <f t="shared" si="9"/>
        <v>49.133333333333333</v>
      </c>
      <c r="D80" s="231">
        <f t="shared" si="8"/>
        <v>44.447878038730948</v>
      </c>
      <c r="E80" s="246">
        <f t="shared" si="7"/>
        <v>0.6472</v>
      </c>
      <c r="F80" s="231">
        <v>44.689555175806532</v>
      </c>
      <c r="G80" s="231">
        <v>49.133333333333333</v>
      </c>
      <c r="H80" s="247"/>
      <c r="I80" s="224">
        <v>74</v>
      </c>
      <c r="J80" s="243">
        <f t="shared" si="10"/>
        <v>90.955675391736506</v>
      </c>
      <c r="K80" s="244">
        <f t="shared" si="5"/>
        <v>90.463795194160681</v>
      </c>
      <c r="L80" s="249" t="s">
        <v>495</v>
      </c>
      <c r="M80" s="250" t="s">
        <v>637</v>
      </c>
      <c r="N80" s="251" t="s">
        <v>638</v>
      </c>
      <c r="O80" s="250" t="s">
        <v>284</v>
      </c>
      <c r="P80" s="252">
        <v>12120</v>
      </c>
      <c r="Q80" s="251"/>
      <c r="R80" s="250" t="s">
        <v>640</v>
      </c>
      <c r="S80" s="252">
        <v>39194</v>
      </c>
      <c r="T80" s="253"/>
      <c r="U80" s="254"/>
    </row>
    <row r="81" spans="1:21">
      <c r="A81" s="224">
        <v>75</v>
      </c>
      <c r="B81" s="248">
        <v>3.4189814814814812E-2</v>
      </c>
      <c r="C81" s="231">
        <f t="shared" si="9"/>
        <v>49.233333333333327</v>
      </c>
      <c r="D81" s="231">
        <f t="shared" si="8"/>
        <v>45.180880582168477</v>
      </c>
      <c r="E81" s="246">
        <f t="shared" si="7"/>
        <v>0.63670000000000004</v>
      </c>
      <c r="F81" s="231">
        <v>45.39477144810899</v>
      </c>
      <c r="G81" s="231">
        <v>49.516666666666673</v>
      </c>
      <c r="H81" s="247"/>
      <c r="I81" s="224">
        <v>75</v>
      </c>
      <c r="J81" s="243">
        <f t="shared" si="10"/>
        <v>92.203327247343935</v>
      </c>
      <c r="K81" s="244">
        <f t="shared" si="5"/>
        <v>91.768884053151965</v>
      </c>
      <c r="L81" s="249" t="s">
        <v>970</v>
      </c>
      <c r="M81" s="262" t="s">
        <v>382</v>
      </c>
      <c r="N81" s="262" t="s">
        <v>383</v>
      </c>
      <c r="O81" s="270" t="s">
        <v>241</v>
      </c>
      <c r="P81" s="271">
        <v>17637</v>
      </c>
      <c r="Q81" s="263" t="s">
        <v>987</v>
      </c>
      <c r="R81" s="262" t="s">
        <v>988</v>
      </c>
      <c r="S81" s="271">
        <v>45207</v>
      </c>
      <c r="T81" s="253"/>
      <c r="U81" s="254"/>
    </row>
    <row r="82" spans="1:21" ht="15.75">
      <c r="A82" s="224">
        <v>76</v>
      </c>
      <c r="B82" s="248">
        <v>3.4745370370370371E-2</v>
      </c>
      <c r="C82" s="231">
        <f t="shared" si="9"/>
        <v>50.033333333333331</v>
      </c>
      <c r="D82" s="231">
        <f t="shared" si="8"/>
        <v>45.938464814223366</v>
      </c>
      <c r="E82" s="246">
        <f t="shared" si="7"/>
        <v>0.62619999999999998</v>
      </c>
      <c r="F82" s="231">
        <v>46.144797347877237</v>
      </c>
      <c r="G82" s="231">
        <v>50.033333333333331</v>
      </c>
      <c r="H82" s="247"/>
      <c r="I82" s="224">
        <v>76</v>
      </c>
      <c r="J82" s="243">
        <f t="shared" si="10"/>
        <v>92.228109289561431</v>
      </c>
      <c r="K82" s="244">
        <f t="shared" si="5"/>
        <v>91.815719149014058</v>
      </c>
      <c r="L82" s="249" t="s">
        <v>496</v>
      </c>
      <c r="M82" s="250" t="s">
        <v>637</v>
      </c>
      <c r="N82" s="251" t="s">
        <v>638</v>
      </c>
      <c r="O82" s="250" t="s">
        <v>284</v>
      </c>
      <c r="P82" s="252">
        <v>12120</v>
      </c>
      <c r="Q82" s="251"/>
      <c r="R82" s="250" t="s">
        <v>641</v>
      </c>
      <c r="S82" s="252">
        <v>39937</v>
      </c>
      <c r="T82" s="253"/>
      <c r="U82" s="254"/>
    </row>
    <row r="83" spans="1:21" ht="15.75">
      <c r="A83" s="224">
        <v>77</v>
      </c>
      <c r="B83" s="248">
        <v>3.5682870370370372E-2</v>
      </c>
      <c r="C83" s="231">
        <f t="shared" si="9"/>
        <v>51.383333333333333</v>
      </c>
      <c r="D83" s="231">
        <f t="shared" si="8"/>
        <v>46.721888365545993</v>
      </c>
      <c r="E83" s="246">
        <f t="shared" si="7"/>
        <v>0.61570000000000003</v>
      </c>
      <c r="F83" s="231">
        <v>46.981327236104313</v>
      </c>
      <c r="G83" s="231">
        <v>51.383333333333333</v>
      </c>
      <c r="H83" s="247"/>
      <c r="I83" s="224">
        <v>77</v>
      </c>
      <c r="J83" s="243">
        <f t="shared" si="10"/>
        <v>91.433007919761877</v>
      </c>
      <c r="K83" s="244">
        <f t="shared" si="5"/>
        <v>90.928099316664273</v>
      </c>
      <c r="L83" s="249" t="s">
        <v>497</v>
      </c>
      <c r="M83" s="250" t="s">
        <v>642</v>
      </c>
      <c r="N83" s="251" t="s">
        <v>643</v>
      </c>
      <c r="O83" s="250" t="s">
        <v>345</v>
      </c>
      <c r="P83" s="252">
        <v>11078</v>
      </c>
      <c r="Q83" s="251"/>
      <c r="R83" s="250" t="s">
        <v>644</v>
      </c>
      <c r="S83" s="252">
        <v>39219</v>
      </c>
      <c r="T83" s="253"/>
      <c r="U83" s="254"/>
    </row>
    <row r="84" spans="1:21" ht="15.75">
      <c r="A84" s="224">
        <v>78</v>
      </c>
      <c r="B84" s="248">
        <v>3.7245370370370373E-2</v>
      </c>
      <c r="C84" s="231">
        <f t="shared" si="9"/>
        <v>53.63333333333334</v>
      </c>
      <c r="D84" s="231">
        <f t="shared" si="8"/>
        <v>47.603287550333725</v>
      </c>
      <c r="E84" s="246">
        <f t="shared" si="7"/>
        <v>0.60429999999999995</v>
      </c>
      <c r="F84" s="231">
        <v>47.9045240077713</v>
      </c>
      <c r="G84" s="231">
        <v>53.633333333333326</v>
      </c>
      <c r="H84" s="247"/>
      <c r="I84" s="224">
        <v>78</v>
      </c>
      <c r="J84" s="243">
        <f t="shared" si="10"/>
        <v>89.318565583165864</v>
      </c>
      <c r="K84" s="244">
        <f t="shared" si="5"/>
        <v>88.756906557489842</v>
      </c>
      <c r="L84" s="249" t="s">
        <v>498</v>
      </c>
      <c r="M84" s="253" t="s">
        <v>390</v>
      </c>
      <c r="N84" s="253" t="s">
        <v>391</v>
      </c>
      <c r="O84" s="250" t="s">
        <v>241</v>
      </c>
      <c r="P84" s="252">
        <v>13343</v>
      </c>
      <c r="Q84" s="253" t="s">
        <v>645</v>
      </c>
      <c r="R84" s="253" t="s">
        <v>646</v>
      </c>
      <c r="S84" s="264">
        <v>42149</v>
      </c>
      <c r="T84" s="253"/>
      <c r="U84" s="254"/>
    </row>
    <row r="85" spans="1:21" ht="15.75">
      <c r="A85" s="224">
        <v>79</v>
      </c>
      <c r="B85" s="248">
        <v>3.8124999999999999E-2</v>
      </c>
      <c r="C85" s="231">
        <f t="shared" si="9"/>
        <v>54.9</v>
      </c>
      <c r="D85" s="231">
        <f t="shared" si="8"/>
        <v>48.592342342342349</v>
      </c>
      <c r="E85" s="246">
        <f t="shared" si="7"/>
        <v>0.59199999999999997</v>
      </c>
      <c r="F85" s="231">
        <v>48.931224131088058</v>
      </c>
      <c r="G85" s="231">
        <v>54.9</v>
      </c>
      <c r="H85" s="247"/>
      <c r="I85" s="224">
        <v>79</v>
      </c>
      <c r="J85" s="243">
        <f t="shared" si="10"/>
        <v>89.127912807082083</v>
      </c>
      <c r="K85" s="244">
        <f t="shared" si="5"/>
        <v>88.510641789330322</v>
      </c>
      <c r="L85" s="249" t="s">
        <v>499</v>
      </c>
      <c r="M85" s="250" t="s">
        <v>647</v>
      </c>
      <c r="N85" s="251" t="s">
        <v>648</v>
      </c>
      <c r="O85" s="250" t="s">
        <v>578</v>
      </c>
      <c r="P85" s="252">
        <v>13184</v>
      </c>
      <c r="Q85" s="251"/>
      <c r="R85" s="250" t="s">
        <v>649</v>
      </c>
      <c r="S85" s="252">
        <v>42071</v>
      </c>
      <c r="T85" s="253"/>
      <c r="U85" s="254"/>
    </row>
    <row r="86" spans="1:21" ht="15.75">
      <c r="A86" s="224">
        <v>80</v>
      </c>
      <c r="B86" s="248">
        <v>3.8252314814814815E-2</v>
      </c>
      <c r="C86" s="231">
        <f t="shared" si="9"/>
        <v>55.083333333333336</v>
      </c>
      <c r="D86" s="231">
        <f t="shared" si="8"/>
        <v>49.717709413526912</v>
      </c>
      <c r="E86" s="246">
        <f t="shared" si="7"/>
        <v>0.5786</v>
      </c>
      <c r="F86" s="231">
        <v>50.072526834928929</v>
      </c>
      <c r="G86" s="231">
        <v>55.083333333333336</v>
      </c>
      <c r="H86" s="247"/>
      <c r="I86" s="224">
        <v>80</v>
      </c>
      <c r="J86" s="243">
        <f t="shared" si="10"/>
        <v>90.903225721504867</v>
      </c>
      <c r="K86" s="244">
        <f t="shared" si="5"/>
        <v>90.25907911684159</v>
      </c>
      <c r="L86" s="249" t="s">
        <v>500</v>
      </c>
      <c r="M86" s="250" t="s">
        <v>650</v>
      </c>
      <c r="N86" s="251" t="s">
        <v>651</v>
      </c>
      <c r="O86" s="250" t="s">
        <v>578</v>
      </c>
      <c r="P86" s="252">
        <v>12337</v>
      </c>
      <c r="Q86" s="251"/>
      <c r="R86" s="250" t="s">
        <v>652</v>
      </c>
      <c r="S86" s="252">
        <v>41896</v>
      </c>
      <c r="T86" s="253"/>
      <c r="U86" s="254"/>
    </row>
    <row r="87" spans="1:21" ht="15.75">
      <c r="A87" s="224">
        <v>81</v>
      </c>
      <c r="B87" s="248">
        <v>3.7696759259259256E-2</v>
      </c>
      <c r="C87" s="231">
        <f t="shared" si="9"/>
        <v>54.283333333333331</v>
      </c>
      <c r="D87" s="231">
        <f t="shared" si="8"/>
        <v>50.977612381121155</v>
      </c>
      <c r="E87" s="246">
        <f t="shared" si="7"/>
        <v>0.56430000000000002</v>
      </c>
      <c r="F87" s="231">
        <v>51.332381632167504</v>
      </c>
      <c r="G87" s="231">
        <v>53.266666666666666</v>
      </c>
      <c r="H87" s="247"/>
      <c r="I87" s="224">
        <v>81</v>
      </c>
      <c r="J87" s="243">
        <f t="shared" si="10"/>
        <v>94.563797910041458</v>
      </c>
      <c r="K87" s="244">
        <f t="shared" si="5"/>
        <v>93.910246940966218</v>
      </c>
      <c r="L87" s="249" t="s">
        <v>971</v>
      </c>
      <c r="M87" s="250" t="s">
        <v>655</v>
      </c>
      <c r="N87" s="251" t="s">
        <v>656</v>
      </c>
      <c r="O87" s="250" t="s">
        <v>288</v>
      </c>
      <c r="P87" s="252">
        <v>11590</v>
      </c>
      <c r="Q87" s="251"/>
      <c r="R87" s="250" t="s">
        <v>532</v>
      </c>
      <c r="S87" s="252">
        <v>41413</v>
      </c>
      <c r="T87" s="253"/>
      <c r="U87" s="254"/>
    </row>
    <row r="88" spans="1:21" ht="15.75">
      <c r="A88" s="224">
        <v>82</v>
      </c>
      <c r="B88" s="248">
        <v>3.6990740740740741E-2</v>
      </c>
      <c r="C88" s="231">
        <f t="shared" si="9"/>
        <v>53.266666666666666</v>
      </c>
      <c r="D88" s="231">
        <f t="shared" si="8"/>
        <v>52.407845995020345</v>
      </c>
      <c r="E88" s="246">
        <f t="shared" si="7"/>
        <v>0.54890000000000005</v>
      </c>
      <c r="F88" s="231">
        <v>52.734494347693257</v>
      </c>
      <c r="G88" s="231">
        <v>56.033333333333331</v>
      </c>
      <c r="H88" s="247"/>
      <c r="I88" s="224">
        <v>82</v>
      </c>
      <c r="J88" s="243">
        <f t="shared" si="10"/>
        <v>99.000928062002359</v>
      </c>
      <c r="K88" s="244">
        <f t="shared" si="5"/>
        <v>98.387695860488762</v>
      </c>
      <c r="L88" s="249" t="s">
        <v>501</v>
      </c>
      <c r="M88" s="253" t="s">
        <v>390</v>
      </c>
      <c r="N88" s="253" t="s">
        <v>391</v>
      </c>
      <c r="O88" s="250" t="s">
        <v>241</v>
      </c>
      <c r="P88" s="252">
        <v>13343</v>
      </c>
      <c r="Q88" s="253" t="s">
        <v>653</v>
      </c>
      <c r="R88" s="253" t="s">
        <v>654</v>
      </c>
      <c r="S88" s="264">
        <v>43346</v>
      </c>
      <c r="T88" s="253"/>
      <c r="U88" s="254"/>
    </row>
    <row r="89" spans="1:21" ht="15.75">
      <c r="A89" s="224">
        <v>83</v>
      </c>
      <c r="B89" s="248">
        <v>4.2395833333333334E-2</v>
      </c>
      <c r="C89" s="231">
        <f t="shared" si="9"/>
        <v>61.050000000000004</v>
      </c>
      <c r="D89" s="231">
        <f t="shared" si="8"/>
        <v>54.021909233176849</v>
      </c>
      <c r="E89" s="246">
        <f t="shared" si="7"/>
        <v>0.53249999999999997</v>
      </c>
      <c r="F89" s="231">
        <v>54.286972384726681</v>
      </c>
      <c r="G89" s="231">
        <v>61.050000000000004</v>
      </c>
      <c r="H89" s="247"/>
      <c r="I89" s="224">
        <v>83</v>
      </c>
      <c r="J89" s="243">
        <f t="shared" si="10"/>
        <v>88.922149688331984</v>
      </c>
      <c r="K89" s="244">
        <f t="shared" si="5"/>
        <v>88.487975811919483</v>
      </c>
      <c r="L89" s="249" t="s">
        <v>502</v>
      </c>
      <c r="M89" s="250" t="s">
        <v>398</v>
      </c>
      <c r="N89" s="251" t="s">
        <v>657</v>
      </c>
      <c r="O89" s="250" t="s">
        <v>400</v>
      </c>
      <c r="P89" s="252">
        <v>11106</v>
      </c>
      <c r="Q89" s="251"/>
      <c r="R89" s="250" t="s">
        <v>658</v>
      </c>
      <c r="S89" s="252">
        <v>41434</v>
      </c>
      <c r="T89" s="253"/>
      <c r="U89" s="254"/>
    </row>
    <row r="90" spans="1:21" ht="15.75">
      <c r="A90" s="224">
        <v>84</v>
      </c>
      <c r="B90" s="248">
        <v>4.2719907407407408E-2</v>
      </c>
      <c r="C90" s="231">
        <f t="shared" si="9"/>
        <v>61.516666666666666</v>
      </c>
      <c r="D90" s="231">
        <f t="shared" si="8"/>
        <v>55.857605177993534</v>
      </c>
      <c r="E90" s="246">
        <f t="shared" si="7"/>
        <v>0.51500000000000001</v>
      </c>
      <c r="F90" s="231">
        <v>56.020772476468686</v>
      </c>
      <c r="G90" s="231">
        <v>61.516666666666666</v>
      </c>
      <c r="H90" s="247"/>
      <c r="I90" s="224">
        <v>84</v>
      </c>
      <c r="J90" s="243">
        <f t="shared" si="10"/>
        <v>91.0660078186974</v>
      </c>
      <c r="K90" s="244">
        <f t="shared" si="5"/>
        <v>90.800767019225475</v>
      </c>
      <c r="L90" s="249" t="s">
        <v>503</v>
      </c>
      <c r="M90" s="250" t="s">
        <v>655</v>
      </c>
      <c r="N90" s="251" t="s">
        <v>656</v>
      </c>
      <c r="O90" s="250" t="s">
        <v>288</v>
      </c>
      <c r="P90" s="252">
        <v>11590</v>
      </c>
      <c r="Q90" s="251"/>
      <c r="R90" s="250" t="s">
        <v>659</v>
      </c>
      <c r="S90" s="252">
        <v>42322</v>
      </c>
      <c r="T90" s="253"/>
      <c r="U90" s="254"/>
    </row>
    <row r="91" spans="1:21" ht="15.75">
      <c r="A91" s="224">
        <v>85</v>
      </c>
      <c r="B91" s="248">
        <v>4.1562500000000002E-2</v>
      </c>
      <c r="C91" s="231">
        <f t="shared" si="9"/>
        <v>59.85</v>
      </c>
      <c r="D91" s="231">
        <f t="shared" si="8"/>
        <v>57.927238555510812</v>
      </c>
      <c r="E91" s="246">
        <f t="shared" si="7"/>
        <v>0.49659999999999999</v>
      </c>
      <c r="F91" s="231">
        <v>57.962254013029757</v>
      </c>
      <c r="G91" s="231">
        <v>59.85</v>
      </c>
      <c r="H91" s="247"/>
      <c r="I91" s="224">
        <v>85</v>
      </c>
      <c r="J91" s="243">
        <f t="shared" si="10"/>
        <v>96.845871366799926</v>
      </c>
      <c r="K91" s="244">
        <f t="shared" si="5"/>
        <v>96.78736600753686</v>
      </c>
      <c r="L91" s="249" t="s">
        <v>504</v>
      </c>
      <c r="M91" s="250" t="s">
        <v>655</v>
      </c>
      <c r="N91" s="251" t="s">
        <v>656</v>
      </c>
      <c r="O91" s="250" t="s">
        <v>288</v>
      </c>
      <c r="P91" s="252">
        <v>11590</v>
      </c>
      <c r="Q91" s="251"/>
      <c r="R91" s="250" t="s">
        <v>660</v>
      </c>
      <c r="S91" s="252">
        <v>42764</v>
      </c>
      <c r="T91" s="253"/>
      <c r="U91" s="254"/>
    </row>
    <row r="92" spans="1:21" ht="15.75">
      <c r="A92" s="224">
        <v>86</v>
      </c>
      <c r="B92" s="248">
        <v>5.153935185185185E-2</v>
      </c>
      <c r="C92" s="231">
        <f t="shared" si="9"/>
        <v>74.216666666666669</v>
      </c>
      <c r="D92" s="231">
        <f t="shared" si="8"/>
        <v>60.294836861594355</v>
      </c>
      <c r="E92" s="246">
        <f t="shared" si="7"/>
        <v>0.47710000000000002</v>
      </c>
      <c r="F92" s="231">
        <v>60.130992196209597</v>
      </c>
      <c r="G92" s="231">
        <v>74.216666666666669</v>
      </c>
      <c r="H92" s="247"/>
      <c r="I92" s="224">
        <v>86</v>
      </c>
      <c r="J92" s="243">
        <f t="shared" si="10"/>
        <v>81.020874281890315</v>
      </c>
      <c r="K92" s="244">
        <f t="shared" si="5"/>
        <v>81.241639606909075</v>
      </c>
      <c r="L92" s="249" t="s">
        <v>505</v>
      </c>
      <c r="M92" s="250" t="s">
        <v>398</v>
      </c>
      <c r="N92" s="251" t="s">
        <v>657</v>
      </c>
      <c r="O92" s="250" t="s">
        <v>400</v>
      </c>
      <c r="P92" s="252">
        <v>11106</v>
      </c>
      <c r="Q92" s="251"/>
      <c r="R92" s="250" t="s">
        <v>661</v>
      </c>
      <c r="S92" s="252">
        <v>42855</v>
      </c>
      <c r="T92" s="253"/>
      <c r="U92" s="254"/>
    </row>
    <row r="93" spans="1:21" ht="15.75">
      <c r="A93" s="224">
        <v>87</v>
      </c>
      <c r="B93" s="248">
        <v>5.2430555555555557E-2</v>
      </c>
      <c r="C93" s="231">
        <f t="shared" si="9"/>
        <v>75.5</v>
      </c>
      <c r="D93" s="231">
        <f t="shared" si="8"/>
        <v>63.001898087312021</v>
      </c>
      <c r="E93" s="246">
        <f t="shared" si="7"/>
        <v>0.45660000000000001</v>
      </c>
      <c r="F93" s="231">
        <v>62.577042999057362</v>
      </c>
      <c r="G93" s="231"/>
      <c r="H93" s="247"/>
      <c r="I93" s="224">
        <v>87</v>
      </c>
      <c r="J93" s="243">
        <f t="shared" si="10"/>
        <v>82.883500661003126</v>
      </c>
      <c r="K93" s="244">
        <f t="shared" ref="K93:K98" si="11">100*(D93/C93)</f>
        <v>83.446222632201355</v>
      </c>
      <c r="L93" s="249" t="s">
        <v>506</v>
      </c>
      <c r="M93" s="253" t="s">
        <v>662</v>
      </c>
      <c r="N93" s="253" t="s">
        <v>663</v>
      </c>
      <c r="O93" s="250" t="s">
        <v>241</v>
      </c>
      <c r="P93" s="271">
        <v>6357</v>
      </c>
      <c r="Q93" s="253" t="s">
        <v>664</v>
      </c>
      <c r="R93" s="253" t="s">
        <v>426</v>
      </c>
      <c r="S93" s="264">
        <v>38423</v>
      </c>
      <c r="T93" s="251"/>
      <c r="U93" s="266"/>
    </row>
    <row r="94" spans="1:21" ht="15.75">
      <c r="A94" s="224">
        <v>88</v>
      </c>
      <c r="B94" s="248">
        <v>5.4502314814814816E-2</v>
      </c>
      <c r="C94" s="231">
        <f t="shared" si="9"/>
        <v>78.483333333333334</v>
      </c>
      <c r="D94" s="231">
        <f t="shared" si="8"/>
        <v>66.115069332720452</v>
      </c>
      <c r="E94" s="246">
        <f t="shared" si="7"/>
        <v>0.43509999999999999</v>
      </c>
      <c r="F94" s="231">
        <v>65.334241804830043</v>
      </c>
      <c r="G94" s="231">
        <v>78.483333333333334</v>
      </c>
      <c r="H94" s="247"/>
      <c r="I94" s="224">
        <v>88</v>
      </c>
      <c r="J94" s="243">
        <f t="shared" si="10"/>
        <v>83.246007820976914</v>
      </c>
      <c r="K94" s="244">
        <f t="shared" si="11"/>
        <v>84.240903800450766</v>
      </c>
      <c r="L94" s="249" t="s">
        <v>507</v>
      </c>
      <c r="M94" s="253" t="s">
        <v>665</v>
      </c>
      <c r="N94" s="253" t="s">
        <v>666</v>
      </c>
      <c r="O94" s="250" t="s">
        <v>241</v>
      </c>
      <c r="P94" s="252">
        <v>535</v>
      </c>
      <c r="Q94" s="253" t="s">
        <v>667</v>
      </c>
      <c r="R94" s="253" t="s">
        <v>668</v>
      </c>
      <c r="S94" s="264">
        <v>32788</v>
      </c>
      <c r="T94" s="251"/>
      <c r="U94" s="266"/>
    </row>
    <row r="95" spans="1:21" ht="15.75">
      <c r="A95" s="224">
        <v>89</v>
      </c>
      <c r="B95" s="248">
        <v>5.8935185185185188E-2</v>
      </c>
      <c r="C95" s="231">
        <f t="shared" si="9"/>
        <v>84.866666666666674</v>
      </c>
      <c r="D95" s="231">
        <f t="shared" si="8"/>
        <v>69.737373737373744</v>
      </c>
      <c r="E95" s="246">
        <f t="shared" si="7"/>
        <v>0.41249999999999998</v>
      </c>
      <c r="F95" s="231">
        <v>68.475759739744518</v>
      </c>
      <c r="G95" s="231">
        <v>84.86666666666666</v>
      </c>
      <c r="H95" s="247"/>
      <c r="I95" s="224">
        <v>89</v>
      </c>
      <c r="J95" s="243">
        <f t="shared" si="10"/>
        <v>80.686284060971531</v>
      </c>
      <c r="K95" s="244">
        <f t="shared" si="11"/>
        <v>82.172867718822161</v>
      </c>
      <c r="L95" s="272">
        <v>5.8935185185185181E-2</v>
      </c>
      <c r="M95" s="253" t="s">
        <v>415</v>
      </c>
      <c r="N95" s="253" t="s">
        <v>416</v>
      </c>
      <c r="O95" s="250" t="s">
        <v>241</v>
      </c>
      <c r="P95" s="252">
        <v>8487</v>
      </c>
      <c r="Q95" s="253" t="s">
        <v>669</v>
      </c>
      <c r="R95" s="253" t="s">
        <v>418</v>
      </c>
      <c r="S95" s="264">
        <v>41013</v>
      </c>
      <c r="T95" s="251"/>
      <c r="U95" s="266"/>
    </row>
    <row r="96" spans="1:21" ht="15.75">
      <c r="A96" s="224">
        <v>90</v>
      </c>
      <c r="B96" s="248">
        <v>9.7581018518518525E-2</v>
      </c>
      <c r="C96" s="231">
        <f t="shared" si="9"/>
        <v>140.51666666666668</v>
      </c>
      <c r="D96" s="231">
        <f t="shared" si="8"/>
        <v>73.950299914310207</v>
      </c>
      <c r="E96" s="246">
        <f t="shared" si="7"/>
        <v>0.38900000000000001</v>
      </c>
      <c r="F96" s="231">
        <v>72.078844065814749</v>
      </c>
      <c r="G96" s="231">
        <v>140.51666666666668</v>
      </c>
      <c r="H96" s="247"/>
      <c r="I96" s="224">
        <v>90</v>
      </c>
      <c r="J96" s="243">
        <f t="shared" si="10"/>
        <v>51.295583488896746</v>
      </c>
      <c r="K96" s="244">
        <f t="shared" si="11"/>
        <v>52.627422546063485</v>
      </c>
      <c r="L96" s="272">
        <v>9.7581018518518525E-2</v>
      </c>
      <c r="M96" s="251" t="s">
        <v>670</v>
      </c>
      <c r="N96" s="251" t="s">
        <v>671</v>
      </c>
      <c r="O96" s="250" t="s">
        <v>241</v>
      </c>
      <c r="P96" s="252"/>
      <c r="Q96" s="251" t="s">
        <v>672</v>
      </c>
      <c r="R96" s="251" t="s">
        <v>673</v>
      </c>
      <c r="S96" s="252">
        <v>41000</v>
      </c>
      <c r="T96" s="253"/>
      <c r="U96" s="254"/>
    </row>
    <row r="97" spans="1:21" ht="15.75">
      <c r="A97" s="224">
        <v>91</v>
      </c>
      <c r="C97" s="231"/>
      <c r="D97" s="231">
        <f t="shared" si="8"/>
        <v>78.942553969996354</v>
      </c>
      <c r="E97" s="246">
        <f t="shared" ref="E97:E106" si="12">ROUND(1-IF(A97&lt;I$3,0,IF(A97&lt;I$4,G$3*(A97-I$3)^2,G$2+G$4*(A97-I$4)+(A97&gt;I$5)*G$5*(A97-I$5)^2)),4)</f>
        <v>0.3644</v>
      </c>
      <c r="F97" s="231">
        <v>76.22328210563505</v>
      </c>
      <c r="G97" s="231"/>
      <c r="H97" s="247"/>
      <c r="I97" s="224">
        <v>91</v>
      </c>
      <c r="J97" s="243"/>
      <c r="K97" s="244"/>
      <c r="L97" s="272">
        <v>5.8935185185185181E-2</v>
      </c>
      <c r="M97" s="253" t="s">
        <v>415</v>
      </c>
      <c r="N97" s="253" t="s">
        <v>416</v>
      </c>
      <c r="O97" s="250" t="s">
        <v>241</v>
      </c>
      <c r="P97" s="252">
        <v>8487</v>
      </c>
      <c r="Q97" s="253" t="s">
        <v>669</v>
      </c>
      <c r="R97" s="253" t="s">
        <v>418</v>
      </c>
      <c r="S97" s="264">
        <v>42105</v>
      </c>
      <c r="T97" s="251"/>
      <c r="U97" s="266"/>
    </row>
    <row r="98" spans="1:21" ht="15.75">
      <c r="A98" s="224">
        <v>92</v>
      </c>
      <c r="B98" s="248">
        <v>5.8935185185185188E-2</v>
      </c>
      <c r="C98" s="231">
        <f t="shared" si="9"/>
        <v>84.866666666666674</v>
      </c>
      <c r="D98" s="231">
        <f t="shared" si="8"/>
        <v>84.907516725698557</v>
      </c>
      <c r="E98" s="246">
        <f t="shared" si="12"/>
        <v>0.33879999999999999</v>
      </c>
      <c r="F98" s="231">
        <v>81.055696440311834</v>
      </c>
      <c r="G98" s="231">
        <v>84.86666666666666</v>
      </c>
      <c r="H98" s="247"/>
      <c r="I98" s="224">
        <v>92</v>
      </c>
      <c r="J98" s="243">
        <f t="shared" si="10"/>
        <v>95.509461634303022</v>
      </c>
      <c r="K98" s="244">
        <f t="shared" si="11"/>
        <v>100.0481343979166</v>
      </c>
      <c r="L98" s="273">
        <v>5.8935185185185181E-2</v>
      </c>
      <c r="M98" s="274" t="s">
        <v>415</v>
      </c>
      <c r="N98" s="274" t="s">
        <v>416</v>
      </c>
      <c r="O98" s="275" t="s">
        <v>241</v>
      </c>
      <c r="P98" s="276">
        <v>8487</v>
      </c>
      <c r="Q98" s="274" t="s">
        <v>669</v>
      </c>
      <c r="R98" s="274" t="s">
        <v>418</v>
      </c>
      <c r="S98" s="277">
        <v>41013</v>
      </c>
      <c r="T98" s="278"/>
    </row>
    <row r="99" spans="1:21" ht="15.75">
      <c r="A99" s="224">
        <v>93</v>
      </c>
      <c r="C99" s="231"/>
      <c r="D99" s="231">
        <f t="shared" si="8"/>
        <v>92.141789451206506</v>
      </c>
      <c r="E99" s="246">
        <f t="shared" si="12"/>
        <v>0.31219999999999998</v>
      </c>
      <c r="F99" s="231">
        <v>86.724952266103912</v>
      </c>
      <c r="G99" s="231"/>
      <c r="H99" s="247"/>
      <c r="I99" s="224">
        <v>93</v>
      </c>
      <c r="J99" s="243"/>
      <c r="K99" s="244"/>
      <c r="L99" s="273">
        <v>9.7581018518518525E-2</v>
      </c>
      <c r="M99" s="278" t="s">
        <v>670</v>
      </c>
      <c r="N99" s="278" t="s">
        <v>671</v>
      </c>
      <c r="O99" s="275" t="s">
        <v>241</v>
      </c>
      <c r="P99" s="276"/>
      <c r="Q99" s="278" t="s">
        <v>672</v>
      </c>
      <c r="R99" s="278" t="s">
        <v>673</v>
      </c>
      <c r="S99" s="276">
        <v>41000</v>
      </c>
      <c r="T99" s="279"/>
    </row>
    <row r="100" spans="1:21" ht="15.75">
      <c r="A100" s="224">
        <v>94</v>
      </c>
      <c r="C100" s="231"/>
      <c r="D100" s="231">
        <f t="shared" si="8"/>
        <v>101.07753572265167</v>
      </c>
      <c r="E100" s="246">
        <f t="shared" si="12"/>
        <v>0.28460000000000002</v>
      </c>
      <c r="F100" s="231">
        <v>93.489329433430854</v>
      </c>
      <c r="G100" s="231"/>
      <c r="H100" s="247"/>
      <c r="I100" s="224">
        <v>94</v>
      </c>
      <c r="J100" s="243"/>
      <c r="K100" s="244"/>
      <c r="L100" s="273">
        <v>5.8935185185185181E-2</v>
      </c>
      <c r="M100" s="274" t="s">
        <v>415</v>
      </c>
      <c r="N100" s="274" t="s">
        <v>416</v>
      </c>
      <c r="O100" s="275" t="s">
        <v>241</v>
      </c>
      <c r="P100" s="276">
        <v>8487</v>
      </c>
      <c r="Q100" s="274" t="s">
        <v>669</v>
      </c>
      <c r="R100" s="274" t="s">
        <v>418</v>
      </c>
      <c r="S100" s="277">
        <v>42105</v>
      </c>
      <c r="T100" s="278"/>
    </row>
    <row r="101" spans="1:21">
      <c r="A101" s="224">
        <v>95</v>
      </c>
      <c r="B101" s="248" t="s">
        <v>81</v>
      </c>
      <c r="C101" s="231"/>
      <c r="D101" s="231">
        <f t="shared" si="8"/>
        <v>112.41370326950631</v>
      </c>
      <c r="E101" s="246">
        <f t="shared" si="12"/>
        <v>0.25590000000000002</v>
      </c>
      <c r="F101" s="231">
        <v>101.68492989277721</v>
      </c>
      <c r="G101" s="231"/>
      <c r="H101" s="247"/>
      <c r="I101" s="224">
        <v>95</v>
      </c>
      <c r="J101" s="243"/>
      <c r="K101" s="244"/>
      <c r="L101" s="280"/>
    </row>
    <row r="102" spans="1:21">
      <c r="A102" s="224">
        <v>96</v>
      </c>
      <c r="B102" s="224" t="s">
        <v>81</v>
      </c>
      <c r="C102" s="231"/>
      <c r="D102" s="231">
        <f t="shared" si="8"/>
        <v>127.17359269083407</v>
      </c>
      <c r="E102" s="246">
        <f t="shared" si="12"/>
        <v>0.22620000000000001</v>
      </c>
      <c r="F102" s="231">
        <v>111.75861175861176</v>
      </c>
      <c r="G102" s="231"/>
      <c r="H102" s="247"/>
      <c r="I102" s="224">
        <v>96</v>
      </c>
      <c r="J102" s="243"/>
      <c r="K102" s="244"/>
      <c r="L102" s="280"/>
    </row>
    <row r="103" spans="1:21">
      <c r="A103" s="224">
        <v>97</v>
      </c>
      <c r="B103" s="224" t="s">
        <v>81</v>
      </c>
      <c r="C103" s="231"/>
      <c r="D103" s="231">
        <f t="shared" si="8"/>
        <v>147.14407502131289</v>
      </c>
      <c r="E103" s="246">
        <f t="shared" si="12"/>
        <v>0.19550000000000001</v>
      </c>
      <c r="F103" s="231">
        <v>124.47713832395789</v>
      </c>
      <c r="G103" s="231"/>
      <c r="H103" s="247"/>
      <c r="I103" s="224">
        <v>97</v>
      </c>
      <c r="J103" s="243"/>
      <c r="K103" s="244"/>
      <c r="L103" s="280"/>
    </row>
    <row r="104" spans="1:21">
      <c r="A104" s="224">
        <v>98</v>
      </c>
      <c r="B104" s="224" t="s">
        <v>81</v>
      </c>
      <c r="C104" s="231"/>
      <c r="D104" s="231">
        <f t="shared" si="8"/>
        <v>175.62067562067563</v>
      </c>
      <c r="E104" s="246">
        <f t="shared" si="12"/>
        <v>0.1638</v>
      </c>
      <c r="F104" s="231">
        <v>140.94398170831292</v>
      </c>
      <c r="G104" s="231"/>
      <c r="H104" s="247"/>
      <c r="I104" s="224">
        <v>98</v>
      </c>
      <c r="J104" s="243"/>
      <c r="K104" s="244"/>
      <c r="L104" s="280"/>
    </row>
    <row r="105" spans="1:21">
      <c r="A105" s="224">
        <v>99</v>
      </c>
      <c r="B105" s="224" t="s">
        <v>81</v>
      </c>
      <c r="C105" s="231"/>
      <c r="D105" s="231">
        <f t="shared" si="8"/>
        <v>219.42537503178238</v>
      </c>
      <c r="E105" s="246">
        <f t="shared" si="12"/>
        <v>0.13109999999999999</v>
      </c>
      <c r="F105" s="231">
        <v>163.1688409907355</v>
      </c>
      <c r="G105" s="231"/>
      <c r="H105" s="247"/>
      <c r="I105" s="224">
        <v>99</v>
      </c>
      <c r="J105" s="243"/>
      <c r="K105" s="244"/>
      <c r="L105" s="280"/>
    </row>
    <row r="106" spans="1:21">
      <c r="A106" s="224">
        <v>100</v>
      </c>
      <c r="D106" s="231">
        <f t="shared" si="8"/>
        <v>295.64919492977049</v>
      </c>
      <c r="E106" s="246">
        <f t="shared" si="12"/>
        <v>9.7299999999999998E-2</v>
      </c>
      <c r="F106" s="231">
        <v>194.76416158880616</v>
      </c>
      <c r="G106" s="231"/>
      <c r="H106" s="247"/>
      <c r="I106" s="224">
        <v>100</v>
      </c>
      <c r="J106" s="243"/>
      <c r="K106" s="24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topLeftCell="A10" zoomScale="87" zoomScaleNormal="87" workbookViewId="0">
      <selection activeCell="E86" sqref="E86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20" t="s">
        <v>84</v>
      </c>
      <c r="B1" s="221"/>
      <c r="C1" s="222"/>
      <c r="D1" s="223" t="s">
        <v>32</v>
      </c>
      <c r="E1" s="223" t="s">
        <v>72</v>
      </c>
      <c r="F1" s="223" t="s">
        <v>73</v>
      </c>
      <c r="G1" s="223" t="s">
        <v>74</v>
      </c>
      <c r="H1" s="223" t="s">
        <v>75</v>
      </c>
      <c r="I1" s="223" t="s">
        <v>76</v>
      </c>
      <c r="J1" s="224"/>
      <c r="K1" s="224" t="s">
        <v>2123</v>
      </c>
      <c r="L1" s="224"/>
      <c r="M1" s="224"/>
      <c r="N1" s="224"/>
      <c r="O1" s="224"/>
      <c r="P1" s="224"/>
    </row>
    <row r="2" spans="1:16" ht="15.95" customHeight="1">
      <c r="A2" s="220"/>
      <c r="B2" s="221"/>
      <c r="C2" s="222"/>
      <c r="D2" s="223"/>
      <c r="E2" s="223"/>
      <c r="F2" s="328">
        <f>(+H$3-H$4)*F$4/2</f>
        <v>4.725E-2</v>
      </c>
      <c r="G2" s="329">
        <f>(+I$4-I$3)*G$4/2</f>
        <v>0.17219999999999999</v>
      </c>
      <c r="H2" s="225"/>
      <c r="I2" s="225"/>
      <c r="J2" s="224"/>
      <c r="K2" s="229">
        <f>Parameters!Z19</f>
        <v>0.24421245079182743</v>
      </c>
      <c r="L2" s="224"/>
      <c r="M2" s="224"/>
      <c r="N2" s="224"/>
      <c r="O2" s="224"/>
      <c r="P2" s="224"/>
    </row>
    <row r="3" spans="1:16" ht="15.95" customHeight="1">
      <c r="A3" s="220"/>
      <c r="B3" s="221"/>
      <c r="C3" s="222"/>
      <c r="D3" s="223"/>
      <c r="E3" s="223"/>
      <c r="F3" s="328">
        <f>F4/(2*(+H3-H4))</f>
        <v>1.89E-3</v>
      </c>
      <c r="G3" s="329">
        <f>G4/(2*(+I4-I3))</f>
        <v>1.6006097560975613E-4</v>
      </c>
      <c r="H3" s="226">
        <v>22</v>
      </c>
      <c r="I3" s="227">
        <v>24</v>
      </c>
      <c r="J3" s="224"/>
      <c r="K3" s="224"/>
      <c r="L3" s="224"/>
      <c r="M3" s="224"/>
      <c r="N3" s="224"/>
      <c r="O3" s="224"/>
      <c r="P3" s="224"/>
    </row>
    <row r="4" spans="1:16" ht="15.75">
      <c r="A4" s="221"/>
      <c r="B4" s="221"/>
      <c r="C4" s="221"/>
      <c r="D4" s="228">
        <f>Parameters!G19</f>
        <v>2.4120370370370372E-2</v>
      </c>
      <c r="E4" s="229">
        <f>D4*1440</f>
        <v>34.733333333333334</v>
      </c>
      <c r="F4" s="230">
        <v>1.89E-2</v>
      </c>
      <c r="G4" s="219">
        <v>1.0500000000000001E-2</v>
      </c>
      <c r="H4" s="226">
        <v>17</v>
      </c>
      <c r="I4" s="227">
        <v>56.8</v>
      </c>
      <c r="J4" s="231"/>
      <c r="K4" s="224"/>
      <c r="L4" s="224"/>
      <c r="M4" s="224"/>
      <c r="N4" s="224"/>
      <c r="O4" s="224"/>
      <c r="P4" s="224"/>
    </row>
    <row r="5" spans="1:16" ht="15.75">
      <c r="A5" s="221"/>
      <c r="B5" s="221"/>
      <c r="C5" s="221"/>
      <c r="D5" s="228"/>
      <c r="E5" s="221">
        <f>E4*60</f>
        <v>2084</v>
      </c>
      <c r="F5" s="230">
        <v>9.1E-4</v>
      </c>
      <c r="G5" s="219">
        <v>5.1000000000000004E-4</v>
      </c>
      <c r="H5" s="226">
        <v>15</v>
      </c>
      <c r="I5" s="227">
        <v>76.7</v>
      </c>
      <c r="J5" s="231"/>
      <c r="K5" s="224"/>
      <c r="L5" s="224"/>
      <c r="M5" s="224"/>
      <c r="N5" s="224"/>
      <c r="O5" s="224"/>
      <c r="P5" s="224"/>
    </row>
    <row r="6" spans="1:16" ht="27.95" customHeight="1">
      <c r="A6" s="232" t="s">
        <v>70</v>
      </c>
      <c r="B6" s="232" t="s">
        <v>1316</v>
      </c>
      <c r="C6" s="232" t="s">
        <v>71</v>
      </c>
      <c r="D6" s="232" t="s">
        <v>1317</v>
      </c>
      <c r="E6" s="232" t="s">
        <v>149</v>
      </c>
      <c r="F6" s="222" t="s">
        <v>148</v>
      </c>
      <c r="G6" s="232" t="s">
        <v>70</v>
      </c>
      <c r="H6" s="336" t="s">
        <v>735</v>
      </c>
      <c r="I6" s="336" t="s">
        <v>428</v>
      </c>
      <c r="J6" s="336" t="s">
        <v>429</v>
      </c>
      <c r="K6" s="337" t="s">
        <v>430</v>
      </c>
      <c r="L6" s="338" t="s">
        <v>431</v>
      </c>
      <c r="M6" s="339" t="s">
        <v>432</v>
      </c>
      <c r="N6" s="337" t="s">
        <v>433</v>
      </c>
      <c r="O6" s="338" t="s">
        <v>434</v>
      </c>
      <c r="P6" s="340" t="s">
        <v>1180</v>
      </c>
    </row>
    <row r="7" spans="1:16">
      <c r="A7" s="224">
        <v>1</v>
      </c>
      <c r="B7" s="224" t="s">
        <v>81</v>
      </c>
      <c r="C7" s="224"/>
      <c r="D7" s="224"/>
      <c r="E7" s="224"/>
      <c r="F7" s="224"/>
      <c r="G7" s="224">
        <v>1</v>
      </c>
      <c r="H7" s="224"/>
      <c r="I7" s="224"/>
      <c r="J7" s="224"/>
      <c r="K7" s="224"/>
      <c r="L7" s="224"/>
      <c r="M7" s="224"/>
      <c r="N7" s="224"/>
      <c r="O7" s="224"/>
      <c r="P7" s="224"/>
    </row>
    <row r="8" spans="1:16">
      <c r="A8" s="224">
        <v>2</v>
      </c>
      <c r="B8" s="224" t="s">
        <v>81</v>
      </c>
      <c r="C8" s="224"/>
      <c r="D8" s="224"/>
      <c r="E8" s="224"/>
      <c r="F8" s="224"/>
      <c r="G8" s="224">
        <v>2</v>
      </c>
      <c r="H8" s="224"/>
      <c r="I8" s="224"/>
      <c r="J8" s="224"/>
      <c r="K8" s="224"/>
      <c r="L8" s="224"/>
      <c r="M8" s="224"/>
      <c r="N8" s="224"/>
      <c r="O8" s="224"/>
      <c r="P8" s="224"/>
    </row>
    <row r="9" spans="1:16">
      <c r="A9" s="224">
        <v>3</v>
      </c>
      <c r="B9" s="245" t="s">
        <v>81</v>
      </c>
      <c r="C9" s="231"/>
      <c r="D9" s="231"/>
      <c r="E9" s="246">
        <f>'10K'!$E9*(1-$K$2)+H.Marathon!$E9*$K$2</f>
        <v>0.53687920907443676</v>
      </c>
      <c r="F9" s="224"/>
      <c r="G9" s="224">
        <v>3</v>
      </c>
      <c r="H9" s="224"/>
      <c r="I9" s="224"/>
      <c r="J9" s="224"/>
      <c r="K9" s="224"/>
      <c r="L9" s="224"/>
      <c r="M9" s="224"/>
      <c r="N9" s="224"/>
      <c r="O9" s="224"/>
      <c r="P9" s="224"/>
    </row>
    <row r="10" spans="1:16">
      <c r="A10" s="224">
        <v>4</v>
      </c>
      <c r="B10" s="248"/>
      <c r="C10" s="231"/>
      <c r="D10" s="231"/>
      <c r="E10" s="246">
        <f>'10K'!$E10*(1-$K$2)+H.Marathon!$E10*$K$2</f>
        <v>0.57812006253410853</v>
      </c>
      <c r="F10" s="334"/>
      <c r="G10" s="224">
        <v>4</v>
      </c>
      <c r="H10" s="224"/>
      <c r="I10" s="224"/>
      <c r="J10" s="224"/>
      <c r="K10" s="224"/>
      <c r="L10" s="224"/>
      <c r="M10" s="224"/>
      <c r="N10" s="224"/>
      <c r="O10" s="224"/>
      <c r="P10" s="224"/>
    </row>
    <row r="11" spans="1:16">
      <c r="A11" s="224">
        <v>5</v>
      </c>
      <c r="B11" s="333">
        <v>4.565972222222222E-2</v>
      </c>
      <c r="C11" s="231">
        <f>B11*1440</f>
        <v>65.75</v>
      </c>
      <c r="D11" s="231">
        <f t="shared" ref="D11:D42" si="0">E$4/E11</f>
        <v>56.242553942749403</v>
      </c>
      <c r="E11" s="246">
        <f>'10K'!$E11*(1-$K$2)+H.Marathon!$E11*$K$2</f>
        <v>0.61756323101346355</v>
      </c>
      <c r="F11" s="334">
        <f t="shared" ref="F11:F42" si="1">100*(D11/C11)</f>
        <v>85.540005996577037</v>
      </c>
      <c r="G11" s="224">
        <v>5</v>
      </c>
      <c r="H11" s="334"/>
      <c r="I11" s="224"/>
      <c r="J11" s="224"/>
      <c r="K11" s="224"/>
      <c r="L11" s="224"/>
      <c r="M11" s="224"/>
      <c r="N11" s="224"/>
      <c r="O11" s="224"/>
      <c r="P11" s="224"/>
    </row>
    <row r="12" spans="1:16">
      <c r="A12" s="224">
        <v>6</v>
      </c>
      <c r="B12" s="333">
        <v>3.3622685185185186E-2</v>
      </c>
      <c r="C12" s="231">
        <f>B12*1440</f>
        <v>48.416666666666671</v>
      </c>
      <c r="D12" s="231">
        <f t="shared" si="0"/>
        <v>53.027471731921821</v>
      </c>
      <c r="E12" s="246">
        <f>'10K'!$E12*(1-$K$2)+H.Marathon!$E12*$K$2</f>
        <v>0.65500639949281869</v>
      </c>
      <c r="F12" s="334">
        <f t="shared" si="1"/>
        <v>109.52317741532904</v>
      </c>
      <c r="G12" s="224">
        <v>6</v>
      </c>
      <c r="H12" s="334"/>
      <c r="I12" s="224"/>
      <c r="J12" s="224"/>
      <c r="K12" s="224"/>
      <c r="L12" s="224"/>
      <c r="M12" s="224"/>
      <c r="N12" s="224"/>
      <c r="O12" s="224"/>
      <c r="P12" s="224"/>
    </row>
    <row r="13" spans="1:16">
      <c r="A13" s="224">
        <v>7</v>
      </c>
      <c r="B13" s="341">
        <v>4.3298611111111114E-2</v>
      </c>
      <c r="C13" s="231">
        <f t="shared" ref="C13:C76" si="2">B13*1440</f>
        <v>62.35</v>
      </c>
      <c r="D13" s="231">
        <f t="shared" si="0"/>
        <v>50.288873558080084</v>
      </c>
      <c r="E13" s="246">
        <f>'10K'!$E13*(1-$K$2)+H.Marathon!$E13*$K$2</f>
        <v>0.69067630423693616</v>
      </c>
      <c r="F13" s="334">
        <f t="shared" si="1"/>
        <v>80.655771544635257</v>
      </c>
      <c r="G13" s="224">
        <v>7</v>
      </c>
      <c r="H13" s="341">
        <v>4.3298611111111107E-2</v>
      </c>
      <c r="I13" s="262" t="s">
        <v>1181</v>
      </c>
      <c r="J13" s="262" t="s">
        <v>1182</v>
      </c>
      <c r="K13" s="262" t="s">
        <v>241</v>
      </c>
      <c r="L13" s="271">
        <v>39841</v>
      </c>
      <c r="M13" s="263"/>
      <c r="N13" s="263" t="s">
        <v>1183</v>
      </c>
      <c r="O13" s="271">
        <v>42707</v>
      </c>
      <c r="P13" s="224"/>
    </row>
    <row r="14" spans="1:16">
      <c r="A14" s="224">
        <v>8</v>
      </c>
      <c r="B14" s="333">
        <v>3.4976851851851849E-2</v>
      </c>
      <c r="C14" s="231">
        <f t="shared" si="2"/>
        <v>50.36666666666666</v>
      </c>
      <c r="D14" s="231">
        <f t="shared" si="0"/>
        <v>47.942899125857899</v>
      </c>
      <c r="E14" s="246">
        <f>'10K'!$E14*(1-$K$2)+H.Marathon!$E14*$K$2</f>
        <v>0.72447294524581607</v>
      </c>
      <c r="F14" s="334">
        <f t="shared" si="1"/>
        <v>95.187754717123568</v>
      </c>
      <c r="G14" s="224">
        <v>8</v>
      </c>
      <c r="H14" s="342"/>
      <c r="I14" s="224"/>
      <c r="J14" s="224"/>
      <c r="K14" s="224"/>
      <c r="L14" s="224"/>
      <c r="M14" s="224"/>
      <c r="N14" s="224"/>
      <c r="O14" s="224"/>
      <c r="P14" s="224"/>
    </row>
    <row r="15" spans="1:16">
      <c r="A15" s="224">
        <v>9</v>
      </c>
      <c r="B15" s="333">
        <v>3.3622685185185186E-2</v>
      </c>
      <c r="C15" s="231">
        <f t="shared" si="2"/>
        <v>48.416666666666671</v>
      </c>
      <c r="D15" s="231">
        <f t="shared" si="0"/>
        <v>45.922595846688196</v>
      </c>
      <c r="E15" s="246">
        <f>'10K'!$E15*(1-$K$2)+H.Marathon!$E15*$K$2</f>
        <v>0.7563451650096169</v>
      </c>
      <c r="F15" s="334">
        <f t="shared" si="1"/>
        <v>94.848734967342224</v>
      </c>
      <c r="G15" s="224">
        <v>9</v>
      </c>
      <c r="H15" s="342"/>
      <c r="I15" s="224"/>
      <c r="J15" s="224"/>
      <c r="K15" s="224"/>
      <c r="L15" s="224"/>
      <c r="M15" s="224"/>
      <c r="N15" s="224"/>
      <c r="O15" s="224"/>
      <c r="P15" s="224"/>
    </row>
    <row r="16" spans="1:16">
      <c r="A16" s="224">
        <v>10</v>
      </c>
      <c r="B16" s="333">
        <v>4.4861111111111109E-2</v>
      </c>
      <c r="C16" s="231">
        <f t="shared" si="2"/>
        <v>64.599999999999994</v>
      </c>
      <c r="D16" s="231">
        <f t="shared" si="0"/>
        <v>44.169281279339351</v>
      </c>
      <c r="E16" s="246">
        <f>'10K'!$E16*(1-$K$2)+H.Marathon!$E16*$K$2</f>
        <v>0.78636854228325914</v>
      </c>
      <c r="F16" s="334">
        <f t="shared" si="1"/>
        <v>68.373500432413863</v>
      </c>
      <c r="G16" s="224">
        <v>10</v>
      </c>
      <c r="H16" s="342"/>
      <c r="I16" s="224"/>
      <c r="J16" s="224"/>
      <c r="K16" s="224"/>
      <c r="L16" s="224"/>
      <c r="M16" s="224"/>
      <c r="N16" s="224"/>
      <c r="O16" s="224"/>
      <c r="P16" s="224"/>
    </row>
    <row r="17" spans="1:16">
      <c r="A17" s="224">
        <v>11</v>
      </c>
      <c r="B17" s="333">
        <v>3.6516203703703703E-2</v>
      </c>
      <c r="C17" s="231">
        <f t="shared" si="2"/>
        <v>52.583333333333336</v>
      </c>
      <c r="D17" s="231">
        <f t="shared" si="0"/>
        <v>42.642772004154168</v>
      </c>
      <c r="E17" s="246">
        <f>'10K'!$E17*(1-$K$2)+H.Marathon!$E17*$K$2</f>
        <v>0.81451865582166394</v>
      </c>
      <c r="F17" s="334">
        <f t="shared" si="1"/>
        <v>81.095604445301106</v>
      </c>
      <c r="G17" s="224">
        <v>11</v>
      </c>
      <c r="H17" s="342"/>
      <c r="I17" s="224"/>
      <c r="J17" s="224"/>
      <c r="K17" s="224"/>
      <c r="L17" s="224"/>
      <c r="M17" s="224"/>
      <c r="N17" s="224"/>
      <c r="O17" s="224"/>
      <c r="P17" s="224"/>
    </row>
    <row r="18" spans="1:16">
      <c r="A18" s="224">
        <v>12</v>
      </c>
      <c r="B18" s="333">
        <v>3.5196759259259261E-2</v>
      </c>
      <c r="C18" s="231">
        <f t="shared" si="2"/>
        <v>50.683333333333337</v>
      </c>
      <c r="D18" s="231">
        <f t="shared" si="0"/>
        <v>41.308884605808331</v>
      </c>
      <c r="E18" s="246">
        <f>'10K'!$E18*(1-$K$2)+H.Marathon!$E18*$K$2</f>
        <v>0.84081992686991058</v>
      </c>
      <c r="F18" s="334">
        <f t="shared" si="1"/>
        <v>81.503882813170009</v>
      </c>
      <c r="G18" s="224">
        <v>12</v>
      </c>
      <c r="H18" s="342"/>
      <c r="I18" s="224"/>
      <c r="J18" s="224"/>
      <c r="K18" s="224"/>
      <c r="L18" s="224"/>
      <c r="M18" s="224"/>
      <c r="N18" s="224"/>
      <c r="O18" s="224"/>
      <c r="P18" s="224"/>
    </row>
    <row r="19" spans="1:16">
      <c r="A19" s="224">
        <v>13</v>
      </c>
      <c r="B19" s="341">
        <v>3.5717592592592592E-2</v>
      </c>
      <c r="C19" s="231">
        <f t="shared" si="2"/>
        <v>51.43333333333333</v>
      </c>
      <c r="D19" s="231">
        <f t="shared" si="0"/>
        <v>40.146143268933777</v>
      </c>
      <c r="E19" s="246">
        <f>'10K'!$E19*(1-$K$2)+H.Marathon!$E19*$K$2</f>
        <v>0.86517235542799875</v>
      </c>
      <c r="F19" s="334">
        <f t="shared" si="1"/>
        <v>78.054717956449352</v>
      </c>
      <c r="G19" s="224">
        <v>13</v>
      </c>
      <c r="H19" s="343" t="s">
        <v>1185</v>
      </c>
      <c r="I19" s="262" t="s">
        <v>1186</v>
      </c>
      <c r="J19" s="262" t="s">
        <v>1187</v>
      </c>
      <c r="K19" s="262" t="s">
        <v>241</v>
      </c>
      <c r="L19" s="271">
        <v>37561</v>
      </c>
      <c r="M19" s="263"/>
      <c r="N19" s="262" t="s">
        <v>1188</v>
      </c>
      <c r="O19" s="271">
        <v>42532</v>
      </c>
      <c r="P19" s="224"/>
    </row>
    <row r="20" spans="1:16">
      <c r="A20" s="224">
        <v>14</v>
      </c>
      <c r="B20" s="333">
        <v>3.3530092592592591E-2</v>
      </c>
      <c r="C20" s="231">
        <f t="shared" si="2"/>
        <v>48.283333333333331</v>
      </c>
      <c r="D20" s="231">
        <f t="shared" si="0"/>
        <v>39.128393267930697</v>
      </c>
      <c r="E20" s="246">
        <f>'10K'!$E20*(1-$K$2)+H.Marathon!$E20*$K$2</f>
        <v>0.88767594149592854</v>
      </c>
      <c r="F20" s="334">
        <f t="shared" si="1"/>
        <v>81.039129999166107</v>
      </c>
      <c r="G20" s="224">
        <v>14</v>
      </c>
      <c r="H20" s="342"/>
      <c r="I20" s="224"/>
      <c r="J20" s="224"/>
      <c r="K20" s="224"/>
      <c r="L20" s="224"/>
      <c r="M20" s="224"/>
      <c r="N20" s="224"/>
      <c r="O20" s="224"/>
      <c r="P20" s="224"/>
    </row>
    <row r="21" spans="1:16">
      <c r="A21" s="224">
        <v>15</v>
      </c>
      <c r="B21" s="341">
        <v>2.8726851851851851E-2</v>
      </c>
      <c r="C21" s="231">
        <f t="shared" si="2"/>
        <v>41.366666666666667</v>
      </c>
      <c r="D21" s="231">
        <f t="shared" si="0"/>
        <v>38.236490102606822</v>
      </c>
      <c r="E21" s="246">
        <f>'10K'!$E21*(1-$K$2)+H.Marathon!$E21*$K$2</f>
        <v>0.9083818425835416</v>
      </c>
      <c r="F21" s="334">
        <f t="shared" si="1"/>
        <v>92.433094526849686</v>
      </c>
      <c r="G21" s="224">
        <v>15</v>
      </c>
      <c r="H21" s="343" t="s">
        <v>1189</v>
      </c>
      <c r="I21" s="262" t="s">
        <v>276</v>
      </c>
      <c r="J21" s="262" t="s">
        <v>277</v>
      </c>
      <c r="K21" s="262" t="s">
        <v>268</v>
      </c>
      <c r="L21" s="271">
        <v>28256</v>
      </c>
      <c r="M21" s="263" t="s">
        <v>1190</v>
      </c>
      <c r="N21" s="262" t="s">
        <v>1191</v>
      </c>
      <c r="O21" s="271">
        <v>34091</v>
      </c>
      <c r="P21" s="224"/>
    </row>
    <row r="22" spans="1:16">
      <c r="A22" s="224">
        <v>16</v>
      </c>
      <c r="B22" s="333">
        <v>3.1018518518518518E-2</v>
      </c>
      <c r="C22" s="231">
        <f t="shared" si="2"/>
        <v>44.666666666666664</v>
      </c>
      <c r="D22" s="231">
        <f t="shared" si="0"/>
        <v>37.434472693525926</v>
      </c>
      <c r="E22" s="246">
        <f>'10K'!$E22*(1-$K$2)+H.Marathon!$E22*$K$2</f>
        <v>0.92784353122036267</v>
      </c>
      <c r="F22" s="334">
        <f t="shared" si="1"/>
        <v>83.808520955655069</v>
      </c>
      <c r="G22" s="224">
        <v>16</v>
      </c>
      <c r="H22" s="342"/>
      <c r="I22" s="224"/>
      <c r="J22" s="224"/>
      <c r="K22" s="224"/>
      <c r="L22" s="224"/>
      <c r="M22" s="224"/>
      <c r="N22" s="224"/>
      <c r="O22" s="224"/>
      <c r="P22" s="224"/>
    </row>
    <row r="23" spans="1:16">
      <c r="A23" s="224">
        <v>17</v>
      </c>
      <c r="B23" s="341">
        <v>2.8726851851851851E-2</v>
      </c>
      <c r="C23" s="231">
        <f t="shared" si="2"/>
        <v>41.366666666666667</v>
      </c>
      <c r="D23" s="231">
        <f t="shared" si="0"/>
        <v>36.67486366950483</v>
      </c>
      <c r="E23" s="246">
        <f>'10K'!$E23*(1-$K$2)+H.Marathon!$E23*$K$2</f>
        <v>0.9470610074063921</v>
      </c>
      <c r="F23" s="334">
        <f t="shared" si="1"/>
        <v>88.658010482284027</v>
      </c>
      <c r="G23" s="224">
        <v>17</v>
      </c>
      <c r="H23" s="343" t="s">
        <v>1192</v>
      </c>
      <c r="I23" s="262" t="s">
        <v>543</v>
      </c>
      <c r="J23" s="262" t="s">
        <v>1193</v>
      </c>
      <c r="K23" s="262" t="s">
        <v>268</v>
      </c>
      <c r="L23" s="271">
        <v>27524</v>
      </c>
      <c r="M23" s="263" t="s">
        <v>1190</v>
      </c>
      <c r="N23" s="262" t="s">
        <v>1191</v>
      </c>
      <c r="O23" s="271">
        <v>34091</v>
      </c>
      <c r="P23" s="224"/>
    </row>
    <row r="24" spans="1:16">
      <c r="A24" s="224">
        <v>18</v>
      </c>
      <c r="B24" s="333">
        <v>2.7511574074074074E-2</v>
      </c>
      <c r="C24" s="231">
        <f t="shared" si="2"/>
        <v>39.616666666666667</v>
      </c>
      <c r="D24" s="231">
        <f t="shared" si="0"/>
        <v>35.998967491957323</v>
      </c>
      <c r="E24" s="246">
        <f>'10K'!$E24*(1-$K$2)+H.Marathon!$E24*$K$2</f>
        <v>0.96484248724892596</v>
      </c>
      <c r="F24" s="334">
        <f t="shared" si="1"/>
        <v>90.868239357065178</v>
      </c>
      <c r="G24" s="224">
        <v>18</v>
      </c>
      <c r="H24" s="343" t="s">
        <v>1194</v>
      </c>
      <c r="I24" s="262" t="s">
        <v>774</v>
      </c>
      <c r="J24" s="262" t="s">
        <v>1195</v>
      </c>
      <c r="K24" s="262" t="s">
        <v>268</v>
      </c>
      <c r="L24" s="271">
        <v>34275</v>
      </c>
      <c r="M24" s="263"/>
      <c r="N24" s="262" t="s">
        <v>1196</v>
      </c>
      <c r="O24" s="271">
        <v>40993</v>
      </c>
      <c r="P24" s="224"/>
    </row>
    <row r="25" spans="1:16">
      <c r="A25" s="224">
        <v>19</v>
      </c>
      <c r="B25" s="333">
        <v>2.7696759259259258E-2</v>
      </c>
      <c r="C25" s="231">
        <f t="shared" si="2"/>
        <v>39.883333333333333</v>
      </c>
      <c r="D25" s="231">
        <f t="shared" si="0"/>
        <v>35.451149107860289</v>
      </c>
      <c r="E25" s="246">
        <f>'10K'!$E25*(1-$K$2)+H.Marathon!$E25*$K$2</f>
        <v>0.97975197440446871</v>
      </c>
      <c r="F25" s="334">
        <f t="shared" si="1"/>
        <v>88.887126889745815</v>
      </c>
      <c r="G25" s="224">
        <v>19</v>
      </c>
      <c r="H25" s="343" t="s">
        <v>1197</v>
      </c>
      <c r="I25" s="262" t="s">
        <v>1198</v>
      </c>
      <c r="J25" s="262" t="s">
        <v>1199</v>
      </c>
      <c r="K25" s="262" t="s">
        <v>268</v>
      </c>
      <c r="L25" s="271">
        <v>29632</v>
      </c>
      <c r="M25" s="263"/>
      <c r="N25" s="262" t="s">
        <v>1200</v>
      </c>
      <c r="O25" s="271">
        <v>36625</v>
      </c>
      <c r="P25" s="224"/>
    </row>
    <row r="26" spans="1:16">
      <c r="A26" s="224">
        <v>20</v>
      </c>
      <c r="B26" s="333">
        <v>2.7476851851851853E-2</v>
      </c>
      <c r="C26" s="231">
        <f t="shared" si="2"/>
        <v>39.56666666666667</v>
      </c>
      <c r="D26" s="231">
        <f t="shared" si="0"/>
        <v>35.050217210866442</v>
      </c>
      <c r="E26" s="246">
        <f>'10K'!$E26*(1-$K$2)+H.Marathon!$E26*$K$2</f>
        <v>0.99095914654032824</v>
      </c>
      <c r="F26" s="334">
        <f t="shared" si="1"/>
        <v>88.585216202695293</v>
      </c>
      <c r="G26" s="224">
        <v>20</v>
      </c>
      <c r="H26" s="343" t="s">
        <v>1201</v>
      </c>
      <c r="I26" s="262" t="s">
        <v>1202</v>
      </c>
      <c r="J26" s="262" t="s">
        <v>1203</v>
      </c>
      <c r="K26" s="262" t="s">
        <v>268</v>
      </c>
      <c r="L26" s="271">
        <v>32141</v>
      </c>
      <c r="M26" s="263"/>
      <c r="N26" s="262" t="s">
        <v>1204</v>
      </c>
      <c r="O26" s="271">
        <v>39747</v>
      </c>
      <c r="P26" s="224"/>
    </row>
    <row r="27" spans="1:16">
      <c r="A27" s="224">
        <v>21</v>
      </c>
      <c r="B27" s="333">
        <v>2.6817129629629628E-2</v>
      </c>
      <c r="C27" s="231">
        <f t="shared" si="2"/>
        <v>38.616666666666667</v>
      </c>
      <c r="D27" s="231">
        <f t="shared" si="0"/>
        <v>34.812228937935103</v>
      </c>
      <c r="E27" s="246">
        <f>'10K'!$E27*(1-$K$2)+H.Marathon!$E27*$K$2</f>
        <v>0.99773368132381224</v>
      </c>
      <c r="F27" s="334">
        <f t="shared" si="1"/>
        <v>90.148197508679601</v>
      </c>
      <c r="G27" s="224">
        <v>21</v>
      </c>
      <c r="H27" s="343" t="s">
        <v>480</v>
      </c>
      <c r="I27" s="262" t="s">
        <v>1205</v>
      </c>
      <c r="J27" s="262" t="s">
        <v>1206</v>
      </c>
      <c r="K27" s="262" t="s">
        <v>268</v>
      </c>
      <c r="L27" s="271">
        <v>32196</v>
      </c>
      <c r="M27" s="263" t="s">
        <v>1190</v>
      </c>
      <c r="N27" s="262" t="s">
        <v>1191</v>
      </c>
      <c r="O27" s="271">
        <v>39936</v>
      </c>
      <c r="P27" s="224"/>
    </row>
    <row r="28" spans="1:16">
      <c r="A28" s="224">
        <v>22</v>
      </c>
      <c r="B28" s="333">
        <v>2.6504629629629628E-2</v>
      </c>
      <c r="C28" s="231">
        <f t="shared" si="2"/>
        <v>38.166666666666664</v>
      </c>
      <c r="D28" s="231">
        <f t="shared" si="0"/>
        <v>34.733333333333334</v>
      </c>
      <c r="E28" s="246">
        <f>'10K'!$E28*(1-$K$2)+H.Marathon!$E28*$K$2</f>
        <v>1</v>
      </c>
      <c r="F28" s="334">
        <f t="shared" si="1"/>
        <v>91.004366812227076</v>
      </c>
      <c r="G28" s="224">
        <v>22</v>
      </c>
      <c r="H28" s="343" t="s">
        <v>1207</v>
      </c>
      <c r="I28" s="262" t="s">
        <v>1205</v>
      </c>
      <c r="J28" s="262" t="s">
        <v>1206</v>
      </c>
      <c r="K28" s="262" t="s">
        <v>268</v>
      </c>
      <c r="L28" s="271">
        <v>32196</v>
      </c>
      <c r="M28" s="263" t="s">
        <v>1190</v>
      </c>
      <c r="N28" s="262" t="s">
        <v>1191</v>
      </c>
      <c r="O28" s="271">
        <v>40300</v>
      </c>
      <c r="P28" s="224"/>
    </row>
    <row r="29" spans="1:16">
      <c r="A29" s="224">
        <v>23</v>
      </c>
      <c r="B29" s="333">
        <v>2.6631944444444444E-2</v>
      </c>
      <c r="C29" s="231">
        <f t="shared" si="2"/>
        <v>38.35</v>
      </c>
      <c r="D29" s="231">
        <f t="shared" si="0"/>
        <v>34.733333333333334</v>
      </c>
      <c r="E29" s="246">
        <f>'10K'!$E29*(1-$K$2)+H.Marathon!$E29*$K$2</f>
        <v>1</v>
      </c>
      <c r="F29" s="334">
        <f t="shared" si="1"/>
        <v>90.569317687961757</v>
      </c>
      <c r="G29" s="224">
        <v>23</v>
      </c>
      <c r="H29" s="343" t="s">
        <v>1208</v>
      </c>
      <c r="I29" s="262" t="s">
        <v>1209</v>
      </c>
      <c r="J29" s="262" t="s">
        <v>1210</v>
      </c>
      <c r="K29" s="262" t="s">
        <v>241</v>
      </c>
      <c r="L29" s="271">
        <v>33523</v>
      </c>
      <c r="M29" s="263" t="s">
        <v>1211</v>
      </c>
      <c r="N29" s="262" t="s">
        <v>622</v>
      </c>
      <c r="O29" s="271">
        <v>41959</v>
      </c>
      <c r="P29" s="224"/>
    </row>
    <row r="30" spans="1:16">
      <c r="A30" s="224">
        <v>24</v>
      </c>
      <c r="B30" s="333">
        <v>2.6967592592592592E-2</v>
      </c>
      <c r="C30" s="231">
        <f t="shared" si="2"/>
        <v>38.833333333333329</v>
      </c>
      <c r="D30" s="231">
        <f t="shared" si="0"/>
        <v>34.733333333333334</v>
      </c>
      <c r="E30" s="246">
        <f>'10K'!$E30*(1-$K$2)+H.Marathon!$E30*$K$2</f>
        <v>1</v>
      </c>
      <c r="F30" s="334">
        <f t="shared" si="1"/>
        <v>89.442060085836928</v>
      </c>
      <c r="G30" s="224">
        <v>24</v>
      </c>
      <c r="H30" s="343" t="s">
        <v>1212</v>
      </c>
      <c r="I30" s="262" t="s">
        <v>1209</v>
      </c>
      <c r="J30" s="262" t="s">
        <v>1213</v>
      </c>
      <c r="K30" s="262" t="s">
        <v>268</v>
      </c>
      <c r="L30" s="271">
        <v>31461</v>
      </c>
      <c r="M30" s="263" t="s">
        <v>1190</v>
      </c>
      <c r="N30" s="262" t="s">
        <v>1191</v>
      </c>
      <c r="O30" s="271">
        <v>40300</v>
      </c>
      <c r="P30" s="224"/>
    </row>
    <row r="31" spans="1:16">
      <c r="A31" s="224">
        <v>25</v>
      </c>
      <c r="B31" s="333">
        <v>2.7256944444444445E-2</v>
      </c>
      <c r="C31" s="231">
        <f t="shared" si="2"/>
        <v>39.25</v>
      </c>
      <c r="D31" s="231">
        <f t="shared" si="0"/>
        <v>34.733333333333334</v>
      </c>
      <c r="E31" s="246">
        <f>'10K'!$E31*(1-$K$2)+H.Marathon!$E31*$K$2</f>
        <v>1</v>
      </c>
      <c r="F31" s="334">
        <f t="shared" si="1"/>
        <v>88.492569002123147</v>
      </c>
      <c r="G31" s="224">
        <v>25</v>
      </c>
      <c r="H31" s="343" t="s">
        <v>1214</v>
      </c>
      <c r="I31" s="262" t="s">
        <v>543</v>
      </c>
      <c r="J31" s="262" t="s">
        <v>1215</v>
      </c>
      <c r="K31" s="262" t="s">
        <v>268</v>
      </c>
      <c r="L31" s="271">
        <v>30448</v>
      </c>
      <c r="M31" s="263"/>
      <c r="N31" s="262" t="s">
        <v>1204</v>
      </c>
      <c r="O31" s="271">
        <v>39747</v>
      </c>
      <c r="P31" s="224"/>
    </row>
    <row r="32" spans="1:16">
      <c r="A32" s="224">
        <v>26</v>
      </c>
      <c r="B32" s="333">
        <v>2.642361111111111E-2</v>
      </c>
      <c r="C32" s="231">
        <f t="shared" si="2"/>
        <v>38.049999999999997</v>
      </c>
      <c r="D32" s="231">
        <f t="shared" si="0"/>
        <v>34.733333333333334</v>
      </c>
      <c r="E32" s="246">
        <f>'10K'!$E32*(1-$K$2)+H.Marathon!$E32*$K$2</f>
        <v>1</v>
      </c>
      <c r="F32" s="334">
        <f t="shared" si="1"/>
        <v>91.283399036355689</v>
      </c>
      <c r="G32" s="224">
        <v>26</v>
      </c>
      <c r="H32" s="343" t="s">
        <v>1216</v>
      </c>
      <c r="I32" s="262" t="s">
        <v>1217</v>
      </c>
      <c r="J32" s="262" t="s">
        <v>1218</v>
      </c>
      <c r="K32" s="262" t="s">
        <v>268</v>
      </c>
      <c r="L32" s="271">
        <v>32860</v>
      </c>
      <c r="M32" s="263" t="s">
        <v>1190</v>
      </c>
      <c r="N32" s="262" t="s">
        <v>1191</v>
      </c>
      <c r="O32" s="271">
        <v>42491</v>
      </c>
      <c r="P32" s="224"/>
    </row>
    <row r="33" spans="1:16">
      <c r="A33" s="224">
        <v>27</v>
      </c>
      <c r="B33" s="333">
        <v>2.6990740740740742E-2</v>
      </c>
      <c r="C33" s="231">
        <f t="shared" si="2"/>
        <v>38.866666666666667</v>
      </c>
      <c r="D33" s="231">
        <f t="shared" si="0"/>
        <v>34.770123690530959</v>
      </c>
      <c r="E33" s="246">
        <f>'10K'!$E33*(1-$K$2)+H.Marathon!$E33*$K$2</f>
        <v>0.99894189743110862</v>
      </c>
      <c r="F33" s="334">
        <f t="shared" si="1"/>
        <v>89.460009495362669</v>
      </c>
      <c r="G33" s="224">
        <v>27</v>
      </c>
      <c r="H33" s="343" t="s">
        <v>1219</v>
      </c>
      <c r="I33" s="262" t="s">
        <v>787</v>
      </c>
      <c r="J33" s="262" t="s">
        <v>788</v>
      </c>
      <c r="K33" s="262" t="s">
        <v>268</v>
      </c>
      <c r="L33" s="271">
        <v>29113</v>
      </c>
      <c r="M33" s="263" t="s">
        <v>1190</v>
      </c>
      <c r="N33" s="262" t="s">
        <v>1191</v>
      </c>
      <c r="O33" s="271">
        <v>39208</v>
      </c>
      <c r="P33" s="224"/>
    </row>
    <row r="34" spans="1:16">
      <c r="A34" s="224">
        <v>28</v>
      </c>
      <c r="B34" s="333">
        <v>2.6689814814814816E-2</v>
      </c>
      <c r="C34" s="231">
        <f t="shared" si="2"/>
        <v>38.433333333333337</v>
      </c>
      <c r="D34" s="231">
        <f t="shared" si="0"/>
        <v>34.803423604205882</v>
      </c>
      <c r="E34" s="246">
        <f>'10K'!$E34*(1-$K$2)+H.Marathon!$E34*$K$2</f>
        <v>0.9979861098819004</v>
      </c>
      <c r="F34" s="334">
        <f t="shared" si="1"/>
        <v>90.555308597239929</v>
      </c>
      <c r="G34" s="224">
        <v>28</v>
      </c>
      <c r="H34" s="343" t="s">
        <v>1220</v>
      </c>
      <c r="I34" s="262" t="s">
        <v>294</v>
      </c>
      <c r="J34" s="262" t="s">
        <v>295</v>
      </c>
      <c r="K34" s="262" t="s">
        <v>272</v>
      </c>
      <c r="L34" s="271">
        <v>30605</v>
      </c>
      <c r="M34" s="263" t="s">
        <v>1190</v>
      </c>
      <c r="N34" s="262" t="s">
        <v>1191</v>
      </c>
      <c r="O34" s="271">
        <v>41035</v>
      </c>
      <c r="P34" s="224"/>
    </row>
    <row r="35" spans="1:16">
      <c r="A35" s="224">
        <v>29</v>
      </c>
      <c r="B35" s="333">
        <v>2.627314814814815E-2</v>
      </c>
      <c r="C35" s="231">
        <f t="shared" si="2"/>
        <v>37.833333333333336</v>
      </c>
      <c r="D35" s="231">
        <f t="shared" si="0"/>
        <v>34.846337965448576</v>
      </c>
      <c r="E35" s="246">
        <f>'10K'!$E35*(1-$K$2)+H.Marathon!$E35*$K$2</f>
        <v>0.99675705859745467</v>
      </c>
      <c r="F35" s="334">
        <f t="shared" si="1"/>
        <v>92.104858058454383</v>
      </c>
      <c r="G35" s="224">
        <v>29</v>
      </c>
      <c r="H35" s="343" t="s">
        <v>1221</v>
      </c>
      <c r="I35" s="262" t="s">
        <v>292</v>
      </c>
      <c r="J35" s="262" t="s">
        <v>293</v>
      </c>
      <c r="K35" s="262" t="s">
        <v>241</v>
      </c>
      <c r="L35" s="271">
        <v>30925</v>
      </c>
      <c r="M35" s="263" t="s">
        <v>1211</v>
      </c>
      <c r="N35" s="262" t="s">
        <v>622</v>
      </c>
      <c r="O35" s="271">
        <v>41595</v>
      </c>
      <c r="P35" s="224"/>
    </row>
    <row r="36" spans="1:16">
      <c r="A36" s="224">
        <v>30</v>
      </c>
      <c r="B36" s="344">
        <v>2.6481481481481481E-2</v>
      </c>
      <c r="C36" s="231">
        <f t="shared" si="2"/>
        <v>38.133333333333333</v>
      </c>
      <c r="D36" s="231">
        <f t="shared" si="0"/>
        <v>34.904238935143681</v>
      </c>
      <c r="E36" s="246">
        <f>'10K'!$E36*(1-$K$2)+H.Marathon!$E36*$K$2</f>
        <v>0.99510358606792981</v>
      </c>
      <c r="F36" s="334">
        <f t="shared" si="1"/>
        <v>91.532095109642526</v>
      </c>
      <c r="G36" s="224">
        <v>30</v>
      </c>
      <c r="H36" s="345" t="s">
        <v>1178</v>
      </c>
      <c r="I36" s="302" t="s">
        <v>292</v>
      </c>
      <c r="J36" s="302" t="s">
        <v>293</v>
      </c>
      <c r="K36" s="302" t="s">
        <v>241</v>
      </c>
      <c r="L36" s="346">
        <v>30925</v>
      </c>
      <c r="M36" s="304" t="s">
        <v>1211</v>
      </c>
      <c r="N36" s="302" t="s">
        <v>622</v>
      </c>
      <c r="O36" s="346">
        <v>41959</v>
      </c>
      <c r="P36" s="224"/>
    </row>
    <row r="37" spans="1:16">
      <c r="A37" s="224">
        <v>31</v>
      </c>
      <c r="B37" s="333">
        <v>2.6805555555555555E-2</v>
      </c>
      <c r="C37" s="231">
        <f t="shared" si="2"/>
        <v>38.6</v>
      </c>
      <c r="D37" s="231">
        <f t="shared" si="0"/>
        <v>34.971952215979414</v>
      </c>
      <c r="E37" s="246">
        <f>'10K'!$E37*(1-$K$2)+H.Marathon!$E37*$K$2</f>
        <v>0.99317684980316734</v>
      </c>
      <c r="F37" s="334">
        <f t="shared" si="1"/>
        <v>90.600912476630597</v>
      </c>
      <c r="G37" s="224">
        <v>31</v>
      </c>
      <c r="H37" s="343" t="s">
        <v>1222</v>
      </c>
      <c r="I37" s="262" t="s">
        <v>292</v>
      </c>
      <c r="J37" s="262" t="s">
        <v>293</v>
      </c>
      <c r="K37" s="262" t="s">
        <v>241</v>
      </c>
      <c r="L37" s="271">
        <v>30925</v>
      </c>
      <c r="M37" s="263" t="s">
        <v>1211</v>
      </c>
      <c r="N37" s="262" t="s">
        <v>622</v>
      </c>
      <c r="O37" s="271">
        <v>42323</v>
      </c>
      <c r="P37" s="224"/>
    </row>
    <row r="38" spans="1:16">
      <c r="A38" s="224">
        <v>32</v>
      </c>
      <c r="B38" s="333">
        <v>2.6365740740740742E-2</v>
      </c>
      <c r="C38" s="231">
        <f t="shared" si="2"/>
        <v>37.966666666666669</v>
      </c>
      <c r="D38" s="231">
        <f t="shared" si="0"/>
        <v>35.054074131654311</v>
      </c>
      <c r="E38" s="246">
        <f>'10K'!$E38*(1-$K$2)+H.Marathon!$E38*$K$2</f>
        <v>0.99085011353840491</v>
      </c>
      <c r="F38" s="334">
        <f t="shared" si="1"/>
        <v>92.328553463531975</v>
      </c>
      <c r="G38" s="224">
        <v>32</v>
      </c>
      <c r="H38" s="343" t="s">
        <v>1223</v>
      </c>
      <c r="I38" s="262" t="s">
        <v>564</v>
      </c>
      <c r="J38" s="262" t="s">
        <v>1224</v>
      </c>
      <c r="K38" s="262" t="s">
        <v>241</v>
      </c>
      <c r="L38" s="271">
        <v>29775</v>
      </c>
      <c r="M38" s="263" t="s">
        <v>1211</v>
      </c>
      <c r="N38" s="262" t="s">
        <v>622</v>
      </c>
      <c r="O38" s="271">
        <v>41595</v>
      </c>
      <c r="P38" s="224"/>
    </row>
    <row r="39" spans="1:16">
      <c r="A39" s="224">
        <v>33</v>
      </c>
      <c r="B39" s="333">
        <v>2.7141203703703702E-2</v>
      </c>
      <c r="C39" s="231">
        <f t="shared" si="2"/>
        <v>39.083333333333329</v>
      </c>
      <c r="D39" s="231">
        <f t="shared" si="0"/>
        <v>35.151674962734489</v>
      </c>
      <c r="E39" s="246">
        <f>'10K'!$E39*(1-$K$2)+H.Marathon!$E39*$K$2</f>
        <v>0.98809895602856324</v>
      </c>
      <c r="F39" s="334">
        <f t="shared" si="1"/>
        <v>89.940319734075459</v>
      </c>
      <c r="G39" s="224">
        <v>33</v>
      </c>
      <c r="H39" s="343" t="s">
        <v>1225</v>
      </c>
      <c r="I39" s="262" t="s">
        <v>1226</v>
      </c>
      <c r="J39" s="262" t="s">
        <v>1227</v>
      </c>
      <c r="K39" s="262" t="s">
        <v>241</v>
      </c>
      <c r="L39" s="271">
        <v>29987</v>
      </c>
      <c r="M39" s="263" t="s">
        <v>1211</v>
      </c>
      <c r="N39" s="262" t="s">
        <v>622</v>
      </c>
      <c r="O39" s="271">
        <v>42323</v>
      </c>
      <c r="P39" s="224"/>
    </row>
    <row r="40" spans="1:16">
      <c r="A40" s="224">
        <v>34</v>
      </c>
      <c r="B40" s="333">
        <v>2.7349537037037037E-2</v>
      </c>
      <c r="C40" s="231">
        <f t="shared" si="2"/>
        <v>39.383333333333333</v>
      </c>
      <c r="D40" s="231">
        <f t="shared" si="0"/>
        <v>35.259599255570649</v>
      </c>
      <c r="E40" s="246">
        <f>'10K'!$E40*(1-$K$2)+H.Marathon!$E40*$K$2</f>
        <v>0.98507453478348406</v>
      </c>
      <c r="F40" s="334">
        <f t="shared" si="1"/>
        <v>89.529240598148078</v>
      </c>
      <c r="G40" s="224">
        <v>34</v>
      </c>
      <c r="H40" s="343" t="s">
        <v>1228</v>
      </c>
      <c r="I40" s="262" t="s">
        <v>286</v>
      </c>
      <c r="J40" s="262" t="s">
        <v>287</v>
      </c>
      <c r="K40" s="262" t="s">
        <v>288</v>
      </c>
      <c r="L40" s="271">
        <v>24390</v>
      </c>
      <c r="M40" s="263" t="s">
        <v>1190</v>
      </c>
      <c r="N40" s="262" t="s">
        <v>1191</v>
      </c>
      <c r="O40" s="271">
        <v>37017</v>
      </c>
      <c r="P40" s="224"/>
    </row>
    <row r="41" spans="1:16">
      <c r="A41" s="224">
        <v>35</v>
      </c>
      <c r="B41" s="333">
        <v>2.7280092592592592E-2</v>
      </c>
      <c r="C41" s="231">
        <f t="shared" si="2"/>
        <v>39.283333333333331</v>
      </c>
      <c r="D41" s="231">
        <f t="shared" si="0"/>
        <v>35.382600026536309</v>
      </c>
      <c r="E41" s="246">
        <f>'10K'!$E41*(1-$K$2)+H.Marathon!$E41*$K$2</f>
        <v>0.98165011353840492</v>
      </c>
      <c r="F41" s="334">
        <f t="shared" si="1"/>
        <v>90.070258871114916</v>
      </c>
      <c r="G41" s="224">
        <v>35</v>
      </c>
      <c r="H41" s="343" t="s">
        <v>1229</v>
      </c>
      <c r="I41" s="262" t="s">
        <v>1230</v>
      </c>
      <c r="J41" s="262" t="s">
        <v>1231</v>
      </c>
      <c r="K41" s="262" t="s">
        <v>241</v>
      </c>
      <c r="L41" s="271">
        <v>29521</v>
      </c>
      <c r="M41" s="263" t="s">
        <v>1211</v>
      </c>
      <c r="N41" s="262" t="s">
        <v>622</v>
      </c>
      <c r="O41" s="271">
        <v>42323</v>
      </c>
      <c r="P41" s="224"/>
    </row>
    <row r="42" spans="1:16">
      <c r="A42" s="224">
        <v>36</v>
      </c>
      <c r="B42" s="333">
        <v>2.7789351851851853E-2</v>
      </c>
      <c r="C42" s="231">
        <f t="shared" si="2"/>
        <v>40.016666666666666</v>
      </c>
      <c r="D42" s="231">
        <f t="shared" si="0"/>
        <v>35.516383332208534</v>
      </c>
      <c r="E42" s="246">
        <f>'10K'!$E42*(1-$K$2)+H.Marathon!$E42*$K$2</f>
        <v>0.97795242855808806</v>
      </c>
      <c r="F42" s="334">
        <f t="shared" si="1"/>
        <v>88.753977506560261</v>
      </c>
      <c r="G42" s="224">
        <v>36</v>
      </c>
      <c r="H42" s="343" t="s">
        <v>1232</v>
      </c>
      <c r="I42" s="262" t="s">
        <v>1233</v>
      </c>
      <c r="J42" s="262" t="s">
        <v>1234</v>
      </c>
      <c r="K42" s="262" t="s">
        <v>1063</v>
      </c>
      <c r="L42" s="271">
        <v>26525</v>
      </c>
      <c r="M42" s="263" t="s">
        <v>1190</v>
      </c>
      <c r="N42" s="262" t="s">
        <v>1191</v>
      </c>
      <c r="O42" s="271">
        <v>39936</v>
      </c>
      <c r="P42" s="224"/>
    </row>
    <row r="43" spans="1:16">
      <c r="A43" s="224">
        <v>37</v>
      </c>
      <c r="B43" s="333">
        <v>2.7754629629629629E-2</v>
      </c>
      <c r="C43" s="231">
        <f t="shared" si="2"/>
        <v>39.966666666666669</v>
      </c>
      <c r="D43" s="231">
        <f t="shared" ref="D43:D74" si="3">E$4/E43</f>
        <v>35.669488197527087</v>
      </c>
      <c r="E43" s="246">
        <f>'10K'!$E43*(1-$K$2)+H.Marathon!$E43*$K$2</f>
        <v>0.97375474357777148</v>
      </c>
      <c r="F43" s="334">
        <f t="shared" ref="F43:F74" si="4">100*(D43/C43)</f>
        <v>89.248093905405554</v>
      </c>
      <c r="G43" s="224">
        <v>37</v>
      </c>
      <c r="H43" s="343" t="s">
        <v>1235</v>
      </c>
      <c r="I43" s="262" t="s">
        <v>1236</v>
      </c>
      <c r="J43" s="262" t="s">
        <v>1237</v>
      </c>
      <c r="K43" s="262" t="s">
        <v>632</v>
      </c>
      <c r="L43" s="271">
        <v>24594</v>
      </c>
      <c r="M43" s="263" t="s">
        <v>1190</v>
      </c>
      <c r="N43" s="262" t="s">
        <v>1191</v>
      </c>
      <c r="O43" s="271">
        <v>38473</v>
      </c>
      <c r="P43" s="224"/>
    </row>
    <row r="44" spans="1:16">
      <c r="A44" s="224">
        <v>38</v>
      </c>
      <c r="B44" s="333">
        <v>2.7002314814814816E-2</v>
      </c>
      <c r="C44" s="231">
        <f t="shared" si="2"/>
        <v>38.883333333333333</v>
      </c>
      <c r="D44" s="231">
        <f t="shared" si="3"/>
        <v>35.834018393210265</v>
      </c>
      <c r="E44" s="246">
        <f>'10K'!$E44*(1-$K$2)+H.Marathon!$E44*$K$2</f>
        <v>0.96928379486221716</v>
      </c>
      <c r="F44" s="334">
        <f t="shared" si="4"/>
        <v>92.157784123129701</v>
      </c>
      <c r="G44" s="224">
        <v>38</v>
      </c>
      <c r="H44" s="343" t="s">
        <v>1238</v>
      </c>
      <c r="I44" s="262" t="s">
        <v>304</v>
      </c>
      <c r="J44" s="262" t="s">
        <v>305</v>
      </c>
      <c r="K44" s="262" t="s">
        <v>241</v>
      </c>
      <c r="L44" s="271">
        <v>23483</v>
      </c>
      <c r="M44" s="263" t="s">
        <v>1190</v>
      </c>
      <c r="N44" s="262" t="s">
        <v>1191</v>
      </c>
      <c r="O44" s="271">
        <v>37381</v>
      </c>
      <c r="P44" s="224"/>
    </row>
    <row r="45" spans="1:16">
      <c r="A45" s="224">
        <v>39</v>
      </c>
      <c r="B45" s="333">
        <v>2.8032407407407409E-2</v>
      </c>
      <c r="C45" s="231">
        <f t="shared" si="2"/>
        <v>40.366666666666667</v>
      </c>
      <c r="D45" s="231">
        <f t="shared" si="3"/>
        <v>36.012182662407298</v>
      </c>
      <c r="E45" s="246">
        <f>'10K'!$E45*(1-$K$2)+H.Marathon!$E45*$K$2</f>
        <v>0.9644884249015836</v>
      </c>
      <c r="F45" s="334">
        <f t="shared" si="4"/>
        <v>89.212673812734849</v>
      </c>
      <c r="G45" s="224">
        <v>39</v>
      </c>
      <c r="H45" s="343" t="s">
        <v>1239</v>
      </c>
      <c r="I45" s="262" t="s">
        <v>304</v>
      </c>
      <c r="J45" s="262" t="s">
        <v>305</v>
      </c>
      <c r="K45" s="262" t="s">
        <v>241</v>
      </c>
      <c r="L45" s="271">
        <v>23483</v>
      </c>
      <c r="M45" s="263" t="s">
        <v>1190</v>
      </c>
      <c r="N45" s="262" t="s">
        <v>1191</v>
      </c>
      <c r="O45" s="271">
        <v>37745</v>
      </c>
      <c r="P45" s="224"/>
    </row>
    <row r="46" spans="1:16">
      <c r="A46" s="224">
        <v>40</v>
      </c>
      <c r="B46" s="333">
        <v>2.8136574074074074E-2</v>
      </c>
      <c r="C46" s="231">
        <f t="shared" si="2"/>
        <v>40.516666666666666</v>
      </c>
      <c r="D46" s="231">
        <f t="shared" si="3"/>
        <v>36.20814036159269</v>
      </c>
      <c r="E46" s="246">
        <f>'10K'!$E46*(1-$K$2)+H.Marathon!$E46*$K$2</f>
        <v>0.9592686336958709</v>
      </c>
      <c r="F46" s="334">
        <f t="shared" si="4"/>
        <v>89.366039559669332</v>
      </c>
      <c r="G46" s="224">
        <v>40</v>
      </c>
      <c r="H46" s="343" t="s">
        <v>1240</v>
      </c>
      <c r="I46" s="262" t="s">
        <v>314</v>
      </c>
      <c r="J46" s="262" t="s">
        <v>315</v>
      </c>
      <c r="K46" s="262" t="s">
        <v>241</v>
      </c>
      <c r="L46" s="271">
        <v>27211</v>
      </c>
      <c r="M46" s="263" t="s">
        <v>1211</v>
      </c>
      <c r="N46" s="262" t="s">
        <v>622</v>
      </c>
      <c r="O46" s="271">
        <v>41959</v>
      </c>
      <c r="P46" s="224"/>
    </row>
    <row r="47" spans="1:16">
      <c r="A47" s="224">
        <v>41</v>
      </c>
      <c r="B47" s="333">
        <v>2.7824074074074074E-2</v>
      </c>
      <c r="C47" s="231">
        <f t="shared" si="2"/>
        <v>40.06666666666667</v>
      </c>
      <c r="D47" s="231">
        <f t="shared" si="3"/>
        <v>36.419558910908393</v>
      </c>
      <c r="E47" s="246">
        <f>'10K'!$E47*(1-$K$2)+H.Marathon!$E47*$K$2</f>
        <v>0.95369999999999999</v>
      </c>
      <c r="F47" s="334">
        <f t="shared" si="4"/>
        <v>90.897401607924436</v>
      </c>
      <c r="G47" s="224">
        <v>41</v>
      </c>
      <c r="H47" s="343" t="s">
        <v>1241</v>
      </c>
      <c r="I47" s="262" t="s">
        <v>314</v>
      </c>
      <c r="J47" s="262" t="s">
        <v>315</v>
      </c>
      <c r="K47" s="262" t="s">
        <v>241</v>
      </c>
      <c r="L47" s="271">
        <v>27211</v>
      </c>
      <c r="M47" s="263" t="s">
        <v>1211</v>
      </c>
      <c r="N47" s="262" t="s">
        <v>622</v>
      </c>
      <c r="O47" s="271">
        <v>42323</v>
      </c>
      <c r="P47" s="224"/>
    </row>
    <row r="48" spans="1:16">
      <c r="A48" s="224">
        <v>42</v>
      </c>
      <c r="B48" s="333">
        <v>2.8344907407407409E-2</v>
      </c>
      <c r="C48" s="231">
        <f t="shared" si="2"/>
        <v>40.81666666666667</v>
      </c>
      <c r="D48" s="231">
        <f t="shared" si="3"/>
        <v>36.646944273210444</v>
      </c>
      <c r="E48" s="246">
        <f>'10K'!$E48*(1-$K$2)+H.Marathon!$E48*$K$2</f>
        <v>0.94778252381397066</v>
      </c>
      <c r="F48" s="334">
        <f t="shared" si="4"/>
        <v>89.784265267155021</v>
      </c>
      <c r="G48" s="224">
        <v>42</v>
      </c>
      <c r="H48" s="343" t="s">
        <v>1242</v>
      </c>
      <c r="I48" s="262" t="s">
        <v>318</v>
      </c>
      <c r="J48" s="262" t="s">
        <v>319</v>
      </c>
      <c r="K48" s="262" t="s">
        <v>320</v>
      </c>
      <c r="L48" s="271">
        <v>22400</v>
      </c>
      <c r="M48" s="263" t="s">
        <v>1190</v>
      </c>
      <c r="N48" s="262" t="s">
        <v>1191</v>
      </c>
      <c r="O48" s="271">
        <v>37745</v>
      </c>
      <c r="P48" s="224"/>
    </row>
    <row r="49" spans="1:16">
      <c r="A49" s="224">
        <v>43</v>
      </c>
      <c r="B49" s="333">
        <v>2.8796296296296296E-2</v>
      </c>
      <c r="C49" s="231">
        <f t="shared" si="2"/>
        <v>41.466666666666669</v>
      </c>
      <c r="D49" s="231">
        <f t="shared" si="3"/>
        <v>36.88989339394643</v>
      </c>
      <c r="E49" s="246">
        <f>'10K'!$E49*(1-$K$2)+H.Marathon!$E49*$K$2</f>
        <v>0.94154062638286218</v>
      </c>
      <c r="F49" s="334">
        <f t="shared" si="4"/>
        <v>88.962765419484953</v>
      </c>
      <c r="G49" s="224">
        <v>43</v>
      </c>
      <c r="H49" s="343" t="s">
        <v>1243</v>
      </c>
      <c r="I49" s="262" t="s">
        <v>318</v>
      </c>
      <c r="J49" s="262" t="s">
        <v>319</v>
      </c>
      <c r="K49" s="262" t="s">
        <v>320</v>
      </c>
      <c r="L49" s="271">
        <v>22400</v>
      </c>
      <c r="M49" s="263" t="s">
        <v>1190</v>
      </c>
      <c r="N49" s="262" t="s">
        <v>1191</v>
      </c>
      <c r="O49" s="271">
        <v>38109</v>
      </c>
      <c r="P49" s="224"/>
    </row>
    <row r="50" spans="1:16">
      <c r="A50" s="224">
        <v>44</v>
      </c>
      <c r="B50" s="333">
        <v>2.9212962962962961E-2</v>
      </c>
      <c r="C50" s="231">
        <f t="shared" si="2"/>
        <v>42.066666666666663</v>
      </c>
      <c r="D50" s="231">
        <f t="shared" si="3"/>
        <v>37.149941228170917</v>
      </c>
      <c r="E50" s="246">
        <f>'10K'!$E50*(1-$K$2)+H.Marathon!$E50*$K$2</f>
        <v>0.93494988646159516</v>
      </c>
      <c r="F50" s="334">
        <f t="shared" si="4"/>
        <v>88.312063141452271</v>
      </c>
      <c r="G50" s="224">
        <v>44</v>
      </c>
      <c r="H50" s="343" t="s">
        <v>1244</v>
      </c>
      <c r="I50" s="262" t="s">
        <v>1245</v>
      </c>
      <c r="J50" s="262" t="s">
        <v>1246</v>
      </c>
      <c r="K50" s="262" t="s">
        <v>241</v>
      </c>
      <c r="L50" s="271">
        <v>26050</v>
      </c>
      <c r="M50" s="263" t="s">
        <v>1211</v>
      </c>
      <c r="N50" s="262" t="s">
        <v>622</v>
      </c>
      <c r="O50" s="271">
        <v>42323</v>
      </c>
      <c r="P50" s="224"/>
    </row>
    <row r="51" spans="1:16">
      <c r="A51" s="224">
        <v>45</v>
      </c>
      <c r="B51" s="333">
        <v>3.0069444444444444E-2</v>
      </c>
      <c r="C51" s="231">
        <f t="shared" si="2"/>
        <v>43.3</v>
      </c>
      <c r="D51" s="231">
        <f t="shared" si="3"/>
        <v>37.430793768690926</v>
      </c>
      <c r="E51" s="246">
        <f>'10K'!$E51*(1-$K$2)+H.Marathon!$E51*$K$2</f>
        <v>0.92793472529524912</v>
      </c>
      <c r="F51" s="334">
        <f t="shared" si="4"/>
        <v>86.445251197900532</v>
      </c>
      <c r="G51" s="224">
        <v>45</v>
      </c>
      <c r="H51" s="343" t="s">
        <v>1247</v>
      </c>
      <c r="I51" s="262" t="s">
        <v>326</v>
      </c>
      <c r="J51" s="262" t="s">
        <v>327</v>
      </c>
      <c r="K51" s="262" t="s">
        <v>328</v>
      </c>
      <c r="L51" s="271">
        <v>20152</v>
      </c>
      <c r="M51" s="263" t="s">
        <v>1190</v>
      </c>
      <c r="N51" s="262" t="s">
        <v>1191</v>
      </c>
      <c r="O51" s="271">
        <v>36653</v>
      </c>
      <c r="P51" s="224"/>
    </row>
    <row r="52" spans="1:16">
      <c r="A52" s="224">
        <v>46</v>
      </c>
      <c r="B52" s="333">
        <v>2.9814814814814815E-2</v>
      </c>
      <c r="C52" s="231">
        <f t="shared" si="2"/>
        <v>42.93333333333333</v>
      </c>
      <c r="D52" s="231">
        <f t="shared" si="3"/>
        <v>37.729216368151718</v>
      </c>
      <c r="E52" s="246">
        <f>'10K'!$E52*(1-$K$2)+H.Marathon!$E52*$K$2</f>
        <v>0.92059514288382371</v>
      </c>
      <c r="F52" s="334">
        <f t="shared" si="4"/>
        <v>87.878609553148422</v>
      </c>
      <c r="G52" s="224">
        <v>46</v>
      </c>
      <c r="H52" s="343" t="s">
        <v>1248</v>
      </c>
      <c r="I52" s="262" t="s">
        <v>583</v>
      </c>
      <c r="J52" s="262" t="s">
        <v>1249</v>
      </c>
      <c r="K52" s="262" t="s">
        <v>241</v>
      </c>
      <c r="L52" s="271">
        <v>16398</v>
      </c>
      <c r="M52" s="263" t="s">
        <v>1190</v>
      </c>
      <c r="N52" s="262" t="s">
        <v>1191</v>
      </c>
      <c r="O52" s="271">
        <v>33363</v>
      </c>
      <c r="P52" s="224"/>
    </row>
    <row r="53" spans="1:16">
      <c r="A53" s="224">
        <v>47</v>
      </c>
      <c r="B53" s="333">
        <v>2.9837962962962962E-2</v>
      </c>
      <c r="C53" s="231">
        <f t="shared" si="2"/>
        <v>42.966666666666669</v>
      </c>
      <c r="D53" s="231">
        <f t="shared" si="3"/>
        <v>38.046968709029748</v>
      </c>
      <c r="E53" s="246">
        <f>'10K'!$E53*(1-$K$2)+H.Marathon!$E53*$K$2</f>
        <v>0.9129067179822401</v>
      </c>
      <c r="F53" s="334">
        <f t="shared" si="4"/>
        <v>88.549965963606851</v>
      </c>
      <c r="G53" s="224">
        <v>47</v>
      </c>
      <c r="H53" s="343" t="s">
        <v>1250</v>
      </c>
      <c r="I53" s="262" t="s">
        <v>583</v>
      </c>
      <c r="J53" s="262" t="s">
        <v>1249</v>
      </c>
      <c r="K53" s="262" t="s">
        <v>241</v>
      </c>
      <c r="L53" s="271">
        <v>16398</v>
      </c>
      <c r="M53" s="263" t="s">
        <v>1190</v>
      </c>
      <c r="N53" s="262" t="s">
        <v>1191</v>
      </c>
      <c r="O53" s="271">
        <v>33727</v>
      </c>
      <c r="P53" s="224"/>
    </row>
    <row r="54" spans="1:16">
      <c r="A54" s="224">
        <v>48</v>
      </c>
      <c r="B54" s="333">
        <v>3.2094907407407405E-2</v>
      </c>
      <c r="C54" s="231">
        <f t="shared" si="2"/>
        <v>46.216666666666661</v>
      </c>
      <c r="D54" s="231">
        <f t="shared" si="3"/>
        <v>38.384911006407734</v>
      </c>
      <c r="E54" s="246">
        <f>'10K'!$E54*(1-$K$2)+H.Marathon!$E54*$K$2</f>
        <v>0.90486945059049817</v>
      </c>
      <c r="F54" s="334">
        <f t="shared" si="4"/>
        <v>83.054261102937772</v>
      </c>
      <c r="G54" s="224">
        <v>48</v>
      </c>
      <c r="H54" s="347" t="s">
        <v>1251</v>
      </c>
      <c r="I54" s="262" t="s">
        <v>1252</v>
      </c>
      <c r="J54" s="262" t="s">
        <v>1253</v>
      </c>
      <c r="K54" s="262" t="s">
        <v>241</v>
      </c>
      <c r="L54" s="271">
        <v>24882</v>
      </c>
      <c r="M54" s="263" t="s">
        <v>1190</v>
      </c>
      <c r="N54" s="262" t="s">
        <v>1191</v>
      </c>
      <c r="O54" s="271">
        <v>42491</v>
      </c>
      <c r="P54" s="224"/>
    </row>
    <row r="55" spans="1:16">
      <c r="A55" s="224">
        <v>49</v>
      </c>
      <c r="B55" s="333">
        <v>3.1851851851851853E-2</v>
      </c>
      <c r="C55" s="231">
        <f t="shared" si="2"/>
        <v>45.866666666666667</v>
      </c>
      <c r="D55" s="231">
        <f t="shared" si="3"/>
        <v>38.743980792637416</v>
      </c>
      <c r="E55" s="246">
        <f>'10K'!$E55*(1-$K$2)+H.Marathon!$E55*$K$2</f>
        <v>0.8964833407085977</v>
      </c>
      <c r="F55" s="334">
        <f t="shared" si="4"/>
        <v>84.470888356040874</v>
      </c>
      <c r="G55" s="224">
        <v>49</v>
      </c>
      <c r="H55" s="343" t="s">
        <v>1254</v>
      </c>
      <c r="I55" s="262" t="s">
        <v>326</v>
      </c>
      <c r="J55" s="262" t="s">
        <v>327</v>
      </c>
      <c r="K55" s="262" t="s">
        <v>328</v>
      </c>
      <c r="L55" s="271">
        <v>20152</v>
      </c>
      <c r="M55" s="263" t="s">
        <v>1190</v>
      </c>
      <c r="N55" s="262" t="s">
        <v>1191</v>
      </c>
      <c r="O55" s="271">
        <v>38109</v>
      </c>
      <c r="P55" s="224"/>
    </row>
    <row r="56" spans="1:16">
      <c r="A56" s="224">
        <v>50</v>
      </c>
      <c r="B56" s="333">
        <v>3.1886574074074074E-2</v>
      </c>
      <c r="C56" s="231">
        <f t="shared" si="2"/>
        <v>45.916666666666664</v>
      </c>
      <c r="D56" s="231">
        <f t="shared" si="3"/>
        <v>39.124225851268342</v>
      </c>
      <c r="E56" s="246">
        <f>'10K'!$E56*(1-$K$2)+H.Marathon!$E56*$K$2</f>
        <v>0.88777049456193491</v>
      </c>
      <c r="F56" s="334">
        <f t="shared" si="4"/>
        <v>85.20702544740837</v>
      </c>
      <c r="G56" s="224">
        <v>50</v>
      </c>
      <c r="H56" s="343" t="s">
        <v>1255</v>
      </c>
      <c r="I56" s="262" t="s">
        <v>1256</v>
      </c>
      <c r="J56" s="262" t="s">
        <v>1257</v>
      </c>
      <c r="K56" s="262" t="s">
        <v>522</v>
      </c>
      <c r="L56" s="271">
        <v>23581</v>
      </c>
      <c r="M56" s="263"/>
      <c r="N56" s="262" t="s">
        <v>1258</v>
      </c>
      <c r="O56" s="271">
        <v>42014</v>
      </c>
      <c r="P56" s="224"/>
    </row>
    <row r="57" spans="1:16">
      <c r="A57" s="224">
        <v>51</v>
      </c>
      <c r="B57" s="333">
        <v>3.2696759259259259E-2</v>
      </c>
      <c r="C57" s="231">
        <f t="shared" si="2"/>
        <v>47.083333333333336</v>
      </c>
      <c r="D57" s="231">
        <f t="shared" si="3"/>
        <v>39.523300854944459</v>
      </c>
      <c r="E57" s="246">
        <f>'10K'!$E57*(1-$K$2)+H.Marathon!$E57*$K$2</f>
        <v>0.87880649090543028</v>
      </c>
      <c r="F57" s="334">
        <f t="shared" si="4"/>
        <v>83.943293851209461</v>
      </c>
      <c r="G57" s="224">
        <v>51</v>
      </c>
      <c r="H57" s="343" t="s">
        <v>1259</v>
      </c>
      <c r="I57" s="262" t="s">
        <v>1260</v>
      </c>
      <c r="J57" s="262" t="s">
        <v>1261</v>
      </c>
      <c r="K57" s="262" t="s">
        <v>578</v>
      </c>
      <c r="L57" s="271">
        <v>22157</v>
      </c>
      <c r="M57" s="263"/>
      <c r="N57" s="262" t="s">
        <v>1262</v>
      </c>
      <c r="O57" s="271">
        <v>40895</v>
      </c>
      <c r="P57" s="224"/>
    </row>
    <row r="58" spans="1:16">
      <c r="A58" s="224">
        <v>52</v>
      </c>
      <c r="B58" s="333">
        <v>3.1203703703703702E-2</v>
      </c>
      <c r="C58" s="231">
        <f t="shared" si="2"/>
        <v>44.93333333333333</v>
      </c>
      <c r="D58" s="231">
        <f t="shared" si="3"/>
        <v>39.939890592102735</v>
      </c>
      <c r="E58" s="246">
        <f>'10K'!$E58*(1-$K$2)+H.Marathon!$E58*$K$2</f>
        <v>0.86964017222924272</v>
      </c>
      <c r="F58" s="334">
        <f t="shared" si="4"/>
        <v>88.886996866697487</v>
      </c>
      <c r="G58" s="224">
        <v>52</v>
      </c>
      <c r="H58" s="343" t="s">
        <v>1263</v>
      </c>
      <c r="I58" s="262" t="s">
        <v>1264</v>
      </c>
      <c r="J58" s="262" t="s">
        <v>1265</v>
      </c>
      <c r="K58" s="262" t="s">
        <v>241</v>
      </c>
      <c r="L58" s="271">
        <v>14922</v>
      </c>
      <c r="M58" s="263" t="s">
        <v>1190</v>
      </c>
      <c r="N58" s="262" t="s">
        <v>1191</v>
      </c>
      <c r="O58" s="271">
        <v>34091</v>
      </c>
      <c r="P58" s="224"/>
    </row>
    <row r="59" spans="1:16">
      <c r="A59" s="224">
        <v>53</v>
      </c>
      <c r="B59" s="333">
        <v>3.30787037037037E-2</v>
      </c>
      <c r="C59" s="231">
        <f t="shared" si="2"/>
        <v>47.633333333333326</v>
      </c>
      <c r="D59" s="231">
        <f t="shared" si="3"/>
        <v>40.377141283410765</v>
      </c>
      <c r="E59" s="246">
        <f>'10K'!$E59*(1-$K$2)+H.Marathon!$E59*$K$2</f>
        <v>0.86022269604321322</v>
      </c>
      <c r="F59" s="334">
        <f t="shared" si="4"/>
        <v>84.766566725145083</v>
      </c>
      <c r="G59" s="224">
        <v>53</v>
      </c>
      <c r="H59" s="343" t="s">
        <v>1266</v>
      </c>
      <c r="I59" s="262" t="s">
        <v>609</v>
      </c>
      <c r="J59" s="262" t="s">
        <v>810</v>
      </c>
      <c r="K59" s="262" t="s">
        <v>578</v>
      </c>
      <c r="L59" s="271">
        <v>21934</v>
      </c>
      <c r="M59" s="263"/>
      <c r="N59" s="262" t="s">
        <v>1267</v>
      </c>
      <c r="O59" s="271">
        <v>41479</v>
      </c>
      <c r="P59" s="224"/>
    </row>
    <row r="60" spans="1:16">
      <c r="A60" s="224">
        <v>54</v>
      </c>
      <c r="B60" s="333">
        <v>3.3715277777777775E-2</v>
      </c>
      <c r="C60" s="231">
        <f t="shared" si="2"/>
        <v>48.55</v>
      </c>
      <c r="D60" s="231">
        <f t="shared" si="3"/>
        <v>40.837410237376652</v>
      </c>
      <c r="E60" s="246">
        <f>'10K'!$E60*(1-$K$2)+H.Marathon!$E60*$K$2</f>
        <v>0.85052732608257975</v>
      </c>
      <c r="F60" s="334">
        <f t="shared" si="4"/>
        <v>84.114130252063134</v>
      </c>
      <c r="G60" s="224">
        <v>54</v>
      </c>
      <c r="H60" s="343" t="s">
        <v>1268</v>
      </c>
      <c r="I60" s="262" t="s">
        <v>341</v>
      </c>
      <c r="J60" s="262" t="s">
        <v>1269</v>
      </c>
      <c r="K60" s="262" t="s">
        <v>241</v>
      </c>
      <c r="L60" s="271">
        <v>16147</v>
      </c>
      <c r="M60" s="263"/>
      <c r="N60" s="262" t="s">
        <v>551</v>
      </c>
      <c r="O60" s="271">
        <v>36211</v>
      </c>
      <c r="P60" s="224"/>
    </row>
    <row r="61" spans="1:16">
      <c r="A61" s="224">
        <v>55</v>
      </c>
      <c r="B61" s="333">
        <v>3.3587962962962965E-2</v>
      </c>
      <c r="C61" s="231">
        <f t="shared" si="2"/>
        <v>48.366666666666667</v>
      </c>
      <c r="D61" s="231">
        <f t="shared" si="3"/>
        <v>41.31692123971002</v>
      </c>
      <c r="E61" s="246">
        <f>'10K'!$E61*(1-$K$2)+H.Marathon!$E61*$K$2</f>
        <v>0.84065637736702548</v>
      </c>
      <c r="F61" s="334">
        <f t="shared" si="4"/>
        <v>85.42437196356309</v>
      </c>
      <c r="G61" s="224">
        <v>55</v>
      </c>
      <c r="H61" s="343" t="s">
        <v>1270</v>
      </c>
      <c r="I61" s="262" t="s">
        <v>351</v>
      </c>
      <c r="J61" s="262" t="s">
        <v>352</v>
      </c>
      <c r="K61" s="262" t="s">
        <v>241</v>
      </c>
      <c r="L61" s="271">
        <v>20087</v>
      </c>
      <c r="M61" s="263" t="s">
        <v>1190</v>
      </c>
      <c r="N61" s="262" t="s">
        <v>1191</v>
      </c>
      <c r="O61" s="271">
        <v>40300</v>
      </c>
      <c r="P61" s="224"/>
    </row>
    <row r="62" spans="1:16">
      <c r="A62" s="224">
        <v>56</v>
      </c>
      <c r="B62" s="333">
        <v>3.4074074074074076E-2</v>
      </c>
      <c r="C62" s="231">
        <f t="shared" si="2"/>
        <v>49.06666666666667</v>
      </c>
      <c r="D62" s="231">
        <f t="shared" si="3"/>
        <v>41.821816027813604</v>
      </c>
      <c r="E62" s="246">
        <f>'10K'!$E62*(1-$K$2)+H.Marathon!$E62*$K$2</f>
        <v>0.83050753487686724</v>
      </c>
      <c r="F62" s="334">
        <f t="shared" si="4"/>
        <v>85.234679404511411</v>
      </c>
      <c r="G62" s="224">
        <v>56</v>
      </c>
      <c r="H62" s="343" t="s">
        <v>1271</v>
      </c>
      <c r="I62" s="262" t="s">
        <v>1272</v>
      </c>
      <c r="J62" s="262" t="s">
        <v>1273</v>
      </c>
      <c r="K62" s="262" t="s">
        <v>241</v>
      </c>
      <c r="L62" s="271">
        <v>21642</v>
      </c>
      <c r="M62" s="263" t="s">
        <v>1211</v>
      </c>
      <c r="N62" s="262" t="s">
        <v>622</v>
      </c>
      <c r="O62" s="271">
        <v>42323</v>
      </c>
      <c r="P62" s="224"/>
    </row>
    <row r="63" spans="1:16">
      <c r="A63" s="224">
        <v>57</v>
      </c>
      <c r="B63" s="333">
        <v>3.2256944444444442E-2</v>
      </c>
      <c r="C63" s="231">
        <f t="shared" si="2"/>
        <v>46.449999999999996</v>
      </c>
      <c r="D63" s="231">
        <f t="shared" si="3"/>
        <v>42.352169509756152</v>
      </c>
      <c r="E63" s="246">
        <f>'10K'!$E63*(1-$K$2)+H.Marathon!$E63*$K$2</f>
        <v>0.82010753487686716</v>
      </c>
      <c r="F63" s="334">
        <f t="shared" si="4"/>
        <v>91.177975263199471</v>
      </c>
      <c r="G63" s="224">
        <v>57</v>
      </c>
      <c r="H63" s="343" t="s">
        <v>1274</v>
      </c>
      <c r="I63" s="262" t="s">
        <v>341</v>
      </c>
      <c r="J63" s="262" t="s">
        <v>342</v>
      </c>
      <c r="K63" s="262" t="s">
        <v>241</v>
      </c>
      <c r="L63" s="271">
        <v>20956</v>
      </c>
      <c r="M63" s="263" t="s">
        <v>1211</v>
      </c>
      <c r="N63" s="262" t="s">
        <v>622</v>
      </c>
      <c r="O63" s="271">
        <v>41959</v>
      </c>
      <c r="P63" s="224"/>
    </row>
    <row r="64" spans="1:16">
      <c r="A64" s="224">
        <v>58</v>
      </c>
      <c r="B64" s="333">
        <v>3.4479166666666665E-2</v>
      </c>
      <c r="C64" s="231">
        <f t="shared" si="2"/>
        <v>49.65</v>
      </c>
      <c r="D64" s="231">
        <f t="shared" si="3"/>
        <v>42.89885722420285</v>
      </c>
      <c r="E64" s="246">
        <f>'10K'!$E64*(1-$K$2)+H.Marathon!$E64*$K$2</f>
        <v>0.80965637736702556</v>
      </c>
      <c r="F64" s="334">
        <f t="shared" si="4"/>
        <v>86.402532173621054</v>
      </c>
      <c r="G64" s="224">
        <v>58</v>
      </c>
      <c r="H64" s="343" t="s">
        <v>1275</v>
      </c>
      <c r="I64" s="262" t="s">
        <v>1276</v>
      </c>
      <c r="J64" s="262" t="s">
        <v>1277</v>
      </c>
      <c r="K64" s="262" t="s">
        <v>791</v>
      </c>
      <c r="L64" s="271">
        <v>18965</v>
      </c>
      <c r="M64" s="263"/>
      <c r="N64" s="262" t="s">
        <v>269</v>
      </c>
      <c r="O64" s="271">
        <v>40279</v>
      </c>
      <c r="P64" s="224"/>
    </row>
    <row r="65" spans="1:16">
      <c r="A65" s="224">
        <v>59</v>
      </c>
      <c r="B65" s="333">
        <v>3.591435185185185E-2</v>
      </c>
      <c r="C65" s="231">
        <f t="shared" si="2"/>
        <v>51.716666666666661</v>
      </c>
      <c r="D65" s="231">
        <f t="shared" si="3"/>
        <v>43.461170981150815</v>
      </c>
      <c r="E65" s="246">
        <f>'10K'!$E65*(1-$K$2)+H.Marathon!$E65*$K$2</f>
        <v>0.79918079861210467</v>
      </c>
      <c r="F65" s="334">
        <f t="shared" si="4"/>
        <v>84.037069251339005</v>
      </c>
      <c r="G65" s="224">
        <v>59</v>
      </c>
      <c r="H65" s="343" t="s">
        <v>1278</v>
      </c>
      <c r="I65" s="262" t="s">
        <v>1264</v>
      </c>
      <c r="J65" s="262" t="s">
        <v>1265</v>
      </c>
      <c r="K65" s="262" t="s">
        <v>241</v>
      </c>
      <c r="L65" s="271">
        <v>14922</v>
      </c>
      <c r="M65" s="263"/>
      <c r="N65" s="262" t="s">
        <v>551</v>
      </c>
      <c r="O65" s="271">
        <v>36582</v>
      </c>
      <c r="P65" s="224"/>
    </row>
    <row r="66" spans="1:16">
      <c r="A66" s="224">
        <v>60</v>
      </c>
      <c r="B66" s="333">
        <v>3.528935185185185E-2</v>
      </c>
      <c r="C66" s="231">
        <f t="shared" si="2"/>
        <v>50.816666666666663</v>
      </c>
      <c r="D66" s="231">
        <f t="shared" si="3"/>
        <v>44.037058484061674</v>
      </c>
      <c r="E66" s="246">
        <f>'10K'!$E66*(1-$K$2)+H.Marathon!$E66*$K$2</f>
        <v>0.78872964110226307</v>
      </c>
      <c r="F66" s="334">
        <f t="shared" si="4"/>
        <v>86.658691670833079</v>
      </c>
      <c r="G66" s="224">
        <v>60</v>
      </c>
      <c r="H66" s="347" t="s">
        <v>1279</v>
      </c>
      <c r="I66" s="262" t="s">
        <v>1280</v>
      </c>
      <c r="J66" s="262" t="s">
        <v>1281</v>
      </c>
      <c r="K66" s="262" t="s">
        <v>241</v>
      </c>
      <c r="L66" s="271">
        <v>14464</v>
      </c>
      <c r="M66" s="263" t="s">
        <v>1190</v>
      </c>
      <c r="N66" s="262" t="s">
        <v>1191</v>
      </c>
      <c r="O66" s="271">
        <v>36653</v>
      </c>
      <c r="P66" s="224"/>
    </row>
    <row r="67" spans="1:16">
      <c r="A67" s="224">
        <v>61</v>
      </c>
      <c r="B67" s="333">
        <v>3.5624999999999997E-2</v>
      </c>
      <c r="C67" s="231">
        <f t="shared" si="2"/>
        <v>51.3</v>
      </c>
      <c r="D67" s="231">
        <f t="shared" si="3"/>
        <v>44.629813082596563</v>
      </c>
      <c r="E67" s="246">
        <f>'10K'!$E67*(1-$K$2)+H.Marathon!$E67*$K$2</f>
        <v>0.77825406234734218</v>
      </c>
      <c r="F67" s="334">
        <f t="shared" si="4"/>
        <v>86.997686320851003</v>
      </c>
      <c r="G67" s="224">
        <v>61</v>
      </c>
      <c r="H67" s="343" t="s">
        <v>1282</v>
      </c>
      <c r="I67" s="262" t="s">
        <v>822</v>
      </c>
      <c r="J67" s="262" t="s">
        <v>823</v>
      </c>
      <c r="K67" s="262" t="s">
        <v>522</v>
      </c>
      <c r="L67" s="271">
        <v>17849</v>
      </c>
      <c r="M67" s="263"/>
      <c r="N67" s="262" t="s">
        <v>1258</v>
      </c>
      <c r="O67" s="271">
        <v>40187</v>
      </c>
      <c r="P67" s="224"/>
    </row>
    <row r="68" spans="1:16">
      <c r="A68" s="224">
        <v>62</v>
      </c>
      <c r="B68" s="333">
        <v>3.4016203703703701E-2</v>
      </c>
      <c r="C68" s="231">
        <f t="shared" si="2"/>
        <v>48.983333333333327</v>
      </c>
      <c r="D68" s="231">
        <f t="shared" si="3"/>
        <v>45.237303889445911</v>
      </c>
      <c r="E68" s="246">
        <f>'10K'!$E68*(1-$K$2)+H.Marathon!$E68*$K$2</f>
        <v>0.76780290483750058</v>
      </c>
      <c r="F68" s="334">
        <f t="shared" si="4"/>
        <v>92.352440740617723</v>
      </c>
      <c r="G68" s="224">
        <v>62</v>
      </c>
      <c r="H68" s="347" t="s">
        <v>1283</v>
      </c>
      <c r="I68" s="262" t="s">
        <v>360</v>
      </c>
      <c r="J68" s="262" t="s">
        <v>361</v>
      </c>
      <c r="K68" s="262" t="s">
        <v>241</v>
      </c>
      <c r="L68" s="271">
        <v>18901</v>
      </c>
      <c r="M68" s="263" t="s">
        <v>1211</v>
      </c>
      <c r="N68" s="262" t="s">
        <v>622</v>
      </c>
      <c r="O68" s="271">
        <v>41595</v>
      </c>
      <c r="P68" s="224"/>
    </row>
    <row r="69" spans="1:16">
      <c r="A69" s="224">
        <v>63</v>
      </c>
      <c r="B69" s="333">
        <v>3.3958333333333333E-2</v>
      </c>
      <c r="C69" s="231">
        <f t="shared" si="2"/>
        <v>48.9</v>
      </c>
      <c r="D69" s="231">
        <f t="shared" si="3"/>
        <v>45.863039846981529</v>
      </c>
      <c r="E69" s="246">
        <f>'10K'!$E69*(1-$K$2)+H.Marathon!$E69*$K$2</f>
        <v>0.75732732608257991</v>
      </c>
      <c r="F69" s="334">
        <f t="shared" si="4"/>
        <v>93.789447539839529</v>
      </c>
      <c r="G69" s="224">
        <v>63</v>
      </c>
      <c r="H69" s="343" t="s">
        <v>1284</v>
      </c>
      <c r="I69" s="262" t="s">
        <v>360</v>
      </c>
      <c r="J69" s="262" t="s">
        <v>361</v>
      </c>
      <c r="K69" s="262" t="s">
        <v>241</v>
      </c>
      <c r="L69" s="271">
        <v>18901</v>
      </c>
      <c r="M69" s="263" t="s">
        <v>1211</v>
      </c>
      <c r="N69" s="262" t="s">
        <v>622</v>
      </c>
      <c r="O69" s="271">
        <v>41959</v>
      </c>
      <c r="P69" s="224"/>
    </row>
    <row r="70" spans="1:16">
      <c r="A70" s="224">
        <v>64</v>
      </c>
      <c r="B70" s="333">
        <v>3.4317129629629628E-2</v>
      </c>
      <c r="C70" s="231">
        <f t="shared" si="2"/>
        <v>49.416666666666664</v>
      </c>
      <c r="D70" s="231">
        <f t="shared" si="3"/>
        <v>46.504808688310241</v>
      </c>
      <c r="E70" s="246">
        <f>'10K'!$E70*(1-$K$2)+H.Marathon!$E70*$K$2</f>
        <v>0.74687616857273809</v>
      </c>
      <c r="F70" s="334">
        <f t="shared" si="4"/>
        <v>94.107538660998799</v>
      </c>
      <c r="G70" s="224">
        <v>64</v>
      </c>
      <c r="H70" s="343" t="s">
        <v>1285</v>
      </c>
      <c r="I70" s="262" t="s">
        <v>360</v>
      </c>
      <c r="J70" s="262" t="s">
        <v>361</v>
      </c>
      <c r="K70" s="262" t="s">
        <v>241</v>
      </c>
      <c r="L70" s="271">
        <v>18901</v>
      </c>
      <c r="M70" s="263" t="s">
        <v>1211</v>
      </c>
      <c r="N70" s="262" t="s">
        <v>622</v>
      </c>
      <c r="O70" s="271">
        <v>42323</v>
      </c>
      <c r="P70" s="224"/>
    </row>
    <row r="71" spans="1:16">
      <c r="A71" s="224">
        <v>65</v>
      </c>
      <c r="B71" s="333">
        <v>3.5729166666666666E-2</v>
      </c>
      <c r="C71" s="231">
        <f t="shared" si="2"/>
        <v>51.449999999999996</v>
      </c>
      <c r="D71" s="231">
        <f t="shared" si="3"/>
        <v>47.16635729735934</v>
      </c>
      <c r="E71" s="246">
        <f>'10K'!$E71*(1-$K$2)+H.Marathon!$E71*$K$2</f>
        <v>0.73640058981781742</v>
      </c>
      <c r="F71" s="334">
        <f t="shared" si="4"/>
        <v>91.67416384326404</v>
      </c>
      <c r="G71" s="224">
        <v>65</v>
      </c>
      <c r="H71" s="343" t="s">
        <v>1286</v>
      </c>
      <c r="I71" s="262" t="s">
        <v>826</v>
      </c>
      <c r="J71" s="262" t="s">
        <v>827</v>
      </c>
      <c r="K71" s="262" t="s">
        <v>522</v>
      </c>
      <c r="L71" s="271">
        <v>16132</v>
      </c>
      <c r="M71" s="263"/>
      <c r="N71" s="262" t="s">
        <v>1287</v>
      </c>
      <c r="O71" s="271">
        <v>39907</v>
      </c>
      <c r="P71" s="224"/>
    </row>
    <row r="72" spans="1:16">
      <c r="A72" s="224">
        <v>66</v>
      </c>
      <c r="B72" s="333">
        <v>3.6446759259259262E-2</v>
      </c>
      <c r="C72" s="231">
        <f t="shared" si="2"/>
        <v>52.483333333333334</v>
      </c>
      <c r="D72" s="231">
        <f t="shared" si="3"/>
        <v>47.845389482442798</v>
      </c>
      <c r="E72" s="246">
        <f>'10K'!$E72*(1-$K$2)+H.Marathon!$E72*$K$2</f>
        <v>0.7259494323079756</v>
      </c>
      <c r="F72" s="334">
        <f t="shared" si="4"/>
        <v>91.163015844603606</v>
      </c>
      <c r="G72" s="224">
        <v>66</v>
      </c>
      <c r="H72" s="343" t="s">
        <v>1288</v>
      </c>
      <c r="I72" s="262" t="s">
        <v>826</v>
      </c>
      <c r="J72" s="262" t="s">
        <v>827</v>
      </c>
      <c r="K72" s="262" t="s">
        <v>522</v>
      </c>
      <c r="L72" s="271">
        <v>16132</v>
      </c>
      <c r="M72" s="263"/>
      <c r="N72" s="262" t="s">
        <v>1287</v>
      </c>
      <c r="O72" s="271">
        <v>40306</v>
      </c>
      <c r="P72" s="224"/>
    </row>
    <row r="73" spans="1:16">
      <c r="A73" s="224">
        <v>67</v>
      </c>
      <c r="B73" s="333">
        <v>4.0150462962962964E-2</v>
      </c>
      <c r="C73" s="231">
        <f t="shared" si="2"/>
        <v>57.81666666666667</v>
      </c>
      <c r="D73" s="231">
        <f t="shared" si="3"/>
        <v>48.545915634578442</v>
      </c>
      <c r="E73" s="246">
        <f>'10K'!$E73*(1-$K$2)+H.Marathon!$E73*$K$2</f>
        <v>0.71547385355305493</v>
      </c>
      <c r="F73" s="334">
        <f t="shared" si="4"/>
        <v>83.965261979668668</v>
      </c>
      <c r="G73" s="224">
        <v>67</v>
      </c>
      <c r="H73" s="343" t="s">
        <v>1289</v>
      </c>
      <c r="I73" s="262" t="s">
        <v>1290</v>
      </c>
      <c r="J73" s="262" t="s">
        <v>1291</v>
      </c>
      <c r="K73" s="262" t="s">
        <v>241</v>
      </c>
      <c r="L73" s="271">
        <v>17624</v>
      </c>
      <c r="M73" s="263" t="s">
        <v>1292</v>
      </c>
      <c r="N73" s="262" t="s">
        <v>1293</v>
      </c>
      <c r="O73" s="271">
        <v>42120</v>
      </c>
      <c r="P73" s="224"/>
    </row>
    <row r="74" spans="1:16">
      <c r="A74" s="224">
        <v>68</v>
      </c>
      <c r="B74" s="333">
        <v>4.310185185185185E-2</v>
      </c>
      <c r="C74" s="231">
        <f t="shared" si="2"/>
        <v>62.066666666666663</v>
      </c>
      <c r="D74" s="231">
        <f t="shared" si="3"/>
        <v>49.265553475464863</v>
      </c>
      <c r="E74" s="246">
        <f>'10K'!$E74*(1-$K$2)+H.Marathon!$E74*$K$2</f>
        <v>0.70502269604321333</v>
      </c>
      <c r="F74" s="334">
        <f t="shared" si="4"/>
        <v>79.375220422338671</v>
      </c>
      <c r="G74" s="224">
        <v>68</v>
      </c>
      <c r="H74" s="341">
        <v>4.3101851851851856E-2</v>
      </c>
      <c r="I74" s="262" t="s">
        <v>1294</v>
      </c>
      <c r="J74" s="262" t="s">
        <v>1295</v>
      </c>
      <c r="K74" s="262" t="s">
        <v>241</v>
      </c>
      <c r="L74" s="271">
        <v>15675</v>
      </c>
      <c r="M74" s="263" t="s">
        <v>1296</v>
      </c>
      <c r="N74" s="262" t="s">
        <v>1297</v>
      </c>
      <c r="O74" s="271">
        <v>40895</v>
      </c>
      <c r="P74" s="224"/>
    </row>
    <row r="75" spans="1:16">
      <c r="A75" s="224">
        <v>69</v>
      </c>
      <c r="B75" s="333">
        <v>4.2453703703703702E-2</v>
      </c>
      <c r="C75" s="231">
        <f t="shared" si="2"/>
        <v>61.133333333333333</v>
      </c>
      <c r="D75" s="231">
        <f t="shared" ref="D75:D106" si="5">E$4/E75</f>
        <v>50.008606282813538</v>
      </c>
      <c r="E75" s="246">
        <f>'10K'!$E75*(1-$K$2)+H.Marathon!$E75*$K$2</f>
        <v>0.69454711728829244</v>
      </c>
      <c r="F75" s="334">
        <f t="shared" ref="F75:F83" si="6">100*(D75/C75)</f>
        <v>81.802518456074495</v>
      </c>
      <c r="G75" s="224">
        <v>69</v>
      </c>
      <c r="H75" s="341">
        <v>4.2453703703703709E-2</v>
      </c>
      <c r="I75" s="262" t="s">
        <v>1298</v>
      </c>
      <c r="J75" s="262" t="s">
        <v>1227</v>
      </c>
      <c r="K75" s="262" t="s">
        <v>241</v>
      </c>
      <c r="L75" s="271">
        <v>5880</v>
      </c>
      <c r="M75" s="263" t="s">
        <v>1299</v>
      </c>
      <c r="N75" s="262" t="s">
        <v>1300</v>
      </c>
      <c r="O75" s="271">
        <v>31326</v>
      </c>
      <c r="P75" s="224"/>
    </row>
    <row r="76" spans="1:16">
      <c r="A76" s="224">
        <v>70</v>
      </c>
      <c r="B76" s="333">
        <v>4.0532407407407406E-2</v>
      </c>
      <c r="C76" s="231">
        <f t="shared" si="2"/>
        <v>58.366666666666667</v>
      </c>
      <c r="D76" s="231">
        <f t="shared" si="5"/>
        <v>50.77260410159704</v>
      </c>
      <c r="E76" s="246">
        <f>'10K'!$E76*(1-$K$2)+H.Marathon!$E76*$K$2</f>
        <v>0.68409595977845084</v>
      </c>
      <c r="F76" s="334">
        <f t="shared" si="6"/>
        <v>86.989041864529483</v>
      </c>
      <c r="G76" s="224">
        <v>70</v>
      </c>
      <c r="H76" s="343" t="s">
        <v>1301</v>
      </c>
      <c r="I76" s="262" t="s">
        <v>1302</v>
      </c>
      <c r="J76" s="262" t="s">
        <v>1303</v>
      </c>
      <c r="K76" s="262" t="s">
        <v>241</v>
      </c>
      <c r="L76" s="271">
        <v>11324</v>
      </c>
      <c r="M76" s="263" t="s">
        <v>1190</v>
      </c>
      <c r="N76" s="262" t="s">
        <v>1191</v>
      </c>
      <c r="O76" s="271">
        <v>37017</v>
      </c>
      <c r="P76" s="224"/>
    </row>
    <row r="77" spans="1:16">
      <c r="A77" s="224">
        <v>71</v>
      </c>
      <c r="B77" s="333">
        <v>4.2870370370370371E-2</v>
      </c>
      <c r="C77" s="231">
        <f t="shared" ref="C77:C83" si="7">B77*1440</f>
        <v>61.733333333333334</v>
      </c>
      <c r="D77" s="231">
        <f t="shared" si="5"/>
        <v>51.562177024035265</v>
      </c>
      <c r="E77" s="246">
        <f>'10K'!$E77*(1-$K$2)+H.Marathon!$E77*$K$2</f>
        <v>0.67362038102352995</v>
      </c>
      <c r="F77" s="334">
        <f t="shared" si="6"/>
        <v>83.524044855348706</v>
      </c>
      <c r="G77" s="224">
        <v>71</v>
      </c>
      <c r="H77" s="341">
        <v>4.2870370370370371E-2</v>
      </c>
      <c r="I77" s="262" t="s">
        <v>1304</v>
      </c>
      <c r="J77" s="262" t="s">
        <v>1305</v>
      </c>
      <c r="K77" s="262" t="s">
        <v>241</v>
      </c>
      <c r="L77" s="271">
        <v>13446</v>
      </c>
      <c r="M77" s="263" t="s">
        <v>1190</v>
      </c>
      <c r="N77" s="262" t="s">
        <v>1191</v>
      </c>
      <c r="O77" s="271">
        <v>39572</v>
      </c>
      <c r="P77" s="224"/>
    </row>
    <row r="78" spans="1:16">
      <c r="A78" s="224">
        <v>72</v>
      </c>
      <c r="B78" s="333">
        <v>4.148148148148148E-2</v>
      </c>
      <c r="C78" s="231">
        <f t="shared" si="7"/>
        <v>59.733333333333334</v>
      </c>
      <c r="D78" s="231">
        <f t="shared" si="5"/>
        <v>52.37476665353185</v>
      </c>
      <c r="E78" s="246">
        <f>'10K'!$E78*(1-$K$2)+H.Marathon!$E78*$K$2</f>
        <v>0.66316922351368834</v>
      </c>
      <c r="F78" s="334">
        <f t="shared" si="6"/>
        <v>87.680970960153772</v>
      </c>
      <c r="G78" s="224">
        <v>72</v>
      </c>
      <c r="H78" s="347" t="s">
        <v>1306</v>
      </c>
      <c r="I78" s="262" t="s">
        <v>1302</v>
      </c>
      <c r="J78" s="262" t="s">
        <v>1303</v>
      </c>
      <c r="K78" s="262" t="s">
        <v>241</v>
      </c>
      <c r="L78" s="271">
        <v>11324</v>
      </c>
      <c r="M78" s="263" t="s">
        <v>1190</v>
      </c>
      <c r="N78" s="262" t="s">
        <v>1191</v>
      </c>
      <c r="O78" s="271">
        <v>37745</v>
      </c>
      <c r="P78" s="224"/>
    </row>
    <row r="79" spans="1:16">
      <c r="A79" s="224">
        <v>73</v>
      </c>
      <c r="B79" s="333">
        <v>4.3124999999999997E-2</v>
      </c>
      <c r="C79" s="231">
        <f t="shared" si="7"/>
        <v>62.099999999999994</v>
      </c>
      <c r="D79" s="231">
        <f t="shared" si="5"/>
        <v>53.215369281204836</v>
      </c>
      <c r="E79" s="246">
        <f>'10K'!$E79*(1-$K$2)+H.Marathon!$E79*$K$2</f>
        <v>0.65269364475876746</v>
      </c>
      <c r="F79" s="334">
        <f t="shared" si="6"/>
        <v>85.693026217721155</v>
      </c>
      <c r="G79" s="224">
        <v>73</v>
      </c>
      <c r="H79" s="347" t="s">
        <v>1307</v>
      </c>
      <c r="I79" s="262" t="s">
        <v>1302</v>
      </c>
      <c r="J79" s="262" t="s">
        <v>1303</v>
      </c>
      <c r="K79" s="262" t="s">
        <v>241</v>
      </c>
      <c r="L79" s="271">
        <v>11324</v>
      </c>
      <c r="M79" s="263" t="s">
        <v>1190</v>
      </c>
      <c r="N79" s="262" t="s">
        <v>1191</v>
      </c>
      <c r="O79" s="271">
        <v>38109</v>
      </c>
      <c r="P79" s="224"/>
    </row>
    <row r="80" spans="1:16">
      <c r="A80" s="224">
        <v>74</v>
      </c>
      <c r="B80" s="333">
        <v>4.3981481481481483E-2</v>
      </c>
      <c r="C80" s="231">
        <f t="shared" si="7"/>
        <v>63.333333333333336</v>
      </c>
      <c r="D80" s="231">
        <f t="shared" si="5"/>
        <v>54.081338470949035</v>
      </c>
      <c r="E80" s="246">
        <f>'10K'!$E80*(1-$K$2)+H.Marathon!$E80*$K$2</f>
        <v>0.64224248724892596</v>
      </c>
      <c r="F80" s="334">
        <f t="shared" si="6"/>
        <v>85.391587059393217</v>
      </c>
      <c r="G80" s="224">
        <v>74</v>
      </c>
      <c r="H80" s="347" t="s">
        <v>1308</v>
      </c>
      <c r="I80" s="262" t="s">
        <v>1302</v>
      </c>
      <c r="J80" s="262" t="s">
        <v>1303</v>
      </c>
      <c r="K80" s="262" t="s">
        <v>241</v>
      </c>
      <c r="L80" s="271">
        <v>11324</v>
      </c>
      <c r="M80" s="263" t="s">
        <v>1190</v>
      </c>
      <c r="N80" s="262" t="s">
        <v>1191</v>
      </c>
      <c r="O80" s="271">
        <v>38473</v>
      </c>
      <c r="P80" s="224"/>
    </row>
    <row r="81" spans="1:16">
      <c r="A81" s="224">
        <v>75</v>
      </c>
      <c r="B81" s="333">
        <v>3.8078703703703705E-2</v>
      </c>
      <c r="C81" s="231">
        <f t="shared" si="7"/>
        <v>54.833333333333336</v>
      </c>
      <c r="D81" s="231">
        <f t="shared" si="5"/>
        <v>54.978082685796316</v>
      </c>
      <c r="E81" s="246">
        <f>'10K'!$E81*(1-$K$2)+H.Marathon!$E81*$K$2</f>
        <v>0.63176690849400519</v>
      </c>
      <c r="F81" s="334">
        <f t="shared" si="6"/>
        <v>100.26398058199935</v>
      </c>
      <c r="G81" s="224">
        <v>75</v>
      </c>
      <c r="H81" s="347" t="s">
        <v>1309</v>
      </c>
      <c r="I81" s="262" t="s">
        <v>382</v>
      </c>
      <c r="J81" s="262" t="s">
        <v>383</v>
      </c>
      <c r="K81" s="270" t="s">
        <v>241</v>
      </c>
      <c r="L81" s="271">
        <v>17637</v>
      </c>
      <c r="M81" s="263" t="s">
        <v>1310</v>
      </c>
      <c r="N81" s="262" t="s">
        <v>1311</v>
      </c>
      <c r="O81" s="271">
        <v>45186</v>
      </c>
      <c r="P81" s="224"/>
    </row>
    <row r="82" spans="1:16">
      <c r="A82" s="224">
        <v>76</v>
      </c>
      <c r="B82" s="333">
        <v>4.5150462962962962E-2</v>
      </c>
      <c r="C82" s="231">
        <f t="shared" si="7"/>
        <v>65.016666666666666</v>
      </c>
      <c r="D82" s="231">
        <f t="shared" si="5"/>
        <v>55.909462160491316</v>
      </c>
      <c r="E82" s="246">
        <f>'10K'!$E82*(1-$K$2)+H.Marathon!$E82*$K$2</f>
        <v>0.62124248724892595</v>
      </c>
      <c r="F82" s="334">
        <f t="shared" si="6"/>
        <v>85.992507809009979</v>
      </c>
      <c r="G82" s="224">
        <v>76</v>
      </c>
      <c r="H82" s="347" t="s">
        <v>1312</v>
      </c>
      <c r="I82" s="348" t="s">
        <v>1313</v>
      </c>
      <c r="J82" s="262" t="s">
        <v>1314</v>
      </c>
      <c r="K82" s="348" t="s">
        <v>241</v>
      </c>
      <c r="L82" s="271">
        <v>14194</v>
      </c>
      <c r="M82" s="263" t="s">
        <v>1211</v>
      </c>
      <c r="N82" s="262" t="s">
        <v>622</v>
      </c>
      <c r="O82" s="271">
        <v>41963</v>
      </c>
      <c r="P82" s="224"/>
    </row>
    <row r="83" spans="1:16" ht="15.75">
      <c r="A83" s="224">
        <v>77</v>
      </c>
      <c r="B83" s="333">
        <v>4.2488425925925923E-2</v>
      </c>
      <c r="C83" s="231">
        <f t="shared" si="7"/>
        <v>61.18333333333333</v>
      </c>
      <c r="D83" s="231">
        <f t="shared" si="5"/>
        <v>56.891141899292933</v>
      </c>
      <c r="E83" s="246">
        <f>'10K'!$E83*(1-$K$2)+H.Marathon!$E83*$K$2</f>
        <v>0.6105226960432133</v>
      </c>
      <c r="F83" s="334">
        <f t="shared" si="6"/>
        <v>92.984704820418855</v>
      </c>
      <c r="G83" s="224">
        <v>77</v>
      </c>
      <c r="H83" s="347" t="s">
        <v>1315</v>
      </c>
      <c r="I83" s="348" t="s">
        <v>390</v>
      </c>
      <c r="J83" s="262" t="s">
        <v>391</v>
      </c>
      <c r="K83" s="348" t="s">
        <v>241</v>
      </c>
      <c r="L83" s="252">
        <v>13343</v>
      </c>
      <c r="M83" s="263" t="s">
        <v>1190</v>
      </c>
      <c r="N83" s="262" t="s">
        <v>1191</v>
      </c>
      <c r="O83" s="271">
        <v>41763</v>
      </c>
      <c r="P83" s="224"/>
    </row>
    <row r="84" spans="1:16">
      <c r="A84" s="224">
        <v>78</v>
      </c>
      <c r="B84" s="333"/>
      <c r="C84" s="231"/>
      <c r="D84" s="231">
        <f t="shared" si="5"/>
        <v>57.994932154749648</v>
      </c>
      <c r="E84" s="246">
        <f>'10K'!$E84*(1-$K$2)+H.Marathon!$E84*$K$2</f>
        <v>0.59890290483750064</v>
      </c>
      <c r="F84" s="334"/>
      <c r="G84" s="224">
        <v>78</v>
      </c>
      <c r="H84" s="342"/>
      <c r="I84" s="224"/>
      <c r="J84" s="224"/>
      <c r="K84" s="224"/>
      <c r="L84" s="224"/>
      <c r="M84" s="224"/>
      <c r="N84" s="224"/>
      <c r="O84" s="224"/>
      <c r="P84" s="224"/>
    </row>
    <row r="85" spans="1:16">
      <c r="A85" s="224">
        <v>79</v>
      </c>
      <c r="B85" s="333"/>
      <c r="C85" s="231"/>
      <c r="D85" s="231">
        <f t="shared" si="5"/>
        <v>59.228241180824512</v>
      </c>
      <c r="E85" s="246">
        <f>'10K'!$E85*(1-$K$2)+H.Marathon!$E85*$K$2</f>
        <v>0.58643195612194632</v>
      </c>
      <c r="F85" s="334"/>
      <c r="G85" s="224">
        <v>79</v>
      </c>
      <c r="H85" s="342"/>
      <c r="I85" s="224"/>
      <c r="J85" s="224"/>
      <c r="K85" s="224"/>
      <c r="L85" s="224"/>
      <c r="M85" s="224"/>
      <c r="N85" s="224"/>
      <c r="O85" s="224"/>
      <c r="P85" s="224"/>
    </row>
    <row r="86" spans="1:16">
      <c r="A86" s="224">
        <v>80</v>
      </c>
      <c r="B86" s="333"/>
      <c r="C86" s="231"/>
      <c r="D86" s="231">
        <f t="shared" si="5"/>
        <v>60.353182661209971</v>
      </c>
      <c r="E86" s="246">
        <f>'5K'!$E86*(1-$K$2)+'10K'!$E86*$K$2</f>
        <v>0.57550127104824655</v>
      </c>
      <c r="F86" s="334"/>
      <c r="G86" s="224">
        <v>80</v>
      </c>
      <c r="H86" s="334"/>
      <c r="I86" s="224"/>
      <c r="J86" s="224"/>
      <c r="K86" s="224"/>
      <c r="L86" s="224"/>
      <c r="M86" s="224"/>
      <c r="N86" s="224"/>
      <c r="O86" s="224"/>
      <c r="P86" s="224"/>
    </row>
    <row r="87" spans="1:16">
      <c r="A87" s="224">
        <v>81</v>
      </c>
      <c r="B87" s="333"/>
      <c r="C87" s="231"/>
      <c r="D87" s="231">
        <f t="shared" si="5"/>
        <v>62.18631723312371</v>
      </c>
      <c r="E87" s="246">
        <f>'10K'!$E87*(1-$K$2)+H.Marathon!$E87*$K$2</f>
        <v>0.55853658616131285</v>
      </c>
      <c r="F87" s="334"/>
      <c r="G87" s="224">
        <v>81</v>
      </c>
      <c r="H87" s="334"/>
      <c r="I87" s="224"/>
      <c r="J87" s="224"/>
      <c r="K87" s="224"/>
      <c r="L87" s="224"/>
      <c r="M87" s="224"/>
      <c r="N87" s="224"/>
      <c r="O87" s="224"/>
      <c r="P87" s="224"/>
    </row>
    <row r="88" spans="1:16">
      <c r="A88" s="224">
        <v>82</v>
      </c>
      <c r="B88" s="333"/>
      <c r="C88" s="231"/>
      <c r="D88" s="231">
        <f t="shared" si="5"/>
        <v>63.949537221964</v>
      </c>
      <c r="E88" s="246">
        <f>'10K'!$E88*(1-$K$2)+H.Marathon!$E88*$K$2</f>
        <v>0.54313658616131288</v>
      </c>
      <c r="F88" s="334"/>
      <c r="G88" s="224">
        <v>82</v>
      </c>
      <c r="H88" s="334"/>
      <c r="I88" s="224"/>
      <c r="J88" s="224"/>
      <c r="K88" s="224"/>
      <c r="L88" s="224"/>
      <c r="M88" s="224"/>
      <c r="N88" s="224"/>
      <c r="O88" s="224"/>
      <c r="P88" s="224"/>
    </row>
    <row r="89" spans="1:16">
      <c r="A89" s="224">
        <v>83</v>
      </c>
      <c r="B89" s="333"/>
      <c r="C89" s="231"/>
      <c r="D89" s="231">
        <f t="shared" si="5"/>
        <v>65.934499027901936</v>
      </c>
      <c r="E89" s="246">
        <f>'10K'!$E89*(1-$K$2)+H.Marathon!$E89*$K$2</f>
        <v>0.52678542865147127</v>
      </c>
      <c r="F89" s="334"/>
      <c r="G89" s="224">
        <v>83</v>
      </c>
      <c r="H89" s="334"/>
      <c r="I89" s="224"/>
      <c r="J89" s="224"/>
      <c r="K89" s="224"/>
      <c r="L89" s="224"/>
      <c r="M89" s="224"/>
      <c r="N89" s="224"/>
      <c r="O89" s="224"/>
      <c r="P89" s="224"/>
    </row>
    <row r="90" spans="1:16">
      <c r="A90" s="224">
        <v>84</v>
      </c>
      <c r="B90" s="333">
        <v>7.2523148148148142E-2</v>
      </c>
      <c r="C90" s="231">
        <f>B90*1440</f>
        <v>104.43333333333332</v>
      </c>
      <c r="D90" s="231">
        <f t="shared" si="5"/>
        <v>68.183784014362871</v>
      </c>
      <c r="E90" s="246">
        <f>'10K'!$E90*(1-$K$2)+H.Marathon!$E90*$K$2</f>
        <v>0.50940753487686719</v>
      </c>
      <c r="F90" s="334">
        <f>100*(D90/C90)</f>
        <v>65.289292066099151</v>
      </c>
      <c r="G90" s="224">
        <v>84</v>
      </c>
      <c r="H90" s="334"/>
      <c r="I90" s="224"/>
      <c r="J90" s="224"/>
      <c r="K90" s="224"/>
      <c r="L90" s="224"/>
      <c r="M90" s="224"/>
      <c r="N90" s="224"/>
      <c r="O90" s="224"/>
      <c r="P90" s="224"/>
    </row>
    <row r="91" spans="1:16">
      <c r="A91" s="224">
        <v>85</v>
      </c>
      <c r="B91" s="333"/>
      <c r="C91" s="231"/>
      <c r="D91" s="231">
        <f t="shared" si="5"/>
        <v>70.721313532166064</v>
      </c>
      <c r="E91" s="246">
        <f>'10K'!$E91*(1-$K$2)+H.Marathon!$E91*$K$2</f>
        <v>0.49112964110226304</v>
      </c>
      <c r="F91" s="334"/>
      <c r="G91" s="224">
        <v>85</v>
      </c>
      <c r="H91" s="224"/>
      <c r="I91" s="224"/>
      <c r="J91" s="224"/>
      <c r="K91" s="224"/>
      <c r="L91" s="224"/>
      <c r="M91" s="224"/>
      <c r="N91" s="224"/>
      <c r="O91" s="224"/>
      <c r="P91" s="224"/>
    </row>
    <row r="92" spans="1:16">
      <c r="A92" s="224">
        <v>86</v>
      </c>
      <c r="B92" s="333"/>
      <c r="C92" s="231"/>
      <c r="D92" s="231">
        <f t="shared" si="5"/>
        <v>73.611052499185632</v>
      </c>
      <c r="E92" s="246">
        <f>'10K'!$E92*(1-$K$2)+H.Marathon!$E92*$K$2</f>
        <v>0.47184943230797571</v>
      </c>
      <c r="F92" s="334"/>
      <c r="G92" s="224">
        <v>86</v>
      </c>
      <c r="H92" s="224"/>
      <c r="I92" s="224"/>
      <c r="J92" s="224"/>
      <c r="K92" s="224"/>
      <c r="L92" s="224"/>
      <c r="M92" s="224"/>
      <c r="N92" s="224"/>
      <c r="O92" s="224"/>
      <c r="P92" s="224"/>
    </row>
    <row r="93" spans="1:16">
      <c r="A93" s="224">
        <v>87</v>
      </c>
      <c r="B93" s="333"/>
      <c r="C93" s="231"/>
      <c r="D93" s="231">
        <f t="shared" si="5"/>
        <v>76.908644600230602</v>
      </c>
      <c r="E93" s="246">
        <f>'10K'!$E93*(1-$K$2)+H.Marathon!$E93*$K$2</f>
        <v>0.45161806600384674</v>
      </c>
      <c r="F93" s="334"/>
      <c r="G93" s="224">
        <v>87</v>
      </c>
      <c r="H93" s="224"/>
      <c r="I93" s="224"/>
      <c r="J93" s="224"/>
      <c r="K93" s="224"/>
      <c r="L93" s="224"/>
      <c r="M93" s="224"/>
      <c r="N93" s="224"/>
      <c r="O93" s="224"/>
      <c r="P93" s="224"/>
    </row>
    <row r="94" spans="1:16">
      <c r="A94" s="224">
        <v>88</v>
      </c>
      <c r="B94" s="333"/>
      <c r="C94" s="231"/>
      <c r="D94" s="231">
        <f t="shared" si="5"/>
        <v>80.698038789262881</v>
      </c>
      <c r="E94" s="246">
        <f>'10K'!$E94*(1-$K$2)+H.Marathon!$E94*$K$2</f>
        <v>0.43041112094479689</v>
      </c>
      <c r="F94" s="334"/>
      <c r="G94" s="224">
        <v>88</v>
      </c>
      <c r="H94" s="224"/>
      <c r="I94" s="224"/>
      <c r="J94" s="224"/>
      <c r="K94" s="224"/>
      <c r="L94" s="224"/>
      <c r="M94" s="224"/>
      <c r="N94" s="224"/>
      <c r="O94" s="224"/>
      <c r="P94" s="224"/>
    </row>
    <row r="95" spans="1:16">
      <c r="A95" s="224">
        <v>89</v>
      </c>
      <c r="B95" s="333"/>
      <c r="C95" s="231"/>
      <c r="D95" s="231">
        <f t="shared" si="5"/>
        <v>85.088620761407512</v>
      </c>
      <c r="E95" s="246">
        <f>'10K'!$E95*(1-$K$2)+H.Marathon!$E95*$K$2</f>
        <v>0.4082018608660638</v>
      </c>
      <c r="F95" s="334"/>
      <c r="G95" s="224">
        <v>89</v>
      </c>
      <c r="H95" s="224"/>
      <c r="I95" s="224"/>
      <c r="J95" s="224"/>
      <c r="K95" s="224"/>
      <c r="L95" s="224"/>
      <c r="M95" s="224"/>
      <c r="N95" s="224"/>
      <c r="O95" s="224"/>
      <c r="P95" s="224"/>
    </row>
    <row r="96" spans="1:16">
      <c r="A96" s="224">
        <v>90</v>
      </c>
      <c r="B96" s="333"/>
      <c r="C96" s="231"/>
      <c r="D96" s="231">
        <f t="shared" si="5"/>
        <v>90.189036958252942</v>
      </c>
      <c r="E96" s="246">
        <f>'10K'!$E96*(1-$K$2)+H.Marathon!$E96*$K$2</f>
        <v>0.38511702203240994</v>
      </c>
      <c r="F96" s="334"/>
      <c r="G96" s="224">
        <v>90</v>
      </c>
      <c r="H96" s="224"/>
      <c r="I96" s="224"/>
      <c r="J96" s="224"/>
      <c r="K96" s="224"/>
      <c r="L96" s="224"/>
      <c r="M96" s="224"/>
      <c r="N96" s="224"/>
      <c r="O96" s="224"/>
      <c r="P96" s="224"/>
    </row>
    <row r="97" spans="1:16">
      <c r="A97" s="224">
        <v>91</v>
      </c>
      <c r="B97" s="333"/>
      <c r="C97" s="231"/>
      <c r="D97" s="231">
        <f t="shared" si="5"/>
        <v>96.219277085399398</v>
      </c>
      <c r="E97" s="246">
        <f>'10K'!$E97*(1-$K$2)+H.Marathon!$E97*$K$2</f>
        <v>0.36098102568891444</v>
      </c>
      <c r="F97" s="334"/>
      <c r="G97" s="224">
        <v>91</v>
      </c>
      <c r="H97" s="224"/>
      <c r="I97" s="224"/>
      <c r="J97" s="224"/>
      <c r="K97" s="224"/>
      <c r="L97" s="224"/>
      <c r="M97" s="224"/>
      <c r="N97" s="224"/>
      <c r="O97" s="224"/>
      <c r="P97" s="224"/>
    </row>
    <row r="98" spans="1:16">
      <c r="A98" s="224">
        <v>92</v>
      </c>
      <c r="B98" s="333"/>
      <c r="C98" s="231"/>
      <c r="D98" s="231">
        <f t="shared" si="5"/>
        <v>103.39815975724075</v>
      </c>
      <c r="E98" s="246">
        <f>'10K'!$E98*(1-$K$2)+H.Marathon!$E98*$K$2</f>
        <v>0.33591829308065646</v>
      </c>
      <c r="F98" s="334"/>
      <c r="G98" s="224">
        <v>92</v>
      </c>
      <c r="H98" s="224"/>
      <c r="I98" s="224"/>
      <c r="J98" s="224"/>
      <c r="K98" s="224"/>
      <c r="L98" s="224"/>
      <c r="M98" s="224"/>
      <c r="N98" s="224"/>
      <c r="O98" s="224"/>
      <c r="P98" s="224"/>
    </row>
    <row r="99" spans="1:16">
      <c r="A99" s="224">
        <v>93</v>
      </c>
      <c r="B99" s="333"/>
      <c r="C99" s="231"/>
      <c r="D99" s="231">
        <f t="shared" si="5"/>
        <v>112.07757295894203</v>
      </c>
      <c r="E99" s="246">
        <f>'10K'!$E99*(1-$K$2)+H.Marathon!$E99*$K$2</f>
        <v>0.30990440296255684</v>
      </c>
      <c r="F99" s="334"/>
      <c r="G99" s="224">
        <v>93</v>
      </c>
      <c r="H99" s="224"/>
      <c r="I99" s="224"/>
      <c r="J99" s="224"/>
      <c r="K99" s="224"/>
      <c r="L99" s="224"/>
      <c r="M99" s="224"/>
      <c r="N99" s="224"/>
      <c r="O99" s="224"/>
      <c r="P99" s="224"/>
    </row>
    <row r="100" spans="1:16">
      <c r="A100" s="224">
        <v>94</v>
      </c>
      <c r="B100" s="333"/>
      <c r="C100" s="231"/>
      <c r="D100" s="231">
        <f t="shared" si="5"/>
        <v>122.75893288954548</v>
      </c>
      <c r="E100" s="246">
        <f>'10K'!$E100*(1-$K$2)+H.Marathon!$E100*$K$2</f>
        <v>0.28293935533461556</v>
      </c>
      <c r="F100" s="334"/>
      <c r="G100" s="224">
        <v>94</v>
      </c>
      <c r="H100" s="224"/>
      <c r="I100" s="224"/>
      <c r="J100" s="224"/>
      <c r="K100" s="224"/>
      <c r="L100" s="224"/>
      <c r="M100" s="224"/>
      <c r="N100" s="224"/>
      <c r="O100" s="224"/>
      <c r="P100" s="224"/>
    </row>
    <row r="101" spans="1:16">
      <c r="A101" s="224">
        <v>95</v>
      </c>
      <c r="B101" s="333"/>
      <c r="C101" s="231"/>
      <c r="D101" s="231">
        <f t="shared" si="5"/>
        <v>136.25021229541073</v>
      </c>
      <c r="E101" s="246">
        <f>'10K'!$E101*(1-$K$2)+H.Marathon!$E101*$K$2</f>
        <v>0.2549231501968327</v>
      </c>
      <c r="F101" s="334"/>
      <c r="G101" s="224">
        <v>95</v>
      </c>
      <c r="H101" s="224"/>
      <c r="I101" s="224"/>
      <c r="J101" s="224"/>
      <c r="K101" s="224"/>
      <c r="L101" s="224"/>
      <c r="M101" s="224"/>
      <c r="N101" s="224"/>
      <c r="O101" s="224"/>
      <c r="P101" s="224"/>
    </row>
    <row r="102" spans="1:16">
      <c r="A102" s="224">
        <v>96</v>
      </c>
      <c r="B102" s="333"/>
      <c r="C102" s="231"/>
      <c r="D102" s="231">
        <f t="shared" si="5"/>
        <v>153.70077547344655</v>
      </c>
      <c r="E102" s="246">
        <f>'10K'!$E102*(1-$K$2)+H.Marathon!$E102*$K$2</f>
        <v>0.22598020879428737</v>
      </c>
      <c r="F102" s="334"/>
      <c r="G102" s="224">
        <v>96</v>
      </c>
      <c r="H102" s="224"/>
      <c r="I102" s="224"/>
      <c r="J102" s="224"/>
      <c r="K102" s="224"/>
      <c r="L102" s="224"/>
      <c r="M102" s="224"/>
      <c r="N102" s="224"/>
      <c r="O102" s="224"/>
      <c r="P102" s="224"/>
    </row>
    <row r="103" spans="1:16">
      <c r="A103" s="224">
        <v>97</v>
      </c>
      <c r="B103" s="333" t="s">
        <v>81</v>
      </c>
      <c r="C103" s="231"/>
      <c r="D103" s="231">
        <f t="shared" si="5"/>
        <v>177.1330633987929</v>
      </c>
      <c r="E103" s="246">
        <f>'10K'!$E103*(1-$K$2)+H.Marathon!$E103*$K$2</f>
        <v>0.19608610988190039</v>
      </c>
      <c r="F103" s="224"/>
      <c r="G103" s="224">
        <v>97</v>
      </c>
      <c r="H103" s="224"/>
      <c r="I103" s="224"/>
      <c r="J103" s="224"/>
      <c r="K103" s="224"/>
      <c r="L103" s="224"/>
      <c r="M103" s="224"/>
      <c r="N103" s="224"/>
      <c r="O103" s="224"/>
      <c r="P103" s="224"/>
    </row>
    <row r="104" spans="1:16">
      <c r="A104" s="224">
        <v>98</v>
      </c>
      <c r="B104" s="333" t="s">
        <v>81</v>
      </c>
      <c r="C104" s="231"/>
      <c r="D104" s="231">
        <f t="shared" si="5"/>
        <v>210.2292905600315</v>
      </c>
      <c r="E104" s="246">
        <f>'10K'!$E104*(1-$K$2)+H.Marathon!$E104*$K$2</f>
        <v>0.16521643221459259</v>
      </c>
      <c r="F104" s="224"/>
      <c r="G104" s="224">
        <v>98</v>
      </c>
      <c r="H104" s="224"/>
      <c r="I104" s="224"/>
      <c r="J104" s="224"/>
      <c r="K104" s="224"/>
      <c r="L104" s="224"/>
      <c r="M104" s="224"/>
      <c r="N104" s="224"/>
      <c r="O104" s="224"/>
      <c r="P104" s="224"/>
    </row>
    <row r="105" spans="1:16">
      <c r="A105" s="224">
        <v>99</v>
      </c>
      <c r="B105" s="333" t="s">
        <v>81</v>
      </c>
      <c r="C105" s="231"/>
      <c r="D105" s="231">
        <f t="shared" si="5"/>
        <v>260.33074931667358</v>
      </c>
      <c r="E105" s="246">
        <f>'10K'!$E105*(1-$K$2)+H.Marathon!$E105*$K$2</f>
        <v>0.13342001828252237</v>
      </c>
      <c r="F105" s="224"/>
      <c r="G105" s="224">
        <v>99</v>
      </c>
      <c r="H105" s="224"/>
      <c r="I105" s="224"/>
      <c r="J105" s="224"/>
      <c r="K105" s="224"/>
      <c r="L105" s="224"/>
      <c r="M105" s="224"/>
      <c r="N105" s="224"/>
      <c r="O105" s="224"/>
      <c r="P105" s="224"/>
    </row>
    <row r="106" spans="1:16">
      <c r="A106" s="224">
        <v>100</v>
      </c>
      <c r="B106" s="333"/>
      <c r="C106" s="224"/>
      <c r="D106" s="231">
        <f t="shared" si="5"/>
        <v>345.2725119011364</v>
      </c>
      <c r="E106" s="246">
        <f>'10K'!$E106*(1-$K$2)+H.Marathon!$E106*$K$2</f>
        <v>0.10059686808568967</v>
      </c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</vt:i4>
      </vt:variant>
    </vt:vector>
  </HeadingPairs>
  <TitlesOfParts>
    <vt:vector size="31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Sheet1</vt:lpstr>
      <vt:lpstr>AgeStanSec</vt:lpstr>
      <vt:lpstr>Age Stan HMS</vt:lpstr>
      <vt:lpstr>Pace</vt:lpstr>
      <vt:lpstr>AGE</vt:lpstr>
      <vt:lpstr>b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2024-10-28T21:33:03Z</dcterms:modified>
</cp:coreProperties>
</file>