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7.xml" ContentType="application/vnd.openxmlformats-officedocument.drawing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lan\Documents\AgeGrade\2025\"/>
    </mc:Choice>
  </mc:AlternateContent>
  <xr:revisionPtr revIDLastSave="0" documentId="13_ncr:1_{67BFF80C-8679-459C-BF94-0E11CCB080EB}" xr6:coauthVersionLast="47" xr6:coauthVersionMax="47" xr10:uidLastSave="{00000000-0000-0000-0000-000000000000}"/>
  <bookViews>
    <workbookView xWindow="7365" yWindow="1335" windowWidth="24135" windowHeight="19545" firstSheet="13" activeTab="19" xr2:uid="{00000000-000D-0000-FFFF-FFFF00000000}"/>
  </bookViews>
  <sheets>
    <sheet name="Parameters" sheetId="1" r:id="rId1"/>
    <sheet name="Mile" sheetId="28" r:id="rId2"/>
    <sheet name="5K" sheetId="2" r:id="rId3"/>
    <sheet name="6K" sheetId="3" r:id="rId4"/>
    <sheet name="4MI" sheetId="4" r:id="rId5"/>
    <sheet name="8K" sheetId="5" r:id="rId6"/>
    <sheet name="5MI" sheetId="6" r:id="rId7"/>
    <sheet name="10K" sheetId="7" r:id="rId8"/>
    <sheet name="12K" sheetId="8" r:id="rId9"/>
    <sheet name="15K" sheetId="9" r:id="rId10"/>
    <sheet name="10MI" sheetId="10" r:id="rId11"/>
    <sheet name="20K" sheetId="11" r:id="rId12"/>
    <sheet name="H.Marathon" sheetId="12" r:id="rId13"/>
    <sheet name="25K" sheetId="13" r:id="rId14"/>
    <sheet name="30K" sheetId="14" r:id="rId15"/>
    <sheet name="Marathon" sheetId="15" r:id="rId16"/>
    <sheet name="50K" sheetId="16" r:id="rId17"/>
    <sheet name="100K" sheetId="17" r:id="rId18"/>
    <sheet name="200K" sheetId="18" r:id="rId19"/>
    <sheet name="Age Factors" sheetId="19" r:id="rId20"/>
    <sheet name="AgeStanSec" sheetId="20" r:id="rId21"/>
    <sheet name="Age Stan HMS" sheetId="22" r:id="rId22"/>
    <sheet name="Pace" sheetId="21" r:id="rId23"/>
    <sheet name="Perf" sheetId="23" r:id="rId24"/>
    <sheet name="2010 Perf" sheetId="25" r:id="rId25"/>
    <sheet name="Sheet1" sheetId="26" r:id="rId26"/>
  </sheets>
  <definedNames>
    <definedName name="AGE">'5K'!$A$7:$A$105</definedName>
    <definedName name="CHART_RANGE">'5K'!$A$4:$L$36</definedName>
    <definedName name="LEGEND_NAMES">'5K'!#REF!</definedName>
    <definedName name="MILE">Parameters!$B$7</definedName>
    <definedName name="MYCHART">'5K'!#REF!</definedName>
    <definedName name="OC">'5K'!$E$4</definedName>
    <definedName name="PROPOSED">'5K'!$D$7:$D$105</definedName>
    <definedName name="RECORDS">'10K'!$C$7:$C$111</definedName>
    <definedName name="WAVA">'5K'!#REF!</definedName>
  </definedName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5" i="19" l="1"/>
  <c r="P5" i="20"/>
  <c r="V4" i="20"/>
  <c r="V5" i="20" s="1"/>
  <c r="U4" i="20"/>
  <c r="U5" i="20" s="1"/>
  <c r="T4" i="20"/>
  <c r="T5" i="20" s="1"/>
  <c r="S4" i="20"/>
  <c r="S5" i="20" s="1"/>
  <c r="R4" i="20"/>
  <c r="R5" i="20" s="1"/>
  <c r="Q4" i="20"/>
  <c r="Q5" i="20" s="1"/>
  <c r="P4" i="20"/>
  <c r="O4" i="20"/>
  <c r="O5" i="20" s="1"/>
  <c r="N4" i="20"/>
  <c r="N5" i="20" s="1"/>
  <c r="M4" i="20"/>
  <c r="M5" i="20" s="1"/>
  <c r="L4" i="20"/>
  <c r="L5" i="20" s="1"/>
  <c r="K4" i="20"/>
  <c r="K5" i="20" s="1"/>
  <c r="J4" i="20"/>
  <c r="J5" i="20" s="1"/>
  <c r="I4" i="20"/>
  <c r="I5" i="20" s="1"/>
  <c r="H4" i="20"/>
  <c r="H5" i="20" s="1"/>
  <c r="G4" i="20"/>
  <c r="G5" i="20" s="1"/>
  <c r="F4" i="20"/>
  <c r="F5" i="20" s="1"/>
  <c r="E4" i="20"/>
  <c r="E5" i="20" s="1"/>
  <c r="D4" i="20"/>
  <c r="D5" i="20" s="1"/>
  <c r="C4" i="20"/>
  <c r="C5" i="20" s="1"/>
  <c r="B4" i="20"/>
  <c r="B5" i="20" s="1"/>
  <c r="B4" i="19"/>
  <c r="C4" i="19"/>
  <c r="B5" i="19"/>
  <c r="H9" i="28"/>
  <c r="C73" i="28" l="1"/>
  <c r="C55" i="28"/>
  <c r="C102" i="28"/>
  <c r="C98" i="28"/>
  <c r="C96" i="28"/>
  <c r="C95" i="28"/>
  <c r="C92" i="28"/>
  <c r="C91" i="28"/>
  <c r="C83" i="28"/>
  <c r="C36" i="28"/>
  <c r="C79" i="28"/>
  <c r="C78" i="28"/>
  <c r="D4" i="28" l="1"/>
  <c r="D9" i="15"/>
  <c r="J98" i="15" l="1"/>
  <c r="J97" i="15"/>
  <c r="J96" i="15"/>
  <c r="J95" i="15"/>
  <c r="J94" i="15"/>
  <c r="J93" i="15"/>
  <c r="J92" i="15"/>
  <c r="J91" i="15"/>
  <c r="J90" i="15"/>
  <c r="J89" i="15"/>
  <c r="J88" i="15"/>
  <c r="J87" i="15"/>
  <c r="J86" i="15"/>
  <c r="J85" i="15"/>
  <c r="J84" i="15"/>
  <c r="J83" i="15"/>
  <c r="J82" i="15"/>
  <c r="J81" i="15"/>
  <c r="J80" i="15"/>
  <c r="J79" i="15"/>
  <c r="J78" i="15"/>
  <c r="J77" i="15"/>
  <c r="J76" i="15"/>
  <c r="J75" i="15"/>
  <c r="J74" i="15"/>
  <c r="J73" i="15"/>
  <c r="J72" i="15"/>
  <c r="J71" i="15"/>
  <c r="J70" i="15"/>
  <c r="J69" i="15"/>
  <c r="J68" i="15"/>
  <c r="J67" i="15"/>
  <c r="J66" i="15"/>
  <c r="J65" i="15"/>
  <c r="J64" i="15"/>
  <c r="J63" i="15"/>
  <c r="J62" i="15"/>
  <c r="J61" i="15"/>
  <c r="J60" i="15"/>
  <c r="J59" i="15"/>
  <c r="J58" i="15"/>
  <c r="J57" i="15"/>
  <c r="J56" i="15"/>
  <c r="J55" i="15"/>
  <c r="J54" i="15"/>
  <c r="J53" i="15"/>
  <c r="J52" i="15"/>
  <c r="J51" i="15"/>
  <c r="J50" i="15"/>
  <c r="J49" i="15"/>
  <c r="J48" i="15"/>
  <c r="J47" i="15"/>
  <c r="J46" i="15"/>
  <c r="J45" i="15"/>
  <c r="J44" i="15"/>
  <c r="J43" i="15"/>
  <c r="J42" i="15"/>
  <c r="J41" i="15"/>
  <c r="J40" i="15"/>
  <c r="J39" i="15"/>
  <c r="J38" i="15"/>
  <c r="J37" i="15"/>
  <c r="J36" i="15"/>
  <c r="J35" i="15"/>
  <c r="J34" i="15"/>
  <c r="J33" i="15"/>
  <c r="J32" i="15"/>
  <c r="J31" i="15"/>
  <c r="J30" i="15"/>
  <c r="J29" i="15"/>
  <c r="J28" i="15"/>
  <c r="J27" i="15"/>
  <c r="J26" i="15"/>
  <c r="J25" i="15"/>
  <c r="J24" i="15"/>
  <c r="J23" i="15"/>
  <c r="J22" i="15"/>
  <c r="J21" i="15"/>
  <c r="J20" i="15"/>
  <c r="J19" i="15"/>
  <c r="J18" i="15"/>
  <c r="J17" i="15"/>
  <c r="J16" i="15"/>
  <c r="J15" i="15"/>
  <c r="J14" i="15"/>
  <c r="J13" i="15"/>
  <c r="J11" i="15"/>
  <c r="J10" i="15"/>
  <c r="J12" i="15"/>
  <c r="K33" i="15" l="1"/>
  <c r="K32" i="15"/>
  <c r="K31" i="15"/>
  <c r="K30" i="15"/>
  <c r="K29" i="15"/>
  <c r="K28" i="15"/>
  <c r="K27" i="15"/>
  <c r="K26" i="15"/>
  <c r="K25" i="15"/>
  <c r="K24" i="15"/>
  <c r="K23" i="15"/>
  <c r="K22" i="15"/>
  <c r="K21" i="15"/>
  <c r="K20" i="15"/>
  <c r="K19" i="15"/>
  <c r="K18" i="15"/>
  <c r="K17" i="15"/>
  <c r="K16" i="15"/>
  <c r="K15" i="15"/>
  <c r="K14" i="15"/>
  <c r="K13" i="15"/>
  <c r="K12" i="15"/>
  <c r="K11" i="15"/>
  <c r="C97" i="15" l="1"/>
  <c r="C11" i="15"/>
  <c r="C10" i="15"/>
  <c r="J97" i="12" l="1"/>
  <c r="J96" i="12"/>
  <c r="J95" i="12"/>
  <c r="J94" i="12"/>
  <c r="J93" i="12"/>
  <c r="J92" i="12"/>
  <c r="J91" i="12"/>
  <c r="J90" i="12"/>
  <c r="J89" i="12"/>
  <c r="J88" i="12"/>
  <c r="J87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J73" i="12"/>
  <c r="J72" i="12"/>
  <c r="J71" i="12"/>
  <c r="J70" i="12"/>
  <c r="J69" i="12"/>
  <c r="J68" i="12"/>
  <c r="J67" i="12"/>
  <c r="J66" i="12"/>
  <c r="J65" i="12"/>
  <c r="J64" i="12"/>
  <c r="J63" i="12"/>
  <c r="J62" i="12"/>
  <c r="J61" i="12"/>
  <c r="J60" i="12"/>
  <c r="J59" i="12"/>
  <c r="J58" i="12"/>
  <c r="J57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19" i="12"/>
  <c r="J18" i="12"/>
  <c r="J17" i="12"/>
  <c r="J16" i="12"/>
  <c r="J15" i="12"/>
  <c r="J14" i="12"/>
  <c r="J13" i="12"/>
  <c r="J12" i="12"/>
  <c r="J11" i="12"/>
  <c r="J20" i="12"/>
  <c r="C97" i="12"/>
  <c r="C96" i="12"/>
  <c r="C95" i="12"/>
  <c r="C94" i="12"/>
  <c r="C93" i="12"/>
  <c r="C92" i="12"/>
  <c r="C100" i="7" l="1"/>
  <c r="K100" i="7" s="1"/>
  <c r="C99" i="7"/>
  <c r="C97" i="7"/>
  <c r="C10" i="7"/>
  <c r="J100" i="7"/>
  <c r="K99" i="7"/>
  <c r="J99" i="7"/>
  <c r="K98" i="7"/>
  <c r="J98" i="7"/>
  <c r="K97" i="7"/>
  <c r="J97" i="7"/>
  <c r="K96" i="7"/>
  <c r="J96" i="7"/>
  <c r="K95" i="7"/>
  <c r="J95" i="7"/>
  <c r="K94" i="7"/>
  <c r="J94" i="7"/>
  <c r="K93" i="7"/>
  <c r="J93" i="7"/>
  <c r="K92" i="7"/>
  <c r="J92" i="7"/>
  <c r="K91" i="7"/>
  <c r="J91" i="7"/>
  <c r="K90" i="7"/>
  <c r="J90" i="7"/>
  <c r="K89" i="7"/>
  <c r="J89" i="7"/>
  <c r="K88" i="7"/>
  <c r="J88" i="7"/>
  <c r="K87" i="7"/>
  <c r="J87" i="7"/>
  <c r="K86" i="7"/>
  <c r="J86" i="7"/>
  <c r="K85" i="7"/>
  <c r="J85" i="7"/>
  <c r="K84" i="7"/>
  <c r="J84" i="7"/>
  <c r="K83" i="7"/>
  <c r="J83" i="7"/>
  <c r="K82" i="7"/>
  <c r="J82" i="7"/>
  <c r="K81" i="7"/>
  <c r="J81" i="7"/>
  <c r="K80" i="7"/>
  <c r="J80" i="7"/>
  <c r="K79" i="7"/>
  <c r="J79" i="7"/>
  <c r="K78" i="7"/>
  <c r="J78" i="7"/>
  <c r="K77" i="7"/>
  <c r="J77" i="7"/>
  <c r="K76" i="7"/>
  <c r="J76" i="7"/>
  <c r="K75" i="7"/>
  <c r="J75" i="7"/>
  <c r="K74" i="7"/>
  <c r="J74" i="7"/>
  <c r="K73" i="7"/>
  <c r="J73" i="7"/>
  <c r="K72" i="7"/>
  <c r="J72" i="7"/>
  <c r="K71" i="7"/>
  <c r="J71" i="7"/>
  <c r="K70" i="7"/>
  <c r="J70" i="7"/>
  <c r="K69" i="7"/>
  <c r="J69" i="7"/>
  <c r="K68" i="7"/>
  <c r="J68" i="7"/>
  <c r="K67" i="7"/>
  <c r="J67" i="7"/>
  <c r="K66" i="7"/>
  <c r="J66" i="7"/>
  <c r="K65" i="7"/>
  <c r="J65" i="7"/>
  <c r="K64" i="7"/>
  <c r="J64" i="7"/>
  <c r="K63" i="7"/>
  <c r="J63" i="7"/>
  <c r="K62" i="7"/>
  <c r="J62" i="7"/>
  <c r="K61" i="7"/>
  <c r="J61" i="7"/>
  <c r="K60" i="7"/>
  <c r="J60" i="7"/>
  <c r="K59" i="7"/>
  <c r="J59" i="7"/>
  <c r="K58" i="7"/>
  <c r="J58" i="7"/>
  <c r="K57" i="7"/>
  <c r="J57" i="7"/>
  <c r="K56" i="7"/>
  <c r="J56" i="7"/>
  <c r="K55" i="7"/>
  <c r="J55" i="7"/>
  <c r="K54" i="7"/>
  <c r="J54" i="7"/>
  <c r="K53" i="7"/>
  <c r="J53" i="7"/>
  <c r="K52" i="7"/>
  <c r="J52" i="7"/>
  <c r="K51" i="7"/>
  <c r="J51" i="7"/>
  <c r="K50" i="7"/>
  <c r="J50" i="7"/>
  <c r="K49" i="7"/>
  <c r="J49" i="7"/>
  <c r="K48" i="7"/>
  <c r="J48" i="7"/>
  <c r="K47" i="7"/>
  <c r="J47" i="7"/>
  <c r="K46" i="7"/>
  <c r="J46" i="7"/>
  <c r="K45" i="7"/>
  <c r="J45" i="7"/>
  <c r="K44" i="7"/>
  <c r="J44" i="7"/>
  <c r="K43" i="7"/>
  <c r="J43" i="7"/>
  <c r="K42" i="7"/>
  <c r="J42" i="7"/>
  <c r="K41" i="7"/>
  <c r="J41" i="7"/>
  <c r="K40" i="7"/>
  <c r="J40" i="7"/>
  <c r="K39" i="7"/>
  <c r="J39" i="7"/>
  <c r="K38" i="7"/>
  <c r="J38" i="7"/>
  <c r="K37" i="7"/>
  <c r="J37" i="7"/>
  <c r="K36" i="7"/>
  <c r="J36" i="7"/>
  <c r="K35" i="7"/>
  <c r="J35" i="7"/>
  <c r="K34" i="7"/>
  <c r="J34" i="7"/>
  <c r="K33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8" i="7"/>
  <c r="J17" i="7"/>
  <c r="J16" i="7"/>
  <c r="J15" i="7"/>
  <c r="J14" i="7"/>
  <c r="J13" i="7"/>
  <c r="J12" i="7"/>
  <c r="J10" i="7"/>
  <c r="D11" i="1" l="1"/>
  <c r="D10" i="1"/>
  <c r="D9" i="1"/>
  <c r="D8" i="1"/>
  <c r="D7" i="1"/>
  <c r="D6" i="1"/>
  <c r="K2" i="3" l="1"/>
  <c r="K2" i="5"/>
  <c r="K2" i="8"/>
  <c r="K2" i="9"/>
  <c r="K2" i="13"/>
  <c r="K2" i="14"/>
  <c r="K2" i="11"/>
  <c r="Z19" i="1"/>
  <c r="D4" i="6"/>
  <c r="D4" i="3" l="1"/>
  <c r="D4" i="2"/>
  <c r="E4" i="2" s="1"/>
  <c r="E5" i="2" s="1"/>
  <c r="F2" i="2"/>
  <c r="F2" i="28"/>
  <c r="D4" i="7"/>
  <c r="E4" i="7"/>
  <c r="F2" i="7"/>
  <c r="F3" i="2"/>
  <c r="G2" i="7"/>
  <c r="G2" i="6" l="1"/>
  <c r="C12" i="7"/>
  <c r="F3" i="7"/>
  <c r="E32" i="7"/>
  <c r="L6" i="1"/>
  <c r="G3" i="14"/>
  <c r="F3" i="14"/>
  <c r="G2" i="14"/>
  <c r="F2" i="14"/>
  <c r="G3" i="12"/>
  <c r="F3" i="12"/>
  <c r="G2" i="12"/>
  <c r="F2" i="12"/>
  <c r="G3" i="11"/>
  <c r="F3" i="11"/>
  <c r="G2" i="11"/>
  <c r="F2" i="11"/>
  <c r="G3" i="10"/>
  <c r="F3" i="10"/>
  <c r="G2" i="10"/>
  <c r="F2" i="10"/>
  <c r="G3" i="9"/>
  <c r="F3" i="9"/>
  <c r="G2" i="9"/>
  <c r="F2" i="9"/>
  <c r="G3" i="8"/>
  <c r="F3" i="8"/>
  <c r="G2" i="8"/>
  <c r="F2" i="8"/>
  <c r="G3" i="6"/>
  <c r="F3" i="6"/>
  <c r="F2" i="6"/>
  <c r="G3" i="5"/>
  <c r="F3" i="5"/>
  <c r="G2" i="5"/>
  <c r="F2" i="5"/>
  <c r="G3" i="4"/>
  <c r="F3" i="4"/>
  <c r="G2" i="4"/>
  <c r="F2" i="4"/>
  <c r="G3" i="3"/>
  <c r="F3" i="3"/>
  <c r="G2" i="3"/>
  <c r="F2" i="3"/>
  <c r="G3" i="2"/>
  <c r="G2" i="2"/>
  <c r="J18" i="1" l="1"/>
  <c r="H18" i="1"/>
  <c r="C89" i="14"/>
  <c r="C88" i="14"/>
  <c r="C87" i="14"/>
  <c r="C85" i="14"/>
  <c r="C84" i="14"/>
  <c r="C85" i="13"/>
  <c r="C84" i="13"/>
  <c r="C83" i="13"/>
  <c r="C82" i="13"/>
  <c r="D17" i="1" l="1"/>
  <c r="F17" i="1"/>
  <c r="C98" i="7" l="1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12" i="15" l="1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8" i="15"/>
  <c r="C3" i="19" l="1"/>
  <c r="D3" i="19"/>
  <c r="F3" i="19"/>
  <c r="H3" i="19"/>
  <c r="I3" i="19"/>
  <c r="J3" i="19"/>
  <c r="L3" i="19"/>
  <c r="M3" i="19"/>
  <c r="N3" i="19"/>
  <c r="O3" i="19"/>
  <c r="P3" i="19"/>
  <c r="Q3" i="19"/>
  <c r="S3" i="19"/>
  <c r="T3" i="19"/>
  <c r="V3" i="19"/>
  <c r="C88" i="28" l="1"/>
  <c r="C87" i="28"/>
  <c r="C86" i="28"/>
  <c r="C82" i="28"/>
  <c r="C81" i="28"/>
  <c r="C77" i="28"/>
  <c r="C76" i="28"/>
  <c r="C75" i="28"/>
  <c r="C74" i="28"/>
  <c r="C72" i="28"/>
  <c r="C71" i="28"/>
  <c r="C70" i="28"/>
  <c r="C69" i="28"/>
  <c r="C68" i="28"/>
  <c r="C67" i="28"/>
  <c r="C66" i="28"/>
  <c r="C65" i="28"/>
  <c r="C64" i="28"/>
  <c r="C63" i="28"/>
  <c r="C62" i="28"/>
  <c r="C61" i="28"/>
  <c r="C60" i="28"/>
  <c r="C59" i="28"/>
  <c r="C58" i="28"/>
  <c r="C57" i="28"/>
  <c r="C56" i="28"/>
  <c r="C54" i="28"/>
  <c r="C53" i="28"/>
  <c r="C52" i="28"/>
  <c r="C51" i="28"/>
  <c r="C50" i="28"/>
  <c r="C49" i="28"/>
  <c r="C48" i="28"/>
  <c r="C47" i="28"/>
  <c r="C46" i="28"/>
  <c r="S17" i="1" l="1"/>
  <c r="S16" i="1"/>
  <c r="P17" i="1"/>
  <c r="V3" i="22" l="1"/>
  <c r="T3" i="22"/>
  <c r="S3" i="22"/>
  <c r="Q3" i="22"/>
  <c r="P3" i="22"/>
  <c r="O3" i="22"/>
  <c r="N3" i="22"/>
  <c r="M3" i="22"/>
  <c r="L3" i="22"/>
  <c r="J3" i="22"/>
  <c r="I3" i="22"/>
  <c r="H3" i="22"/>
  <c r="F3" i="22"/>
  <c r="D3" i="22"/>
  <c r="C3" i="22"/>
  <c r="V3" i="20"/>
  <c r="T3" i="20"/>
  <c r="S3" i="20"/>
  <c r="Q3" i="20"/>
  <c r="P3" i="20"/>
  <c r="O3" i="20"/>
  <c r="N3" i="20"/>
  <c r="M3" i="20"/>
  <c r="L3" i="20"/>
  <c r="J3" i="20"/>
  <c r="I3" i="20"/>
  <c r="H3" i="20"/>
  <c r="F3" i="20"/>
  <c r="D3" i="20"/>
  <c r="C3" i="20"/>
  <c r="F12" i="1"/>
  <c r="H12" i="1" l="1"/>
  <c r="J12" i="1"/>
  <c r="D12" i="1"/>
  <c r="C12" i="1" s="1"/>
  <c r="C95" i="2" l="1"/>
  <c r="J95" i="2" s="1"/>
  <c r="C94" i="2"/>
  <c r="J94" i="2" s="1"/>
  <c r="C93" i="2"/>
  <c r="J93" i="2" s="1"/>
  <c r="E32" i="28" l="1"/>
  <c r="B27" i="19" s="1"/>
  <c r="B27" i="20" s="1"/>
  <c r="B27" i="22" s="1"/>
  <c r="E31" i="28"/>
  <c r="B26" i="19" s="1"/>
  <c r="B26" i="20" s="1"/>
  <c r="B26" i="22" s="1"/>
  <c r="E30" i="28"/>
  <c r="B25" i="19" s="1"/>
  <c r="B25" i="20" s="1"/>
  <c r="B25" i="22" s="1"/>
  <c r="E29" i="28"/>
  <c r="B24" i="19" s="1"/>
  <c r="B24" i="20" s="1"/>
  <c r="B24" i="22" s="1"/>
  <c r="E28" i="28"/>
  <c r="B23" i="19" s="1"/>
  <c r="B23" i="20" s="1"/>
  <c r="B23" i="22" s="1"/>
  <c r="E27" i="28"/>
  <c r="B22" i="19" s="1"/>
  <c r="B22" i="20" s="1"/>
  <c r="B22" i="22" s="1"/>
  <c r="E26" i="28"/>
  <c r="B21" i="19" s="1"/>
  <c r="B21" i="20" s="1"/>
  <c r="B21" i="22" s="1"/>
  <c r="E4" i="28"/>
  <c r="F3" i="28"/>
  <c r="E19" i="28"/>
  <c r="B14" i="19" s="1"/>
  <c r="B14" i="20" s="1"/>
  <c r="B14" i="22" s="1"/>
  <c r="E5" i="28" l="1"/>
  <c r="E23" i="28"/>
  <c r="B18" i="19" s="1"/>
  <c r="B18" i="20" s="1"/>
  <c r="B18" i="22" s="1"/>
  <c r="D29" i="28"/>
  <c r="E12" i="28"/>
  <c r="E16" i="28"/>
  <c r="E20" i="28"/>
  <c r="E24" i="28"/>
  <c r="E9" i="28"/>
  <c r="D9" i="28" s="1"/>
  <c r="E13" i="28"/>
  <c r="E17" i="28"/>
  <c r="E21" i="28"/>
  <c r="E25" i="28"/>
  <c r="D26" i="28"/>
  <c r="D30" i="28"/>
  <c r="E10" i="28"/>
  <c r="D10" i="28" s="1"/>
  <c r="E14" i="28"/>
  <c r="E18" i="28"/>
  <c r="E22" i="28"/>
  <c r="D19" i="28"/>
  <c r="D27" i="28"/>
  <c r="D31" i="28"/>
  <c r="E11" i="28"/>
  <c r="E15" i="28"/>
  <c r="D28" i="28"/>
  <c r="D32" i="28"/>
  <c r="D18" i="28" l="1"/>
  <c r="B13" i="19"/>
  <c r="B13" i="20" s="1"/>
  <c r="B13" i="22" s="1"/>
  <c r="D25" i="28"/>
  <c r="B20" i="19"/>
  <c r="B20" i="20" s="1"/>
  <c r="B20" i="22" s="1"/>
  <c r="D11" i="28"/>
  <c r="B6" i="19"/>
  <c r="B6" i="20" s="1"/>
  <c r="B6" i="22" s="1"/>
  <c r="D13" i="28"/>
  <c r="B8" i="19"/>
  <c r="B8" i="20" s="1"/>
  <c r="B8" i="22" s="1"/>
  <c r="D22" i="28"/>
  <c r="B17" i="19"/>
  <c r="B17" i="20" s="1"/>
  <c r="B17" i="22" s="1"/>
  <c r="D17" i="28"/>
  <c r="B12" i="19"/>
  <c r="B12" i="20" s="1"/>
  <c r="B12" i="22" s="1"/>
  <c r="D20" i="28"/>
  <c r="B15" i="19"/>
  <c r="B15" i="20" s="1"/>
  <c r="B15" i="22" s="1"/>
  <c r="D12" i="28"/>
  <c r="B7" i="19"/>
  <c r="B7" i="20" s="1"/>
  <c r="B7" i="22" s="1"/>
  <c r="D14" i="28"/>
  <c r="B9" i="19"/>
  <c r="B9" i="20" s="1"/>
  <c r="B9" i="22" s="1"/>
  <c r="D21" i="28"/>
  <c r="B16" i="19"/>
  <c r="B16" i="20" s="1"/>
  <c r="B16" i="22" s="1"/>
  <c r="D24" i="28"/>
  <c r="B19" i="19"/>
  <c r="B19" i="20" s="1"/>
  <c r="B19" i="22" s="1"/>
  <c r="D16" i="28"/>
  <c r="B11" i="19"/>
  <c r="B11" i="20" s="1"/>
  <c r="B11" i="22" s="1"/>
  <c r="D15" i="28"/>
  <c r="B10" i="19"/>
  <c r="B10" i="20" s="1"/>
  <c r="B10" i="22" s="1"/>
  <c r="D23" i="28"/>
  <c r="C18" i="9"/>
  <c r="C16" i="9"/>
  <c r="C15" i="9"/>
  <c r="C14" i="9"/>
  <c r="C13" i="9"/>
  <c r="C11" i="12" l="1"/>
  <c r="C88" i="5" l="1"/>
  <c r="C9" i="2" l="1"/>
  <c r="C100" i="2" l="1"/>
  <c r="J100" i="2" s="1"/>
  <c r="C98" i="2"/>
  <c r="J98" i="2" s="1"/>
  <c r="C97" i="2"/>
  <c r="J97" i="2" s="1"/>
  <c r="C96" i="2"/>
  <c r="J96" i="2" s="1"/>
  <c r="Z10" i="1" l="1"/>
  <c r="Z26" i="1" s="1"/>
  <c r="Z9" i="1"/>
  <c r="Z23" i="1" l="1"/>
  <c r="Z16" i="1"/>
  <c r="Z7" i="1"/>
  <c r="Z24" i="1"/>
  <c r="Z13" i="1"/>
  <c r="Z14" i="1"/>
  <c r="Z25" i="1"/>
  <c r="Z11" i="1"/>
  <c r="Z22" i="1" s="1"/>
  <c r="G3" i="15"/>
  <c r="F3" i="15"/>
  <c r="G2" i="15"/>
  <c r="E86" i="15" s="1"/>
  <c r="F2" i="15"/>
  <c r="F3" i="13"/>
  <c r="F2" i="13"/>
  <c r="G3" i="7"/>
  <c r="E39" i="7" s="1"/>
  <c r="C89" i="12" l="1"/>
  <c r="C88" i="12"/>
  <c r="C87" i="12"/>
  <c r="C83" i="14"/>
  <c r="C81" i="14"/>
  <c r="C80" i="14"/>
  <c r="C79" i="14"/>
  <c r="C78" i="14"/>
  <c r="C77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14" i="14"/>
  <c r="C81" i="13"/>
  <c r="C80" i="13"/>
  <c r="C79" i="13"/>
  <c r="C78" i="13"/>
  <c r="C77" i="13"/>
  <c r="C76" i="13"/>
  <c r="C75" i="13"/>
  <c r="C74" i="13"/>
  <c r="C73" i="13"/>
  <c r="C72" i="13"/>
  <c r="C71" i="13"/>
  <c r="C70" i="13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19" i="13"/>
  <c r="C18" i="13"/>
  <c r="C15" i="13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90" i="12"/>
  <c r="C91" i="12"/>
  <c r="C86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3" i="11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5" i="10"/>
  <c r="C14" i="10"/>
  <c r="C13" i="10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2" i="8"/>
  <c r="C90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1" i="8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91" i="5"/>
  <c r="C90" i="5"/>
  <c r="C89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19" i="5"/>
  <c r="C18" i="5"/>
  <c r="C17" i="5"/>
  <c r="C16" i="5"/>
  <c r="C15" i="5"/>
  <c r="C14" i="5"/>
  <c r="C13" i="5"/>
  <c r="C12" i="5"/>
  <c r="C92" i="2"/>
  <c r="J92" i="2" s="1"/>
  <c r="C91" i="2"/>
  <c r="J91" i="2" s="1"/>
  <c r="C90" i="2"/>
  <c r="J90" i="2" s="1"/>
  <c r="C89" i="2"/>
  <c r="J89" i="2" s="1"/>
  <c r="C88" i="2"/>
  <c r="J88" i="2" s="1"/>
  <c r="C87" i="2"/>
  <c r="J87" i="2" s="1"/>
  <c r="C86" i="2"/>
  <c r="J86" i="2" s="1"/>
  <c r="C85" i="2"/>
  <c r="J85" i="2" s="1"/>
  <c r="C84" i="2"/>
  <c r="J84" i="2" s="1"/>
  <c r="C83" i="2"/>
  <c r="J83" i="2" s="1"/>
  <c r="C82" i="2"/>
  <c r="J82" i="2" s="1"/>
  <c r="C81" i="2"/>
  <c r="J81" i="2" s="1"/>
  <c r="C80" i="2"/>
  <c r="J80" i="2" s="1"/>
  <c r="C79" i="2"/>
  <c r="J79" i="2" s="1"/>
  <c r="C78" i="2"/>
  <c r="J78" i="2" s="1"/>
  <c r="C77" i="2"/>
  <c r="J77" i="2" s="1"/>
  <c r="C76" i="2"/>
  <c r="J76" i="2" s="1"/>
  <c r="C75" i="2"/>
  <c r="J75" i="2" s="1"/>
  <c r="C74" i="2"/>
  <c r="J74" i="2" s="1"/>
  <c r="C73" i="2"/>
  <c r="J73" i="2" s="1"/>
  <c r="C72" i="2"/>
  <c r="J72" i="2" s="1"/>
  <c r="C71" i="2"/>
  <c r="J71" i="2" s="1"/>
  <c r="C70" i="2"/>
  <c r="J70" i="2" s="1"/>
  <c r="C69" i="2"/>
  <c r="J69" i="2" s="1"/>
  <c r="C68" i="2"/>
  <c r="J68" i="2" s="1"/>
  <c r="C67" i="2"/>
  <c r="J67" i="2" s="1"/>
  <c r="C66" i="2"/>
  <c r="J66" i="2" s="1"/>
  <c r="C65" i="2"/>
  <c r="J65" i="2" s="1"/>
  <c r="C64" i="2"/>
  <c r="J64" i="2" s="1"/>
  <c r="C63" i="2"/>
  <c r="J63" i="2" s="1"/>
  <c r="C62" i="2"/>
  <c r="J62" i="2" s="1"/>
  <c r="C61" i="2"/>
  <c r="J61" i="2" s="1"/>
  <c r="C60" i="2"/>
  <c r="J60" i="2" s="1"/>
  <c r="C59" i="2"/>
  <c r="J59" i="2" s="1"/>
  <c r="C58" i="2"/>
  <c r="J58" i="2" s="1"/>
  <c r="C57" i="2"/>
  <c r="J57" i="2" s="1"/>
  <c r="C56" i="2"/>
  <c r="J56" i="2" s="1"/>
  <c r="C55" i="2"/>
  <c r="J55" i="2" s="1"/>
  <c r="C54" i="2"/>
  <c r="J54" i="2" s="1"/>
  <c r="C53" i="2"/>
  <c r="J53" i="2" s="1"/>
  <c r="C52" i="2"/>
  <c r="J52" i="2" s="1"/>
  <c r="C51" i="2"/>
  <c r="J51" i="2" s="1"/>
  <c r="C50" i="2"/>
  <c r="J50" i="2" s="1"/>
  <c r="C49" i="2"/>
  <c r="J49" i="2" s="1"/>
  <c r="C48" i="2"/>
  <c r="J48" i="2" s="1"/>
  <c r="C47" i="2"/>
  <c r="J47" i="2" s="1"/>
  <c r="C46" i="2"/>
  <c r="J46" i="2" s="1"/>
  <c r="C45" i="2"/>
  <c r="J45" i="2" s="1"/>
  <c r="C44" i="2"/>
  <c r="J44" i="2" s="1"/>
  <c r="C43" i="2"/>
  <c r="J43" i="2" s="1"/>
  <c r="C42" i="2"/>
  <c r="J42" i="2" s="1"/>
  <c r="C41" i="2"/>
  <c r="J41" i="2" s="1"/>
  <c r="C40" i="2"/>
  <c r="J40" i="2" s="1"/>
  <c r="C39" i="2"/>
  <c r="J39" i="2" s="1"/>
  <c r="C38" i="2"/>
  <c r="J38" i="2" s="1"/>
  <c r="C37" i="2"/>
  <c r="J37" i="2" s="1"/>
  <c r="C36" i="2"/>
  <c r="J36" i="2" s="1"/>
  <c r="C35" i="2"/>
  <c r="J35" i="2" s="1"/>
  <c r="C34" i="2"/>
  <c r="J34" i="2" s="1"/>
  <c r="C33" i="2"/>
  <c r="J33" i="2" s="1"/>
  <c r="C32" i="2"/>
  <c r="J32" i="2" s="1"/>
  <c r="C31" i="2"/>
  <c r="J31" i="2" s="1"/>
  <c r="C30" i="2"/>
  <c r="J30" i="2" s="1"/>
  <c r="C29" i="2"/>
  <c r="J29" i="2" s="1"/>
  <c r="C28" i="2"/>
  <c r="J28" i="2" s="1"/>
  <c r="C27" i="2"/>
  <c r="J27" i="2" s="1"/>
  <c r="C26" i="2"/>
  <c r="J26" i="2" s="1"/>
  <c r="C25" i="2"/>
  <c r="J25" i="2" s="1"/>
  <c r="C24" i="2"/>
  <c r="J24" i="2" s="1"/>
  <c r="C23" i="2"/>
  <c r="J23" i="2" s="1"/>
  <c r="C22" i="2"/>
  <c r="J22" i="2" s="1"/>
  <c r="C21" i="2"/>
  <c r="J21" i="2" s="1"/>
  <c r="C20" i="2"/>
  <c r="J20" i="2" s="1"/>
  <c r="C19" i="2"/>
  <c r="J19" i="2" s="1"/>
  <c r="C18" i="2"/>
  <c r="J18" i="2" s="1"/>
  <c r="C17" i="2"/>
  <c r="J17" i="2" s="1"/>
  <c r="C16" i="2"/>
  <c r="J16" i="2" s="1"/>
  <c r="C15" i="2"/>
  <c r="J15" i="2" s="1"/>
  <c r="C14" i="2"/>
  <c r="J14" i="2" s="1"/>
  <c r="C13" i="2"/>
  <c r="J13" i="2" s="1"/>
  <c r="C12" i="2"/>
  <c r="J12" i="2" s="1"/>
  <c r="C11" i="2"/>
  <c r="J11" i="2" s="1"/>
  <c r="C10" i="2"/>
  <c r="H32" i="1"/>
  <c r="V4" i="19" s="1"/>
  <c r="V5" i="19" s="1"/>
  <c r="H31" i="1"/>
  <c r="U4" i="19" s="1"/>
  <c r="U5" i="19" s="1"/>
  <c r="H30" i="1"/>
  <c r="T4" i="19" s="1"/>
  <c r="T5" i="19" s="1"/>
  <c r="H29" i="1"/>
  <c r="S4" i="19" s="1"/>
  <c r="S5" i="19" s="1"/>
  <c r="H28" i="1"/>
  <c r="R4" i="19" s="1"/>
  <c r="R5" i="19" s="1"/>
  <c r="H27" i="1"/>
  <c r="Q4" i="19" s="1"/>
  <c r="Q5" i="19" s="1"/>
  <c r="H26" i="1"/>
  <c r="P4" i="19" s="1"/>
  <c r="P5" i="19" s="1"/>
  <c r="H25" i="1"/>
  <c r="O4" i="19" s="1"/>
  <c r="O5" i="19" s="1"/>
  <c r="H24" i="1"/>
  <c r="N4" i="19" s="1"/>
  <c r="N5" i="19" s="1"/>
  <c r="H23" i="1"/>
  <c r="M4" i="19" s="1"/>
  <c r="M5" i="19" s="1"/>
  <c r="H22" i="1"/>
  <c r="L4" i="19" s="1"/>
  <c r="L5" i="19" s="1"/>
  <c r="H21" i="1"/>
  <c r="K4" i="19" s="1"/>
  <c r="K5" i="19" s="1"/>
  <c r="H20" i="1"/>
  <c r="J4" i="19" s="1"/>
  <c r="J5" i="19" s="1"/>
  <c r="H19" i="1"/>
  <c r="I4" i="19" s="1"/>
  <c r="I5" i="19" s="1"/>
  <c r="H4" i="19"/>
  <c r="H5" i="19" s="1"/>
  <c r="H17" i="1"/>
  <c r="G4" i="19" s="1"/>
  <c r="G5" i="19" s="1"/>
  <c r="H16" i="1"/>
  <c r="F4" i="19" s="1"/>
  <c r="F5" i="19" s="1"/>
  <c r="H15" i="1"/>
  <c r="E4" i="19" s="1"/>
  <c r="E5" i="19" s="1"/>
  <c r="H14" i="1"/>
  <c r="D4" i="19" s="1"/>
  <c r="D5" i="19" s="1"/>
  <c r="H13" i="1"/>
  <c r="C5" i="19" s="1"/>
  <c r="H11" i="1"/>
  <c r="H10" i="1"/>
  <c r="H9" i="1"/>
  <c r="H7" i="1"/>
  <c r="H8" i="1"/>
  <c r="H6" i="1"/>
  <c r="H5" i="1"/>
  <c r="H4" i="1"/>
  <c r="H3" i="1"/>
  <c r="H2" i="1"/>
  <c r="D32" i="1"/>
  <c r="D31" i="1"/>
  <c r="D30" i="1"/>
  <c r="D29" i="1"/>
  <c r="D28" i="1"/>
  <c r="D27" i="1"/>
  <c r="D26" i="1"/>
  <c r="D25" i="1"/>
  <c r="AO25" i="1" s="1"/>
  <c r="D24" i="1"/>
  <c r="C24" i="1" s="1"/>
  <c r="D23" i="1"/>
  <c r="AO23" i="1" s="1"/>
  <c r="D22" i="1"/>
  <c r="D21" i="1"/>
  <c r="D20" i="1"/>
  <c r="AO20" i="1" s="1"/>
  <c r="D19" i="1"/>
  <c r="AO19" i="1" s="1"/>
  <c r="D18" i="1"/>
  <c r="D16" i="1"/>
  <c r="D13" i="1"/>
  <c r="C13" i="1" s="1"/>
  <c r="C10" i="1"/>
  <c r="F32" i="1"/>
  <c r="F31" i="1"/>
  <c r="F30" i="1"/>
  <c r="F29" i="1"/>
  <c r="F28" i="1"/>
  <c r="F27" i="1"/>
  <c r="F26" i="1"/>
  <c r="AF26" i="1" s="1"/>
  <c r="AG26" i="1" s="1"/>
  <c r="F25" i="1"/>
  <c r="F24" i="1"/>
  <c r="F23" i="1"/>
  <c r="F22" i="1"/>
  <c r="F21" i="1"/>
  <c r="F20" i="1"/>
  <c r="F19" i="1"/>
  <c r="F18" i="1"/>
  <c r="F16" i="1"/>
  <c r="F13" i="1"/>
  <c r="F11" i="1"/>
  <c r="F10" i="1"/>
  <c r="F9" i="1"/>
  <c r="C9" i="1" s="1"/>
  <c r="F8" i="1"/>
  <c r="C8" i="1" s="1"/>
  <c r="F2" i="17"/>
  <c r="E10" i="17" s="1"/>
  <c r="G2" i="17"/>
  <c r="F3" i="17"/>
  <c r="G3" i="17"/>
  <c r="E36" i="17" s="1"/>
  <c r="D4" i="17"/>
  <c r="C33" i="17"/>
  <c r="E33" i="17"/>
  <c r="E34" i="17"/>
  <c r="E35" i="17"/>
  <c r="E37" i="17"/>
  <c r="E38" i="17"/>
  <c r="E39" i="17"/>
  <c r="E40" i="17"/>
  <c r="C41" i="17"/>
  <c r="E41" i="17"/>
  <c r="E42" i="17"/>
  <c r="E43" i="17"/>
  <c r="E44" i="17"/>
  <c r="E45" i="17"/>
  <c r="C46" i="17"/>
  <c r="E46" i="17"/>
  <c r="E47" i="17"/>
  <c r="E48" i="17"/>
  <c r="E49" i="17"/>
  <c r="E50" i="17"/>
  <c r="C51" i="17"/>
  <c r="E51" i="17"/>
  <c r="E53" i="17"/>
  <c r="C56" i="17"/>
  <c r="E56" i="17"/>
  <c r="E60" i="17"/>
  <c r="C61" i="17"/>
  <c r="E63" i="17"/>
  <c r="C66" i="17"/>
  <c r="E66" i="17"/>
  <c r="E70" i="17"/>
  <c r="C71" i="17"/>
  <c r="E73" i="17"/>
  <c r="C76" i="17"/>
  <c r="E76" i="17"/>
  <c r="E80" i="17"/>
  <c r="E84" i="17"/>
  <c r="C86" i="17"/>
  <c r="E87" i="17"/>
  <c r="C91" i="17"/>
  <c r="E94" i="17"/>
  <c r="E98" i="17"/>
  <c r="E102" i="17"/>
  <c r="E106" i="17"/>
  <c r="D4" i="10"/>
  <c r="E4" i="10" s="1"/>
  <c r="D4" i="8"/>
  <c r="E4" i="8" s="1"/>
  <c r="D4" i="9"/>
  <c r="E4" i="9" s="1"/>
  <c r="F2" i="18"/>
  <c r="E13" i="18" s="1"/>
  <c r="G2" i="18"/>
  <c r="F3" i="18"/>
  <c r="G3" i="18"/>
  <c r="E36" i="18" s="1"/>
  <c r="D4" i="18"/>
  <c r="E4" i="18" s="1"/>
  <c r="E10" i="18"/>
  <c r="E18" i="18"/>
  <c r="E21" i="18"/>
  <c r="E26" i="18"/>
  <c r="E29" i="18"/>
  <c r="E33" i="18"/>
  <c r="E34" i="18"/>
  <c r="E39" i="18"/>
  <c r="E45" i="18"/>
  <c r="C48" i="18"/>
  <c r="E49" i="18"/>
  <c r="C51" i="18"/>
  <c r="C55" i="18"/>
  <c r="C57" i="18"/>
  <c r="E62" i="18"/>
  <c r="E66" i="18"/>
  <c r="E78" i="18"/>
  <c r="E82" i="18"/>
  <c r="E94" i="18"/>
  <c r="E98" i="18"/>
  <c r="D4" i="11"/>
  <c r="E4" i="11" s="1"/>
  <c r="D4" i="13"/>
  <c r="E4" i="13" s="1"/>
  <c r="D4" i="14"/>
  <c r="E4" i="14" s="1"/>
  <c r="D4" i="4"/>
  <c r="E4" i="4" s="1"/>
  <c r="F2" i="16"/>
  <c r="E10" i="16" s="1"/>
  <c r="G2" i="16"/>
  <c r="F3" i="16"/>
  <c r="G3" i="16"/>
  <c r="E38" i="16" s="1"/>
  <c r="E35" i="16"/>
  <c r="D4" i="16"/>
  <c r="E4" i="16" s="1"/>
  <c r="C33" i="16"/>
  <c r="E34" i="16"/>
  <c r="E36" i="16"/>
  <c r="C41" i="16"/>
  <c r="C46" i="16"/>
  <c r="E46" i="16"/>
  <c r="C51" i="16"/>
  <c r="E51" i="16"/>
  <c r="C53" i="16"/>
  <c r="E54" i="16"/>
  <c r="C56" i="16"/>
  <c r="E57" i="16"/>
  <c r="E59" i="16"/>
  <c r="C61" i="16"/>
  <c r="E62" i="16"/>
  <c r="E64" i="16"/>
  <c r="C66" i="16"/>
  <c r="E67" i="16"/>
  <c r="E69" i="16"/>
  <c r="C71" i="16"/>
  <c r="E72" i="16"/>
  <c r="C73" i="16"/>
  <c r="E73" i="16"/>
  <c r="E75" i="16"/>
  <c r="C76" i="16"/>
  <c r="E76" i="16"/>
  <c r="E78" i="16"/>
  <c r="E80" i="16"/>
  <c r="E82" i="16"/>
  <c r="E84" i="16"/>
  <c r="C86" i="16"/>
  <c r="E87" i="16"/>
  <c r="E89" i="16"/>
  <c r="C91" i="16"/>
  <c r="E92" i="16"/>
  <c r="E94" i="16"/>
  <c r="E96" i="16"/>
  <c r="E98" i="16"/>
  <c r="E100" i="16"/>
  <c r="E102" i="16"/>
  <c r="E104" i="16"/>
  <c r="E106" i="16"/>
  <c r="E35" i="2"/>
  <c r="E35" i="3" s="1"/>
  <c r="E9" i="2"/>
  <c r="E33" i="2"/>
  <c r="E33" i="3" s="1"/>
  <c r="E14" i="2"/>
  <c r="E30" i="2"/>
  <c r="E32" i="2"/>
  <c r="E32" i="3" s="1"/>
  <c r="D27" i="19" s="1"/>
  <c r="E36" i="2"/>
  <c r="E36" i="3" s="1"/>
  <c r="E37" i="2"/>
  <c r="E37" i="3" s="1"/>
  <c r="E41" i="2"/>
  <c r="E41" i="3" s="1"/>
  <c r="E49" i="2"/>
  <c r="E49" i="3" s="1"/>
  <c r="E52" i="2"/>
  <c r="E52" i="3" s="1"/>
  <c r="E56" i="2"/>
  <c r="E56" i="3" s="1"/>
  <c r="E68" i="2"/>
  <c r="E68" i="3" s="1"/>
  <c r="E70" i="2"/>
  <c r="E70" i="3" s="1"/>
  <c r="E72" i="2"/>
  <c r="E72" i="3" s="1"/>
  <c r="E79" i="2"/>
  <c r="E79" i="3" s="1"/>
  <c r="E81" i="2"/>
  <c r="E81" i="3" s="1"/>
  <c r="E83" i="2"/>
  <c r="E83" i="3" s="1"/>
  <c r="E86" i="2"/>
  <c r="E86" i="3" s="1"/>
  <c r="E88" i="2"/>
  <c r="E88" i="3" s="1"/>
  <c r="E89" i="2"/>
  <c r="E89" i="3" s="1"/>
  <c r="E94" i="2"/>
  <c r="E94" i="3" s="1"/>
  <c r="E95" i="2"/>
  <c r="E95" i="3" s="1"/>
  <c r="E96" i="2"/>
  <c r="E96" i="3" s="1"/>
  <c r="E100" i="2"/>
  <c r="E100" i="3" s="1"/>
  <c r="E103" i="2"/>
  <c r="E103" i="3" s="1"/>
  <c r="E104" i="2"/>
  <c r="E104" i="3" s="1"/>
  <c r="E4" i="6"/>
  <c r="E4" i="3"/>
  <c r="D4" i="5"/>
  <c r="E4" i="5" s="1"/>
  <c r="D4" i="12"/>
  <c r="E4" i="12" s="1"/>
  <c r="K5" i="12" s="1"/>
  <c r="E12" i="12"/>
  <c r="E13" i="12"/>
  <c r="E14" i="12"/>
  <c r="E18" i="12"/>
  <c r="E19" i="12"/>
  <c r="E20" i="12"/>
  <c r="E21" i="12"/>
  <c r="E23" i="12"/>
  <c r="E24" i="12"/>
  <c r="E25" i="12"/>
  <c r="E27" i="12"/>
  <c r="E29" i="12"/>
  <c r="E31" i="12"/>
  <c r="E33" i="12"/>
  <c r="E32" i="15"/>
  <c r="E42" i="15"/>
  <c r="D4" i="15"/>
  <c r="E4" i="15" s="1"/>
  <c r="E10" i="15"/>
  <c r="E31" i="15"/>
  <c r="E34" i="15"/>
  <c r="E40" i="15"/>
  <c r="E46" i="15"/>
  <c r="E54" i="15"/>
  <c r="E58" i="15"/>
  <c r="E64" i="15"/>
  <c r="E68" i="15"/>
  <c r="E72" i="15"/>
  <c r="E75" i="15"/>
  <c r="E77" i="15"/>
  <c r="E80" i="15"/>
  <c r="E83" i="15"/>
  <c r="E85" i="15"/>
  <c r="E88" i="15"/>
  <c r="E91" i="15"/>
  <c r="E93" i="15"/>
  <c r="E96" i="15"/>
  <c r="E100" i="15"/>
  <c r="E102" i="15"/>
  <c r="E105" i="15"/>
  <c r="B3" i="21"/>
  <c r="C3" i="21"/>
  <c r="E3" i="21"/>
  <c r="G3" i="21"/>
  <c r="H3" i="21"/>
  <c r="I3" i="21"/>
  <c r="K3" i="21"/>
  <c r="L3" i="21"/>
  <c r="M3" i="21"/>
  <c r="N3" i="21"/>
  <c r="O3" i="21"/>
  <c r="P3" i="21"/>
  <c r="R3" i="21"/>
  <c r="S3" i="21"/>
  <c r="U3" i="21"/>
  <c r="C2" i="1"/>
  <c r="K2" i="1"/>
  <c r="C3" i="1"/>
  <c r="K3" i="1"/>
  <c r="C4" i="1"/>
  <c r="K4" i="1"/>
  <c r="C5" i="1"/>
  <c r="K5" i="1"/>
  <c r="C6" i="1"/>
  <c r="K6" i="1"/>
  <c r="M6" i="1" s="1"/>
  <c r="C7" i="1"/>
  <c r="K7" i="1"/>
  <c r="M7" i="1" s="1"/>
  <c r="L7" i="1"/>
  <c r="K8" i="1"/>
  <c r="K9" i="1"/>
  <c r="K10" i="1"/>
  <c r="C11" i="1"/>
  <c r="K11" i="1"/>
  <c r="J13" i="1"/>
  <c r="M13" i="1" s="1"/>
  <c r="L13" i="1"/>
  <c r="O13" i="1"/>
  <c r="P13" i="1"/>
  <c r="Q13" i="1"/>
  <c r="R13" i="1"/>
  <c r="S13" i="1"/>
  <c r="T13" i="1"/>
  <c r="U13" i="1"/>
  <c r="V13" i="1"/>
  <c r="W13" i="1"/>
  <c r="X13" i="1"/>
  <c r="AM13" i="1"/>
  <c r="AN13" i="1"/>
  <c r="J14" i="1"/>
  <c r="L14" i="1"/>
  <c r="O14" i="1"/>
  <c r="P14" i="1"/>
  <c r="S14" i="1"/>
  <c r="T14" i="1"/>
  <c r="U14" i="1"/>
  <c r="AM14" i="1"/>
  <c r="AN14" i="1"/>
  <c r="B15" i="1"/>
  <c r="O15" i="1"/>
  <c r="P15" i="1"/>
  <c r="S15" i="1"/>
  <c r="T15" i="1"/>
  <c r="U15" i="1"/>
  <c r="AP15" i="1"/>
  <c r="C16" i="1"/>
  <c r="J16" i="1"/>
  <c r="M16" i="1" s="1"/>
  <c r="L16" i="1"/>
  <c r="O16" i="1"/>
  <c r="P16" i="1"/>
  <c r="T16" i="1"/>
  <c r="U16" i="1"/>
  <c r="AM16" i="1"/>
  <c r="AN16" i="1"/>
  <c r="AO16" i="1"/>
  <c r="B17" i="1"/>
  <c r="AP17" i="1"/>
  <c r="M18" i="1"/>
  <c r="L18" i="1"/>
  <c r="O18" i="1"/>
  <c r="P18" i="1"/>
  <c r="Q18" i="1"/>
  <c r="R18" i="1"/>
  <c r="S18" i="1"/>
  <c r="T18" i="1"/>
  <c r="U18" i="1"/>
  <c r="V18" i="1"/>
  <c r="W18" i="1"/>
  <c r="X18" i="1"/>
  <c r="AM18" i="1"/>
  <c r="AN18" i="1"/>
  <c r="J19" i="1"/>
  <c r="M19" i="1" s="1"/>
  <c r="L19" i="1"/>
  <c r="O19" i="1"/>
  <c r="P19" i="1"/>
  <c r="S19" i="1"/>
  <c r="T19" i="1"/>
  <c r="U19" i="1"/>
  <c r="AM19" i="1"/>
  <c r="AN19" i="1"/>
  <c r="J20" i="1"/>
  <c r="L20" i="1"/>
  <c r="O20" i="1"/>
  <c r="P20" i="1"/>
  <c r="S20" i="1"/>
  <c r="T20" i="1"/>
  <c r="U20" i="1"/>
  <c r="AM20" i="1"/>
  <c r="AN20" i="1"/>
  <c r="B21" i="1"/>
  <c r="O21" i="1"/>
  <c r="P21" i="1"/>
  <c r="S21" i="1"/>
  <c r="T21" i="1"/>
  <c r="U21" i="1"/>
  <c r="AP21" i="1"/>
  <c r="J22" i="1"/>
  <c r="M22" i="1" s="1"/>
  <c r="L22" i="1"/>
  <c r="O22" i="1"/>
  <c r="P22" i="1"/>
  <c r="S22" i="1"/>
  <c r="T22" i="1"/>
  <c r="U22" i="1"/>
  <c r="AM22" i="1"/>
  <c r="AN22" i="1"/>
  <c r="J23" i="1"/>
  <c r="M23" i="1" s="1"/>
  <c r="L23" i="1"/>
  <c r="O23" i="1"/>
  <c r="P23" i="1"/>
  <c r="R23" i="1"/>
  <c r="S23" i="1"/>
  <c r="T23" i="1"/>
  <c r="U23" i="1"/>
  <c r="AM23" i="1"/>
  <c r="AN23" i="1"/>
  <c r="J24" i="1"/>
  <c r="M24" i="1" s="1"/>
  <c r="L24" i="1"/>
  <c r="O24" i="1"/>
  <c r="P24" i="1"/>
  <c r="S24" i="1"/>
  <c r="T24" i="1"/>
  <c r="U24" i="1"/>
  <c r="AM24" i="1"/>
  <c r="AN24" i="1"/>
  <c r="J25" i="1"/>
  <c r="L25" i="1"/>
  <c r="O25" i="1"/>
  <c r="P25" i="1"/>
  <c r="S25" i="1"/>
  <c r="T25" i="1"/>
  <c r="U25" i="1"/>
  <c r="AM25" i="1"/>
  <c r="AN25" i="1"/>
  <c r="J26" i="1"/>
  <c r="M26" i="1" s="1"/>
  <c r="L26" i="1"/>
  <c r="O26" i="1"/>
  <c r="P26" i="1"/>
  <c r="Q26" i="1"/>
  <c r="R26" i="1"/>
  <c r="S26" i="1"/>
  <c r="T26" i="1"/>
  <c r="U26" i="1"/>
  <c r="V26" i="1"/>
  <c r="W26" i="1"/>
  <c r="X26" i="1"/>
  <c r="AM26" i="1"/>
  <c r="AN26" i="1"/>
  <c r="C27" i="1"/>
  <c r="J27" i="1"/>
  <c r="AM27" i="1"/>
  <c r="AN27" i="1"/>
  <c r="B28" i="1"/>
  <c r="AP28" i="1"/>
  <c r="C29" i="1"/>
  <c r="J29" i="1"/>
  <c r="AM29" i="1"/>
  <c r="AN29" i="1"/>
  <c r="AO29" i="1"/>
  <c r="J30" i="1"/>
  <c r="AM30" i="1"/>
  <c r="AN30" i="1"/>
  <c r="B31" i="1"/>
  <c r="AP31" i="1"/>
  <c r="C32" i="1"/>
  <c r="J32" i="1"/>
  <c r="AM32" i="1"/>
  <c r="AN32" i="1"/>
  <c r="AO32" i="1"/>
  <c r="AO27" i="1"/>
  <c r="S4" i="21"/>
  <c r="S5" i="21" s="1"/>
  <c r="E97" i="15"/>
  <c r="E53" i="15"/>
  <c r="E52" i="15"/>
  <c r="E51" i="15"/>
  <c r="E50" i="15"/>
  <c r="E39" i="15"/>
  <c r="E33" i="15"/>
  <c r="E28" i="15"/>
  <c r="E27" i="15"/>
  <c r="E23" i="15"/>
  <c r="E15" i="15"/>
  <c r="E13" i="15"/>
  <c r="E11" i="15"/>
  <c r="E9" i="15"/>
  <c r="E14" i="15"/>
  <c r="E16" i="15"/>
  <c r="E18" i="15"/>
  <c r="E20" i="15"/>
  <c r="E22" i="15"/>
  <c r="E24" i="15"/>
  <c r="E26" i="15"/>
  <c r="E30" i="15"/>
  <c r="E21" i="15"/>
  <c r="E37" i="15"/>
  <c r="E41" i="15"/>
  <c r="E43" i="15"/>
  <c r="E45" i="15"/>
  <c r="E47" i="15"/>
  <c r="E49" i="15"/>
  <c r="E57" i="15"/>
  <c r="E59" i="15"/>
  <c r="E61" i="15"/>
  <c r="E63" i="15"/>
  <c r="E65" i="15"/>
  <c r="E67" i="15"/>
  <c r="E69" i="15"/>
  <c r="E25" i="15"/>
  <c r="E17" i="15"/>
  <c r="E32" i="12"/>
  <c r="E30" i="12"/>
  <c r="E28" i="12"/>
  <c r="E26" i="12"/>
  <c r="E22" i="12"/>
  <c r="E16" i="12"/>
  <c r="E15" i="12"/>
  <c r="E10" i="12"/>
  <c r="E13" i="2"/>
  <c r="E11" i="2"/>
  <c r="E12" i="2"/>
  <c r="E10" i="2"/>
  <c r="E10" i="3" s="1"/>
  <c r="E12" i="16"/>
  <c r="E16" i="16"/>
  <c r="E20" i="16"/>
  <c r="E24" i="16"/>
  <c r="E26" i="16"/>
  <c r="E28" i="16"/>
  <c r="E30" i="16"/>
  <c r="E32" i="16"/>
  <c r="E11" i="16"/>
  <c r="E15" i="16"/>
  <c r="E19" i="16"/>
  <c r="E23" i="16"/>
  <c r="E25" i="16"/>
  <c r="E27" i="16"/>
  <c r="E29" i="16"/>
  <c r="E31" i="16"/>
  <c r="E33" i="16"/>
  <c r="E91" i="16"/>
  <c r="E86" i="16"/>
  <c r="E71" i="16"/>
  <c r="E66" i="16"/>
  <c r="E61" i="16"/>
  <c r="E56" i="16"/>
  <c r="E53" i="16"/>
  <c r="E5" i="18"/>
  <c r="D21" i="18"/>
  <c r="D33" i="18"/>
  <c r="D18" i="18"/>
  <c r="D26" i="18"/>
  <c r="D49" i="18"/>
  <c r="E12" i="18"/>
  <c r="E15" i="18"/>
  <c r="D15" i="18" s="1"/>
  <c r="E20" i="18"/>
  <c r="E23" i="18"/>
  <c r="E28" i="18"/>
  <c r="E31" i="18"/>
  <c r="E11" i="18"/>
  <c r="E16" i="18"/>
  <c r="D16" i="18" s="1"/>
  <c r="E19" i="18"/>
  <c r="D19" i="18" s="1"/>
  <c r="E24" i="18"/>
  <c r="D24" i="18" s="1"/>
  <c r="E27" i="18"/>
  <c r="E32" i="18"/>
  <c r="E22" i="18"/>
  <c r="D22" i="18" s="1"/>
  <c r="E17" i="18"/>
  <c r="D12" i="18"/>
  <c r="E105" i="16"/>
  <c r="E103" i="16"/>
  <c r="E101" i="16"/>
  <c r="E99" i="16"/>
  <c r="E97" i="16"/>
  <c r="E95" i="16"/>
  <c r="E93" i="16"/>
  <c r="E90" i="16"/>
  <c r="E88" i="16"/>
  <c r="E85" i="16"/>
  <c r="E83" i="16"/>
  <c r="E81" i="16"/>
  <c r="E79" i="16"/>
  <c r="E77" i="16"/>
  <c r="E74" i="16"/>
  <c r="E70" i="16"/>
  <c r="E68" i="16"/>
  <c r="E65" i="16"/>
  <c r="E63" i="16"/>
  <c r="E60" i="16"/>
  <c r="E58" i="16"/>
  <c r="E55" i="16"/>
  <c r="E52" i="16"/>
  <c r="E49" i="16"/>
  <c r="E47" i="16"/>
  <c r="E44" i="16"/>
  <c r="E42" i="16"/>
  <c r="E39" i="16"/>
  <c r="E37" i="16"/>
  <c r="E30" i="18"/>
  <c r="D30" i="18" s="1"/>
  <c r="E25" i="18"/>
  <c r="D25" i="18" s="1"/>
  <c r="D20" i="18"/>
  <c r="E14" i="18"/>
  <c r="D14" i="18" s="1"/>
  <c r="E9" i="18"/>
  <c r="E48" i="18"/>
  <c r="D48" i="18" s="1"/>
  <c r="F48" i="18" s="1"/>
  <c r="E51" i="18"/>
  <c r="D51" i="18" s="1"/>
  <c r="F51" i="18" s="1"/>
  <c r="E57" i="18"/>
  <c r="D57" i="18" s="1"/>
  <c r="F57" i="18" s="1"/>
  <c r="E31" i="17"/>
  <c r="E29" i="17"/>
  <c r="E27" i="17"/>
  <c r="E25" i="17"/>
  <c r="E23" i="17"/>
  <c r="E21" i="17"/>
  <c r="E19" i="17"/>
  <c r="E17" i="17"/>
  <c r="E15" i="17"/>
  <c r="E13" i="17"/>
  <c r="E11" i="17"/>
  <c r="E9" i="17"/>
  <c r="E32" i="17"/>
  <c r="E30" i="17"/>
  <c r="E28" i="17"/>
  <c r="E26" i="17"/>
  <c r="E24" i="17"/>
  <c r="E22" i="17"/>
  <c r="E20" i="17"/>
  <c r="E18" i="17"/>
  <c r="E16" i="17"/>
  <c r="E14" i="17"/>
  <c r="E12" i="17"/>
  <c r="Z18" i="1"/>
  <c r="Z20" i="1"/>
  <c r="E33" i="7"/>
  <c r="E37" i="7"/>
  <c r="E41" i="7"/>
  <c r="E45" i="7"/>
  <c r="E49" i="7"/>
  <c r="E53" i="7"/>
  <c r="E57" i="7"/>
  <c r="E61" i="7"/>
  <c r="E65" i="7"/>
  <c r="E69" i="7"/>
  <c r="E73" i="7"/>
  <c r="E77" i="7"/>
  <c r="E81" i="7"/>
  <c r="E85" i="7"/>
  <c r="E89" i="7"/>
  <c r="E93" i="7"/>
  <c r="E97" i="7"/>
  <c r="E101" i="7"/>
  <c r="E105" i="7"/>
  <c r="E43" i="7"/>
  <c r="E59" i="7"/>
  <c r="E71" i="7"/>
  <c r="E87" i="7"/>
  <c r="E99" i="7"/>
  <c r="E34" i="7"/>
  <c r="E38" i="7"/>
  <c r="E42" i="7"/>
  <c r="E46" i="7"/>
  <c r="E50" i="7"/>
  <c r="E54" i="7"/>
  <c r="E58" i="7"/>
  <c r="E62" i="7"/>
  <c r="E66" i="7"/>
  <c r="E70" i="7"/>
  <c r="E74" i="7"/>
  <c r="E78" i="7"/>
  <c r="E82" i="7"/>
  <c r="E86" i="7"/>
  <c r="E90" i="7"/>
  <c r="E94" i="7"/>
  <c r="E98" i="7"/>
  <c r="E102" i="7"/>
  <c r="E106" i="7"/>
  <c r="E35" i="7"/>
  <c r="E47" i="7"/>
  <c r="E63" i="7"/>
  <c r="E75" i="7"/>
  <c r="E91" i="7"/>
  <c r="E103" i="7"/>
  <c r="E51" i="7"/>
  <c r="E79" i="7"/>
  <c r="E36" i="7"/>
  <c r="E40" i="7"/>
  <c r="E44" i="7"/>
  <c r="E48" i="7"/>
  <c r="E52" i="7"/>
  <c r="E56" i="7"/>
  <c r="E60" i="7"/>
  <c r="E64" i="7"/>
  <c r="E68" i="7"/>
  <c r="E72" i="7"/>
  <c r="E76" i="7"/>
  <c r="E80" i="7"/>
  <c r="E84" i="7"/>
  <c r="E88" i="7"/>
  <c r="E92" i="7"/>
  <c r="E96" i="7"/>
  <c r="E100" i="7"/>
  <c r="E104" i="7"/>
  <c r="E55" i="7"/>
  <c r="E67" i="7"/>
  <c r="E83" i="7"/>
  <c r="E95" i="7"/>
  <c r="E9" i="7"/>
  <c r="E13" i="7"/>
  <c r="E17" i="7"/>
  <c r="E21" i="7"/>
  <c r="E25" i="7"/>
  <c r="E29" i="7"/>
  <c r="E23" i="7"/>
  <c r="E31" i="7"/>
  <c r="E10" i="7"/>
  <c r="E14" i="7"/>
  <c r="E18" i="7"/>
  <c r="E22" i="7"/>
  <c r="E26" i="7"/>
  <c r="E30" i="7"/>
  <c r="E19" i="7"/>
  <c r="E11" i="7"/>
  <c r="E12" i="7"/>
  <c r="E16" i="7"/>
  <c r="E20" i="7"/>
  <c r="E24" i="7"/>
  <c r="E28" i="7"/>
  <c r="E15" i="7"/>
  <c r="E27" i="7"/>
  <c r="E105" i="2"/>
  <c r="E105" i="3" s="1"/>
  <c r="E99" i="2"/>
  <c r="E99" i="3" s="1"/>
  <c r="E91" i="2"/>
  <c r="E91" i="3" s="1"/>
  <c r="E85" i="2"/>
  <c r="E85" i="3" s="1"/>
  <c r="E76" i="2"/>
  <c r="E76" i="3" s="1"/>
  <c r="E58" i="2"/>
  <c r="E58" i="3" s="1"/>
  <c r="E48" i="2"/>
  <c r="E48" i="3" s="1"/>
  <c r="E34" i="2"/>
  <c r="E34" i="3" s="1"/>
  <c r="E101" i="2"/>
  <c r="E101" i="3" s="1"/>
  <c r="E98" i="2"/>
  <c r="E98" i="3" s="1"/>
  <c r="E92" i="2"/>
  <c r="E92" i="3" s="1"/>
  <c r="E87" i="2"/>
  <c r="E87" i="3" s="1"/>
  <c r="E82" i="2"/>
  <c r="E82" i="3" s="1"/>
  <c r="E74" i="2"/>
  <c r="E74" i="3" s="1"/>
  <c r="E66" i="2"/>
  <c r="E66" i="3" s="1"/>
  <c r="E51" i="2"/>
  <c r="E51" i="3" s="1"/>
  <c r="E40" i="2"/>
  <c r="E40" i="3" s="1"/>
  <c r="E106" i="2"/>
  <c r="E106" i="3" s="1"/>
  <c r="E102" i="2"/>
  <c r="E102" i="3" s="1"/>
  <c r="E97" i="2"/>
  <c r="E97" i="3" s="1"/>
  <c r="E93" i="2"/>
  <c r="E93" i="3" s="1"/>
  <c r="E90" i="2"/>
  <c r="E90" i="3" s="1"/>
  <c r="E84" i="2"/>
  <c r="E84" i="3" s="1"/>
  <c r="E78" i="2"/>
  <c r="E78" i="3" s="1"/>
  <c r="E75" i="2"/>
  <c r="E75" i="3" s="1"/>
  <c r="E53" i="2"/>
  <c r="E53" i="3" s="1"/>
  <c r="E50" i="2"/>
  <c r="E50" i="3" s="1"/>
  <c r="E44" i="2"/>
  <c r="E44" i="3" s="1"/>
  <c r="E31" i="2"/>
  <c r="E39" i="2"/>
  <c r="E39" i="3" s="1"/>
  <c r="E80" i="2"/>
  <c r="E80" i="3" s="1"/>
  <c r="E77" i="2"/>
  <c r="E77" i="3" s="1"/>
  <c r="E73" i="2"/>
  <c r="E73" i="3" s="1"/>
  <c r="E71" i="2"/>
  <c r="E71" i="3" s="1"/>
  <c r="E67" i="2"/>
  <c r="E67" i="3" s="1"/>
  <c r="E59" i="2"/>
  <c r="E59" i="3" s="1"/>
  <c r="E54" i="2"/>
  <c r="E54" i="3" s="1"/>
  <c r="E46" i="2"/>
  <c r="E46" i="3" s="1"/>
  <c r="E45" i="2"/>
  <c r="E45" i="3" s="1"/>
  <c r="E38" i="2"/>
  <c r="E38" i="3" s="1"/>
  <c r="E29" i="2"/>
  <c r="E29" i="3" s="1"/>
  <c r="D24" i="19" s="1"/>
  <c r="E28" i="2"/>
  <c r="E26" i="2"/>
  <c r="E69" i="2"/>
  <c r="E69" i="3" s="1"/>
  <c r="E65" i="2"/>
  <c r="E65" i="3" s="1"/>
  <c r="E64" i="2"/>
  <c r="E64" i="3" s="1"/>
  <c r="E63" i="2"/>
  <c r="E63" i="3" s="1"/>
  <c r="E62" i="2"/>
  <c r="E62" i="3" s="1"/>
  <c r="E61" i="2"/>
  <c r="E61" i="3" s="1"/>
  <c r="E60" i="2"/>
  <c r="E60" i="3" s="1"/>
  <c r="E57" i="2"/>
  <c r="E57" i="3" s="1"/>
  <c r="E55" i="2"/>
  <c r="E55" i="3" s="1"/>
  <c r="E47" i="2"/>
  <c r="E47" i="3" s="1"/>
  <c r="E43" i="2"/>
  <c r="E43" i="3" s="1"/>
  <c r="E42" i="2"/>
  <c r="E42" i="3" s="1"/>
  <c r="E27" i="2"/>
  <c r="E25" i="2"/>
  <c r="E24" i="2"/>
  <c r="E24" i="3" s="1"/>
  <c r="D19" i="19" s="1"/>
  <c r="E23" i="2"/>
  <c r="E23" i="3" s="1"/>
  <c r="D18" i="19" s="1"/>
  <c r="E22" i="2"/>
  <c r="E21" i="2"/>
  <c r="E20" i="2"/>
  <c r="E19" i="2"/>
  <c r="E18" i="2"/>
  <c r="E17" i="2"/>
  <c r="E16" i="2"/>
  <c r="E15" i="2"/>
  <c r="E22" i="3" l="1"/>
  <c r="D17" i="19" s="1"/>
  <c r="E12" i="3"/>
  <c r="D7" i="19" s="1"/>
  <c r="E21" i="3"/>
  <c r="D16" i="19" s="1"/>
  <c r="E11" i="3"/>
  <c r="D6" i="19" s="1"/>
  <c r="E31" i="3"/>
  <c r="D26" i="19" s="1"/>
  <c r="E25" i="3"/>
  <c r="D20" i="19" s="1"/>
  <c r="E18" i="3"/>
  <c r="D13" i="19" s="1"/>
  <c r="E13" i="3"/>
  <c r="D8" i="19" s="1"/>
  <c r="E30" i="3"/>
  <c r="D25" i="19" s="1"/>
  <c r="E14" i="3"/>
  <c r="D9" i="19" s="1"/>
  <c r="E15" i="3"/>
  <c r="D10" i="19" s="1"/>
  <c r="E16" i="3"/>
  <c r="D11" i="19" s="1"/>
  <c r="E27" i="3"/>
  <c r="D22" i="19" s="1"/>
  <c r="E17" i="3"/>
  <c r="D12" i="19" s="1"/>
  <c r="E9" i="3"/>
  <c r="E26" i="3"/>
  <c r="D21" i="19" s="1"/>
  <c r="E19" i="3"/>
  <c r="D14" i="19" s="1"/>
  <c r="E20" i="3"/>
  <c r="D15" i="19" s="1"/>
  <c r="E28" i="3"/>
  <c r="D23" i="19" s="1"/>
  <c r="D10" i="3"/>
  <c r="Z15" i="1"/>
  <c r="K2" i="4" s="1"/>
  <c r="E86" i="4" s="1"/>
  <c r="E3" i="19"/>
  <c r="E3" i="22"/>
  <c r="E3" i="20"/>
  <c r="C17" i="1"/>
  <c r="G3" i="19"/>
  <c r="G3" i="22"/>
  <c r="G3" i="20"/>
  <c r="AM28" i="1"/>
  <c r="R3" i="19"/>
  <c r="R3" i="22"/>
  <c r="R3" i="20"/>
  <c r="U3" i="19"/>
  <c r="U3" i="22"/>
  <c r="U3" i="20"/>
  <c r="D3" i="21"/>
  <c r="K3" i="19"/>
  <c r="K3" i="22"/>
  <c r="K3" i="20"/>
  <c r="P4" i="21"/>
  <c r="P5" i="21" s="1"/>
  <c r="M11" i="19"/>
  <c r="E16" i="14"/>
  <c r="O11" i="19" s="1"/>
  <c r="E16" i="13"/>
  <c r="N11" i="19" s="1"/>
  <c r="M28" i="19"/>
  <c r="E33" i="14"/>
  <c r="O28" i="19" s="1"/>
  <c r="E33" i="13"/>
  <c r="N28" i="19" s="1"/>
  <c r="M17" i="19"/>
  <c r="E22" i="13"/>
  <c r="N17" i="19" s="1"/>
  <c r="E22" i="14"/>
  <c r="O17" i="19" s="1"/>
  <c r="M26" i="19"/>
  <c r="E31" i="13"/>
  <c r="N26" i="19" s="1"/>
  <c r="E31" i="14"/>
  <c r="O26" i="19" s="1"/>
  <c r="E10" i="14"/>
  <c r="E10" i="13"/>
  <c r="M10" i="19"/>
  <c r="E15" i="14"/>
  <c r="O10" i="19" s="1"/>
  <c r="E15" i="13"/>
  <c r="N10" i="19" s="1"/>
  <c r="M21" i="19"/>
  <c r="E26" i="13"/>
  <c r="N21" i="19" s="1"/>
  <c r="E26" i="14"/>
  <c r="O21" i="19" s="1"/>
  <c r="M24" i="19"/>
  <c r="M23" i="19"/>
  <c r="E28" i="14"/>
  <c r="O23" i="19" s="1"/>
  <c r="E28" i="13"/>
  <c r="N23" i="19" s="1"/>
  <c r="M22" i="19"/>
  <c r="E27" i="14"/>
  <c r="O22" i="19" s="1"/>
  <c r="E27" i="13"/>
  <c r="N22" i="19" s="1"/>
  <c r="M25" i="19"/>
  <c r="E30" i="14"/>
  <c r="O25" i="19" s="1"/>
  <c r="E30" i="13"/>
  <c r="N25" i="19" s="1"/>
  <c r="M20" i="19"/>
  <c r="E25" i="13"/>
  <c r="N20" i="19" s="1"/>
  <c r="E25" i="14"/>
  <c r="O20" i="19" s="1"/>
  <c r="M27" i="19"/>
  <c r="E32" i="14"/>
  <c r="O27" i="19" s="1"/>
  <c r="E32" i="13"/>
  <c r="N27" i="19" s="1"/>
  <c r="E32" i="11"/>
  <c r="L27" i="19" s="1"/>
  <c r="E32" i="8"/>
  <c r="I27" i="19" s="1"/>
  <c r="E32" i="9"/>
  <c r="J27" i="19" s="1"/>
  <c r="M19" i="19"/>
  <c r="E24" i="13"/>
  <c r="N19" i="19" s="1"/>
  <c r="E24" i="14"/>
  <c r="O19" i="19" s="1"/>
  <c r="M9" i="19"/>
  <c r="E14" i="13"/>
  <c r="N9" i="19" s="1"/>
  <c r="E14" i="14"/>
  <c r="O9" i="19" s="1"/>
  <c r="M18" i="19"/>
  <c r="E23" i="13"/>
  <c r="N18" i="19" s="1"/>
  <c r="E23" i="14"/>
  <c r="O18" i="19" s="1"/>
  <c r="M16" i="19"/>
  <c r="E21" i="13"/>
  <c r="N16" i="19" s="1"/>
  <c r="E21" i="14"/>
  <c r="O16" i="19" s="1"/>
  <c r="M14" i="19"/>
  <c r="M8" i="19"/>
  <c r="E13" i="14"/>
  <c r="O8" i="19" s="1"/>
  <c r="E13" i="13"/>
  <c r="N8" i="19" s="1"/>
  <c r="M15" i="19"/>
  <c r="E20" i="14"/>
  <c r="O15" i="19" s="1"/>
  <c r="E20" i="13"/>
  <c r="N15" i="19" s="1"/>
  <c r="M13" i="19"/>
  <c r="E18" i="14"/>
  <c r="O13" i="19" s="1"/>
  <c r="E18" i="13"/>
  <c r="N13" i="19" s="1"/>
  <c r="M7" i="19"/>
  <c r="E33" i="11"/>
  <c r="L28" i="19" s="1"/>
  <c r="E33" i="9"/>
  <c r="J28" i="19" s="1"/>
  <c r="E33" i="8"/>
  <c r="I28" i="19" s="1"/>
  <c r="E23" i="9"/>
  <c r="J18" i="19" s="1"/>
  <c r="E23" i="8"/>
  <c r="I18" i="19" s="1"/>
  <c r="E23" i="11"/>
  <c r="L18" i="19" s="1"/>
  <c r="E29" i="11"/>
  <c r="L24" i="19" s="1"/>
  <c r="E29" i="8"/>
  <c r="I24" i="19" s="1"/>
  <c r="E29" i="9"/>
  <c r="J24" i="19" s="1"/>
  <c r="E25" i="8"/>
  <c r="I20" i="19" s="1"/>
  <c r="E25" i="11"/>
  <c r="L20" i="19" s="1"/>
  <c r="E25" i="9"/>
  <c r="J20" i="19" s="1"/>
  <c r="E21" i="9"/>
  <c r="J16" i="19" s="1"/>
  <c r="E21" i="11"/>
  <c r="L16" i="19" s="1"/>
  <c r="E21" i="8"/>
  <c r="I16" i="19" s="1"/>
  <c r="E14" i="8"/>
  <c r="I9" i="19" s="1"/>
  <c r="E14" i="11"/>
  <c r="L9" i="19" s="1"/>
  <c r="E14" i="9"/>
  <c r="J9" i="19" s="1"/>
  <c r="E10" i="9"/>
  <c r="D10" i="9" s="1"/>
  <c r="E10" i="8"/>
  <c r="E10" i="11"/>
  <c r="E31" i="11"/>
  <c r="L26" i="19" s="1"/>
  <c r="E31" i="8"/>
  <c r="I26" i="19" s="1"/>
  <c r="E31" i="9"/>
  <c r="J26" i="19" s="1"/>
  <c r="E27" i="8"/>
  <c r="I22" i="19" s="1"/>
  <c r="E27" i="11"/>
  <c r="L22" i="19" s="1"/>
  <c r="E27" i="9"/>
  <c r="J22" i="19" s="1"/>
  <c r="E28" i="9"/>
  <c r="J23" i="19" s="1"/>
  <c r="E28" i="11"/>
  <c r="L23" i="19" s="1"/>
  <c r="E28" i="8"/>
  <c r="I23" i="19" s="1"/>
  <c r="E24" i="9"/>
  <c r="J19" i="19" s="1"/>
  <c r="E24" i="11"/>
  <c r="L19" i="19" s="1"/>
  <c r="E24" i="8"/>
  <c r="I19" i="19" s="1"/>
  <c r="E20" i="9"/>
  <c r="J15" i="19" s="1"/>
  <c r="E20" i="11"/>
  <c r="L15" i="19" s="1"/>
  <c r="E20" i="8"/>
  <c r="I15" i="19" s="1"/>
  <c r="E15" i="11"/>
  <c r="L10" i="19" s="1"/>
  <c r="E15" i="9"/>
  <c r="J10" i="19" s="1"/>
  <c r="E15" i="8"/>
  <c r="I10" i="19" s="1"/>
  <c r="E13" i="8"/>
  <c r="I8" i="19" s="1"/>
  <c r="E13" i="11"/>
  <c r="L8" i="19" s="1"/>
  <c r="E13" i="9"/>
  <c r="J8" i="19" s="1"/>
  <c r="E16" i="11"/>
  <c r="L11" i="19" s="1"/>
  <c r="E16" i="9"/>
  <c r="J11" i="19" s="1"/>
  <c r="E16" i="8"/>
  <c r="I11" i="19" s="1"/>
  <c r="E12" i="9"/>
  <c r="J7" i="19" s="1"/>
  <c r="E12" i="8"/>
  <c r="I7" i="19" s="1"/>
  <c r="E12" i="11"/>
  <c r="L7" i="19" s="1"/>
  <c r="D12" i="7"/>
  <c r="K12" i="7" s="1"/>
  <c r="E19" i="8"/>
  <c r="I14" i="19" s="1"/>
  <c r="E19" i="11"/>
  <c r="L14" i="19" s="1"/>
  <c r="E19" i="9"/>
  <c r="J14" i="19" s="1"/>
  <c r="E22" i="11"/>
  <c r="L17" i="19" s="1"/>
  <c r="E22" i="9"/>
  <c r="J17" i="19" s="1"/>
  <c r="E22" i="8"/>
  <c r="I17" i="19" s="1"/>
  <c r="E30" i="11"/>
  <c r="L25" i="19" s="1"/>
  <c r="E30" i="8"/>
  <c r="I25" i="19" s="1"/>
  <c r="E30" i="9"/>
  <c r="J25" i="19" s="1"/>
  <c r="E26" i="8"/>
  <c r="I21" i="19" s="1"/>
  <c r="E26" i="11"/>
  <c r="L21" i="19" s="1"/>
  <c r="E26" i="9"/>
  <c r="J21" i="19" s="1"/>
  <c r="E18" i="8"/>
  <c r="I13" i="19" s="1"/>
  <c r="E18" i="11"/>
  <c r="L13" i="19" s="1"/>
  <c r="E18" i="9"/>
  <c r="J13" i="19" s="1"/>
  <c r="C12" i="19"/>
  <c r="E17" i="5"/>
  <c r="F12" i="19" s="1"/>
  <c r="E17" i="4"/>
  <c r="C60" i="19"/>
  <c r="E65" i="4"/>
  <c r="E65" i="5"/>
  <c r="C71" i="19"/>
  <c r="E76" i="4"/>
  <c r="E76" i="5"/>
  <c r="C64" i="19"/>
  <c r="E69" i="5"/>
  <c r="E69" i="4"/>
  <c r="C80" i="19"/>
  <c r="E85" i="5"/>
  <c r="E85" i="4"/>
  <c r="C47" i="19"/>
  <c r="E52" i="4"/>
  <c r="E52" i="5"/>
  <c r="C14" i="19"/>
  <c r="E19" i="5"/>
  <c r="F14" i="19" s="1"/>
  <c r="E19" i="4"/>
  <c r="C21" i="19"/>
  <c r="E26" i="4"/>
  <c r="E26" i="5"/>
  <c r="F21" i="19" s="1"/>
  <c r="C79" i="19"/>
  <c r="E84" i="5"/>
  <c r="E84" i="4"/>
  <c r="C86" i="19"/>
  <c r="E91" i="4"/>
  <c r="E91" i="5"/>
  <c r="C44" i="19"/>
  <c r="E49" i="4"/>
  <c r="E49" i="5"/>
  <c r="C15" i="19"/>
  <c r="E20" i="5"/>
  <c r="F15" i="19" s="1"/>
  <c r="E20" i="4"/>
  <c r="C23" i="19"/>
  <c r="E28" i="5"/>
  <c r="F23" i="19" s="1"/>
  <c r="E28" i="4"/>
  <c r="C85" i="19"/>
  <c r="E90" i="4"/>
  <c r="E90" i="5"/>
  <c r="C94" i="19"/>
  <c r="E99" i="5"/>
  <c r="E99" i="4"/>
  <c r="C36" i="19"/>
  <c r="E41" i="5"/>
  <c r="E41" i="4"/>
  <c r="C16" i="19"/>
  <c r="E21" i="4"/>
  <c r="E21" i="5"/>
  <c r="F16" i="19" s="1"/>
  <c r="C24" i="19"/>
  <c r="E29" i="4"/>
  <c r="E29" i="5"/>
  <c r="F24" i="19" s="1"/>
  <c r="C88" i="19"/>
  <c r="E93" i="4"/>
  <c r="E93" i="5"/>
  <c r="C100" i="19"/>
  <c r="E105" i="5"/>
  <c r="E105" i="4"/>
  <c r="C32" i="19"/>
  <c r="E37" i="5"/>
  <c r="E37" i="4"/>
  <c r="C17" i="19"/>
  <c r="E22" i="4"/>
  <c r="E22" i="5"/>
  <c r="F17" i="19" s="1"/>
  <c r="C33" i="19"/>
  <c r="E38" i="5"/>
  <c r="E38" i="4"/>
  <c r="C92" i="19"/>
  <c r="E97" i="4"/>
  <c r="E97" i="5"/>
  <c r="C99" i="19"/>
  <c r="E104" i="4"/>
  <c r="E104" i="5"/>
  <c r="C31" i="19"/>
  <c r="E36" i="4"/>
  <c r="E36" i="5"/>
  <c r="C70" i="19"/>
  <c r="E75" i="4"/>
  <c r="E75" i="5"/>
  <c r="C51" i="19"/>
  <c r="E56" i="5"/>
  <c r="E56" i="4"/>
  <c r="C13" i="19"/>
  <c r="E18" i="5"/>
  <c r="F13" i="19" s="1"/>
  <c r="E18" i="4"/>
  <c r="C73" i="19"/>
  <c r="E78" i="5"/>
  <c r="E78" i="4"/>
  <c r="C18" i="19"/>
  <c r="E23" i="4"/>
  <c r="E23" i="5"/>
  <c r="F18" i="19" s="1"/>
  <c r="C40" i="19"/>
  <c r="E45" i="5"/>
  <c r="E45" i="4"/>
  <c r="C97" i="19"/>
  <c r="E102" i="5"/>
  <c r="E102" i="4"/>
  <c r="C98" i="19"/>
  <c r="E103" i="4"/>
  <c r="E103" i="5"/>
  <c r="C27" i="19"/>
  <c r="E32" i="5"/>
  <c r="F27" i="19" s="1"/>
  <c r="E32" i="4"/>
  <c r="C19" i="19"/>
  <c r="E24" i="4"/>
  <c r="D24" i="4" s="1"/>
  <c r="E24" i="5"/>
  <c r="F19" i="19" s="1"/>
  <c r="C41" i="19"/>
  <c r="E46" i="4"/>
  <c r="E46" i="5"/>
  <c r="C101" i="19"/>
  <c r="E106" i="5"/>
  <c r="E106" i="4"/>
  <c r="C95" i="19"/>
  <c r="E100" i="5"/>
  <c r="E100" i="4"/>
  <c r="C25" i="19"/>
  <c r="E30" i="4"/>
  <c r="E30" i="5"/>
  <c r="F25" i="19" s="1"/>
  <c r="C20" i="19"/>
  <c r="E25" i="4"/>
  <c r="E25" i="5"/>
  <c r="F20" i="19" s="1"/>
  <c r="C49" i="19"/>
  <c r="E54" i="4"/>
  <c r="E54" i="5"/>
  <c r="C35" i="19"/>
  <c r="E40" i="5"/>
  <c r="E40" i="4"/>
  <c r="C6" i="19"/>
  <c r="E11" i="5"/>
  <c r="F6" i="19" s="1"/>
  <c r="E11" i="4"/>
  <c r="C91" i="19"/>
  <c r="E96" i="4"/>
  <c r="E96" i="5"/>
  <c r="C9" i="19"/>
  <c r="E14" i="5"/>
  <c r="F9" i="19" s="1"/>
  <c r="E14" i="4"/>
  <c r="D14" i="4" s="1"/>
  <c r="C22" i="19"/>
  <c r="E27" i="4"/>
  <c r="E27" i="5"/>
  <c r="F22" i="19" s="1"/>
  <c r="C54" i="19"/>
  <c r="E59" i="4"/>
  <c r="E59" i="5"/>
  <c r="C46" i="19"/>
  <c r="E51" i="5"/>
  <c r="E51" i="4"/>
  <c r="C8" i="19"/>
  <c r="E13" i="4"/>
  <c r="E13" i="5"/>
  <c r="F8" i="19" s="1"/>
  <c r="C90" i="19"/>
  <c r="E95" i="5"/>
  <c r="E95" i="4"/>
  <c r="C28" i="19"/>
  <c r="E33" i="5"/>
  <c r="E33" i="4"/>
  <c r="C37" i="19"/>
  <c r="E42" i="5"/>
  <c r="E42" i="4"/>
  <c r="C62" i="19"/>
  <c r="E67" i="4"/>
  <c r="E67" i="5"/>
  <c r="C61" i="19"/>
  <c r="E66" i="4"/>
  <c r="E66" i="5"/>
  <c r="C89" i="19"/>
  <c r="E94" i="4"/>
  <c r="E94" i="5"/>
  <c r="E9" i="4"/>
  <c r="E9" i="5"/>
  <c r="D9" i="5" s="1"/>
  <c r="C30" i="19"/>
  <c r="E35" i="4"/>
  <c r="E35" i="5"/>
  <c r="C72" i="19"/>
  <c r="E77" i="5"/>
  <c r="E77" i="4"/>
  <c r="E80" i="5"/>
  <c r="E80" i="4"/>
  <c r="C93" i="19"/>
  <c r="E98" i="5"/>
  <c r="E98" i="4"/>
  <c r="C38" i="19"/>
  <c r="E43" i="4"/>
  <c r="E43" i="5"/>
  <c r="C42" i="19"/>
  <c r="E47" i="4"/>
  <c r="E47" i="5"/>
  <c r="C69" i="19"/>
  <c r="E74" i="4"/>
  <c r="E74" i="5"/>
  <c r="C84" i="19"/>
  <c r="E89" i="5"/>
  <c r="E89" i="4"/>
  <c r="C77" i="19"/>
  <c r="E82" i="5"/>
  <c r="E82" i="4"/>
  <c r="C83" i="19"/>
  <c r="E88" i="5"/>
  <c r="E88" i="4"/>
  <c r="C50" i="19"/>
  <c r="E55" i="5"/>
  <c r="E55" i="4"/>
  <c r="E10" i="4"/>
  <c r="D10" i="4" s="1"/>
  <c r="E10" i="5"/>
  <c r="D10" i="5" s="1"/>
  <c r="C81" i="19"/>
  <c r="E86" i="5"/>
  <c r="E86" i="8"/>
  <c r="C52" i="19"/>
  <c r="E57" i="4"/>
  <c r="E57" i="5"/>
  <c r="C87" i="19"/>
  <c r="E92" i="5"/>
  <c r="E92" i="4"/>
  <c r="C78" i="19"/>
  <c r="E83" i="5"/>
  <c r="E83" i="4"/>
  <c r="C34" i="19"/>
  <c r="E39" i="5"/>
  <c r="E39" i="4"/>
  <c r="C76" i="19"/>
  <c r="E81" i="5"/>
  <c r="E81" i="4"/>
  <c r="C56" i="19"/>
  <c r="E61" i="4"/>
  <c r="E61" i="5"/>
  <c r="C96" i="19"/>
  <c r="E101" i="5"/>
  <c r="E101" i="4"/>
  <c r="C39" i="19"/>
  <c r="E44" i="5"/>
  <c r="E44" i="4"/>
  <c r="C10" i="19"/>
  <c r="E15" i="4"/>
  <c r="E15" i="5"/>
  <c r="F10" i="19" s="1"/>
  <c r="C58" i="19"/>
  <c r="E63" i="4"/>
  <c r="E63" i="5"/>
  <c r="C45" i="19"/>
  <c r="E50" i="4"/>
  <c r="E50" i="5"/>
  <c r="C43" i="19"/>
  <c r="E48" i="4"/>
  <c r="E48" i="5"/>
  <c r="C65" i="19"/>
  <c r="E70" i="4"/>
  <c r="E70" i="5"/>
  <c r="C66" i="19"/>
  <c r="E71" i="4"/>
  <c r="E71" i="5"/>
  <c r="C68" i="19"/>
  <c r="E73" i="4"/>
  <c r="E73" i="5"/>
  <c r="C82" i="19"/>
  <c r="E87" i="4"/>
  <c r="E87" i="5"/>
  <c r="C7" i="19"/>
  <c r="E12" i="4"/>
  <c r="E12" i="5"/>
  <c r="F7" i="19" s="1"/>
  <c r="D12" i="2"/>
  <c r="K12" i="2" s="1"/>
  <c r="C55" i="19"/>
  <c r="E60" i="4"/>
  <c r="E60" i="5"/>
  <c r="C26" i="19"/>
  <c r="E31" i="4"/>
  <c r="E31" i="5"/>
  <c r="F26" i="19" s="1"/>
  <c r="C74" i="19"/>
  <c r="E79" i="5"/>
  <c r="E79" i="4"/>
  <c r="C57" i="19"/>
  <c r="E62" i="4"/>
  <c r="E62" i="5"/>
  <c r="C29" i="19"/>
  <c r="E34" i="5"/>
  <c r="E34" i="4"/>
  <c r="C67" i="19"/>
  <c r="E72" i="4"/>
  <c r="E72" i="5"/>
  <c r="C11" i="19"/>
  <c r="E16" i="5"/>
  <c r="F11" i="19" s="1"/>
  <c r="E16" i="4"/>
  <c r="C59" i="19"/>
  <c r="E64" i="5"/>
  <c r="E64" i="4"/>
  <c r="C48" i="19"/>
  <c r="E53" i="5"/>
  <c r="E53" i="4"/>
  <c r="C53" i="19"/>
  <c r="E58" i="4"/>
  <c r="E58" i="5"/>
  <c r="C63" i="19"/>
  <c r="E68" i="4"/>
  <c r="E68" i="5"/>
  <c r="T4" i="21"/>
  <c r="T5" i="21" s="1"/>
  <c r="R4" i="21"/>
  <c r="R5" i="21" s="1"/>
  <c r="C23" i="1"/>
  <c r="C19" i="1"/>
  <c r="C38" i="1"/>
  <c r="E5" i="7"/>
  <c r="D14" i="7"/>
  <c r="K14" i="7" s="1"/>
  <c r="D21" i="7"/>
  <c r="K21" i="7" s="1"/>
  <c r="D9" i="7"/>
  <c r="D10" i="7"/>
  <c r="K10" i="7" s="1"/>
  <c r="C25" i="1"/>
  <c r="AO24" i="1"/>
  <c r="D20" i="7"/>
  <c r="K20" i="7" s="1"/>
  <c r="H15" i="19"/>
  <c r="D26" i="7"/>
  <c r="K26" i="7" s="1"/>
  <c r="H21" i="19"/>
  <c r="D22" i="7"/>
  <c r="K22" i="7" s="1"/>
  <c r="H17" i="19"/>
  <c r="D24" i="7"/>
  <c r="K24" i="7" s="1"/>
  <c r="H19" i="19"/>
  <c r="D11" i="7"/>
  <c r="H6" i="19"/>
  <c r="D30" i="7"/>
  <c r="K30" i="7" s="1"/>
  <c r="H25" i="19"/>
  <c r="D23" i="7"/>
  <c r="K23" i="7" s="1"/>
  <c r="H18" i="19"/>
  <c r="D29" i="7"/>
  <c r="K29" i="7" s="1"/>
  <c r="H24" i="19"/>
  <c r="D19" i="7"/>
  <c r="H14" i="19"/>
  <c r="D18" i="7"/>
  <c r="K18" i="7" s="1"/>
  <c r="H13" i="19"/>
  <c r="D31" i="7"/>
  <c r="K31" i="7" s="1"/>
  <c r="H26" i="19"/>
  <c r="D25" i="7"/>
  <c r="K25" i="7" s="1"/>
  <c r="H20" i="19"/>
  <c r="H9" i="19"/>
  <c r="D27" i="7"/>
  <c r="K27" i="7" s="1"/>
  <c r="H22" i="19"/>
  <c r="H16" i="19"/>
  <c r="D16" i="7"/>
  <c r="K16" i="7" s="1"/>
  <c r="H11" i="19"/>
  <c r="D17" i="7"/>
  <c r="K17" i="7" s="1"/>
  <c r="H12" i="19"/>
  <c r="D15" i="7"/>
  <c r="K15" i="7" s="1"/>
  <c r="H10" i="19"/>
  <c r="D32" i="7"/>
  <c r="K32" i="7" s="1"/>
  <c r="H27" i="19"/>
  <c r="D13" i="7"/>
  <c r="K13" i="7" s="1"/>
  <c r="H8" i="19"/>
  <c r="H7" i="19"/>
  <c r="D28" i="7"/>
  <c r="K28" i="7" s="1"/>
  <c r="H23" i="19"/>
  <c r="P97" i="19"/>
  <c r="R97" i="19"/>
  <c r="U97" i="19"/>
  <c r="T97" i="19"/>
  <c r="T97" i="20" s="1"/>
  <c r="S97" i="21" s="1"/>
  <c r="V97" i="19"/>
  <c r="V97" i="20" s="1"/>
  <c r="U97" i="21" s="1"/>
  <c r="Q97" i="19"/>
  <c r="S97" i="19"/>
  <c r="S97" i="20" s="1"/>
  <c r="R97" i="21" s="1"/>
  <c r="R44" i="19"/>
  <c r="S44" i="19"/>
  <c r="S44" i="20" s="1"/>
  <c r="T44" i="19"/>
  <c r="T44" i="20" s="1"/>
  <c r="U44" i="19"/>
  <c r="U44" i="20" s="1"/>
  <c r="V44" i="19"/>
  <c r="P44" i="19"/>
  <c r="Q44" i="19"/>
  <c r="P37" i="19"/>
  <c r="Q37" i="19"/>
  <c r="R37" i="19"/>
  <c r="U37" i="19"/>
  <c r="T37" i="19"/>
  <c r="T37" i="20" s="1"/>
  <c r="V37" i="19"/>
  <c r="S37" i="19"/>
  <c r="S37" i="20" s="1"/>
  <c r="S37" i="22" s="1"/>
  <c r="S38" i="19"/>
  <c r="S38" i="20" s="1"/>
  <c r="R38" i="21" s="1"/>
  <c r="U38" i="19"/>
  <c r="T38" i="19"/>
  <c r="T38" i="20" s="1"/>
  <c r="S38" i="21" s="1"/>
  <c r="V38" i="19"/>
  <c r="R38" i="19"/>
  <c r="P38" i="19"/>
  <c r="Q38" i="19"/>
  <c r="P46" i="19"/>
  <c r="Q46" i="19"/>
  <c r="R46" i="19"/>
  <c r="S46" i="19"/>
  <c r="S46" i="20" s="1"/>
  <c r="T46" i="19"/>
  <c r="T46" i="20" s="1"/>
  <c r="V46" i="19"/>
  <c r="U46" i="19"/>
  <c r="Q80" i="19"/>
  <c r="R80" i="19"/>
  <c r="P80" i="19"/>
  <c r="S80" i="19"/>
  <c r="S80" i="20" s="1"/>
  <c r="S80" i="22" s="1"/>
  <c r="T80" i="19"/>
  <c r="T80" i="20" s="1"/>
  <c r="T80" i="22" s="1"/>
  <c r="U80" i="19"/>
  <c r="V80" i="19"/>
  <c r="P47" i="19"/>
  <c r="Q47" i="19"/>
  <c r="R47" i="19"/>
  <c r="U47" i="19"/>
  <c r="S47" i="19"/>
  <c r="S47" i="20" s="1"/>
  <c r="S47" i="22" s="1"/>
  <c r="T47" i="19"/>
  <c r="T47" i="20" s="1"/>
  <c r="T47" i="22" s="1"/>
  <c r="V47" i="19"/>
  <c r="S78" i="19"/>
  <c r="S78" i="20" s="1"/>
  <c r="V78" i="19"/>
  <c r="T78" i="19"/>
  <c r="T78" i="20" s="1"/>
  <c r="T78" i="22" s="1"/>
  <c r="U78" i="19"/>
  <c r="U78" i="20" s="1"/>
  <c r="U78" i="22" s="1"/>
  <c r="Q78" i="19"/>
  <c r="P78" i="19"/>
  <c r="R78" i="19"/>
  <c r="P25" i="19"/>
  <c r="S25" i="19"/>
  <c r="S25" i="20" s="1"/>
  <c r="R25" i="21" s="1"/>
  <c r="Q25" i="19"/>
  <c r="R25" i="19"/>
  <c r="T25" i="19"/>
  <c r="T25" i="20" s="1"/>
  <c r="T25" i="22" s="1"/>
  <c r="U25" i="19"/>
  <c r="U25" i="20" s="1"/>
  <c r="U25" i="22" s="1"/>
  <c r="V25" i="19"/>
  <c r="S48" i="19"/>
  <c r="S48" i="20" s="1"/>
  <c r="U48" i="19"/>
  <c r="U48" i="20" s="1"/>
  <c r="U48" i="22" s="1"/>
  <c r="T48" i="19"/>
  <c r="T48" i="20" s="1"/>
  <c r="S48" i="21" s="1"/>
  <c r="V48" i="19"/>
  <c r="P48" i="19"/>
  <c r="Q48" i="19"/>
  <c r="R48" i="19"/>
  <c r="Q75" i="19"/>
  <c r="P75" i="19"/>
  <c r="R75" i="19"/>
  <c r="V75" i="19"/>
  <c r="S75" i="19"/>
  <c r="S75" i="20" s="1"/>
  <c r="S75" i="22" s="1"/>
  <c r="U75" i="19"/>
  <c r="T75" i="19"/>
  <c r="T75" i="20" s="1"/>
  <c r="T75" i="22" s="1"/>
  <c r="U21" i="19"/>
  <c r="V21" i="19"/>
  <c r="T21" i="19"/>
  <c r="T21" i="20" s="1"/>
  <c r="S21" i="21" s="1"/>
  <c r="Q21" i="19"/>
  <c r="P21" i="19"/>
  <c r="S21" i="19"/>
  <c r="S21" i="20" s="1"/>
  <c r="R21" i="21" s="1"/>
  <c r="R21" i="19"/>
  <c r="P92" i="19"/>
  <c r="R92" i="19"/>
  <c r="U92" i="19"/>
  <c r="S92" i="19"/>
  <c r="S92" i="20" s="1"/>
  <c r="S92" i="22" s="1"/>
  <c r="T92" i="19"/>
  <c r="T92" i="20" s="1"/>
  <c r="S92" i="21" s="1"/>
  <c r="V92" i="19"/>
  <c r="Q92" i="19"/>
  <c r="P72" i="19"/>
  <c r="Q72" i="19"/>
  <c r="R72" i="19"/>
  <c r="U72" i="19"/>
  <c r="T72" i="19"/>
  <c r="T72" i="20" s="1"/>
  <c r="T72" i="22" s="1"/>
  <c r="S72" i="19"/>
  <c r="S72" i="20" s="1"/>
  <c r="S72" i="22" s="1"/>
  <c r="V72" i="19"/>
  <c r="Q19" i="19"/>
  <c r="S19" i="19"/>
  <c r="S19" i="20" s="1"/>
  <c r="V19" i="19"/>
  <c r="R19" i="19"/>
  <c r="T19" i="19"/>
  <c r="T19" i="20" s="1"/>
  <c r="U19" i="19"/>
  <c r="P19" i="19"/>
  <c r="Q70" i="19"/>
  <c r="S70" i="19"/>
  <c r="S70" i="20" s="1"/>
  <c r="S70" i="22" s="1"/>
  <c r="T70" i="19"/>
  <c r="T70" i="20" s="1"/>
  <c r="T70" i="22" s="1"/>
  <c r="R70" i="19"/>
  <c r="U70" i="19"/>
  <c r="U70" i="20" s="1"/>
  <c r="U70" i="22" s="1"/>
  <c r="V70" i="19"/>
  <c r="P70" i="19"/>
  <c r="S28" i="19"/>
  <c r="S28" i="20" s="1"/>
  <c r="S28" i="22" s="1"/>
  <c r="U28" i="19"/>
  <c r="T28" i="19"/>
  <c r="T28" i="20" s="1"/>
  <c r="T28" i="22" s="1"/>
  <c r="V28" i="19"/>
  <c r="P28" i="19"/>
  <c r="Q28" i="19"/>
  <c r="R28" i="19"/>
  <c r="P32" i="19"/>
  <c r="Q32" i="19"/>
  <c r="R32" i="19"/>
  <c r="U32" i="19"/>
  <c r="S32" i="19"/>
  <c r="S32" i="20" s="1"/>
  <c r="R32" i="21" s="1"/>
  <c r="T32" i="19"/>
  <c r="T32" i="20" s="1"/>
  <c r="S32" i="21" s="1"/>
  <c r="V32" i="19"/>
  <c r="P16" i="19"/>
  <c r="R16" i="19"/>
  <c r="S16" i="19"/>
  <c r="S16" i="20" s="1"/>
  <c r="S16" i="22" s="1"/>
  <c r="T16" i="19"/>
  <c r="T16" i="20" s="1"/>
  <c r="S16" i="21" s="1"/>
  <c r="U16" i="19"/>
  <c r="U16" i="20" s="1"/>
  <c r="U16" i="22" s="1"/>
  <c r="V16" i="19"/>
  <c r="Q16" i="19"/>
  <c r="R17" i="19"/>
  <c r="P17" i="19"/>
  <c r="Q17" i="19"/>
  <c r="T17" i="19"/>
  <c r="T17" i="20" s="1"/>
  <c r="T17" i="22" s="1"/>
  <c r="U17" i="19"/>
  <c r="V17" i="19"/>
  <c r="S17" i="19"/>
  <c r="S17" i="20" s="1"/>
  <c r="S17" i="22" s="1"/>
  <c r="P67" i="19"/>
  <c r="Q67" i="19"/>
  <c r="R67" i="19"/>
  <c r="U67" i="19"/>
  <c r="V67" i="19"/>
  <c r="S67" i="19"/>
  <c r="S67" i="20" s="1"/>
  <c r="S67" i="22" s="1"/>
  <c r="T67" i="19"/>
  <c r="T67" i="20" s="1"/>
  <c r="T67" i="22" s="1"/>
  <c r="P52" i="19"/>
  <c r="Q52" i="19"/>
  <c r="R52" i="19"/>
  <c r="U52" i="19"/>
  <c r="U52" i="20" s="1"/>
  <c r="U52" i="22" s="1"/>
  <c r="V52" i="19"/>
  <c r="T52" i="19"/>
  <c r="T52" i="20" s="1"/>
  <c r="S52" i="21" s="1"/>
  <c r="S52" i="19"/>
  <c r="S52" i="20" s="1"/>
  <c r="S52" i="22" s="1"/>
  <c r="P23" i="19"/>
  <c r="Q23" i="19"/>
  <c r="S23" i="19"/>
  <c r="S23" i="20" s="1"/>
  <c r="R23" i="19"/>
  <c r="T23" i="19"/>
  <c r="T23" i="20" s="1"/>
  <c r="V23" i="19"/>
  <c r="U23" i="19"/>
  <c r="R27" i="19"/>
  <c r="P27" i="19"/>
  <c r="Q27" i="19"/>
  <c r="T27" i="19"/>
  <c r="T27" i="20" s="1"/>
  <c r="U27" i="19"/>
  <c r="V27" i="19"/>
  <c r="S27" i="19"/>
  <c r="S27" i="20" s="1"/>
  <c r="Q45" i="19"/>
  <c r="T45" i="19"/>
  <c r="T45" i="20" s="1"/>
  <c r="S45" i="21" s="1"/>
  <c r="U45" i="19"/>
  <c r="U45" i="20" s="1"/>
  <c r="U45" i="22" s="1"/>
  <c r="R45" i="19"/>
  <c r="P45" i="19"/>
  <c r="S45" i="19"/>
  <c r="S45" i="20" s="1"/>
  <c r="R45" i="21" s="1"/>
  <c r="V45" i="19"/>
  <c r="Q60" i="19"/>
  <c r="U60" i="19"/>
  <c r="P60" i="19"/>
  <c r="R60" i="19"/>
  <c r="S60" i="19"/>
  <c r="S60" i="20" s="1"/>
  <c r="R60" i="21" s="1"/>
  <c r="V60" i="19"/>
  <c r="T60" i="19"/>
  <c r="T60" i="20" s="1"/>
  <c r="T60" i="22" s="1"/>
  <c r="P41" i="19"/>
  <c r="Q41" i="19"/>
  <c r="T41" i="19"/>
  <c r="T41" i="20" s="1"/>
  <c r="R41" i="19"/>
  <c r="S41" i="19"/>
  <c r="S41" i="20" s="1"/>
  <c r="S41" i="22" s="1"/>
  <c r="V41" i="19"/>
  <c r="U41" i="19"/>
  <c r="Q95" i="19"/>
  <c r="R95" i="19"/>
  <c r="S95" i="19"/>
  <c r="S95" i="20" s="1"/>
  <c r="R95" i="21" s="1"/>
  <c r="U95" i="19"/>
  <c r="U95" i="20" s="1"/>
  <c r="P95" i="19"/>
  <c r="V95" i="19"/>
  <c r="T95" i="19"/>
  <c r="T95" i="20" s="1"/>
  <c r="S95" i="21" s="1"/>
  <c r="P34" i="19"/>
  <c r="R34" i="19"/>
  <c r="S34" i="19"/>
  <c r="S34" i="20" s="1"/>
  <c r="T34" i="19"/>
  <c r="T34" i="20" s="1"/>
  <c r="U34" i="19"/>
  <c r="V34" i="19"/>
  <c r="Q34" i="19"/>
  <c r="P36" i="19"/>
  <c r="Q36" i="19"/>
  <c r="R36" i="19"/>
  <c r="S36" i="19"/>
  <c r="S36" i="20" s="1"/>
  <c r="T36" i="19"/>
  <c r="T36" i="20" s="1"/>
  <c r="S36" i="21" s="1"/>
  <c r="V36" i="19"/>
  <c r="U36" i="19"/>
  <c r="U36" i="20" s="1"/>
  <c r="U36" i="22" s="1"/>
  <c r="P12" i="19"/>
  <c r="Q12" i="19"/>
  <c r="R12" i="19"/>
  <c r="S12" i="19"/>
  <c r="S12" i="20" s="1"/>
  <c r="R12" i="21" s="1"/>
  <c r="T12" i="19"/>
  <c r="T12" i="20" s="1"/>
  <c r="T12" i="22" s="1"/>
  <c r="U12" i="19"/>
  <c r="V12" i="19"/>
  <c r="P13" i="19"/>
  <c r="Q13" i="19"/>
  <c r="S13" i="19"/>
  <c r="S13" i="20" s="1"/>
  <c r="S13" i="22" s="1"/>
  <c r="T13" i="19"/>
  <c r="T13" i="20" s="1"/>
  <c r="S13" i="21" s="1"/>
  <c r="V13" i="19"/>
  <c r="R13" i="19"/>
  <c r="U13" i="19"/>
  <c r="U11" i="19"/>
  <c r="U11" i="20" s="1"/>
  <c r="V11" i="19"/>
  <c r="P11" i="19"/>
  <c r="T11" i="19"/>
  <c r="T11" i="20" s="1"/>
  <c r="S11" i="21" s="1"/>
  <c r="Q11" i="19"/>
  <c r="R11" i="19"/>
  <c r="S11" i="19"/>
  <c r="S11" i="20" s="1"/>
  <c r="R49" i="19"/>
  <c r="S49" i="19"/>
  <c r="S49" i="20" s="1"/>
  <c r="S49" i="22" s="1"/>
  <c r="T49" i="19"/>
  <c r="T49" i="20" s="1"/>
  <c r="U49" i="19"/>
  <c r="V49" i="19"/>
  <c r="P49" i="19"/>
  <c r="Q49" i="19"/>
  <c r="S58" i="19"/>
  <c r="S58" i="20" s="1"/>
  <c r="R58" i="21" s="1"/>
  <c r="U58" i="19"/>
  <c r="T58" i="19"/>
  <c r="T58" i="20" s="1"/>
  <c r="V58" i="19"/>
  <c r="V58" i="20" s="1"/>
  <c r="P58" i="19"/>
  <c r="Q58" i="19"/>
  <c r="R58" i="19"/>
  <c r="P6" i="19"/>
  <c r="Q6" i="19"/>
  <c r="R6" i="19"/>
  <c r="S6" i="19"/>
  <c r="T6" i="19"/>
  <c r="U6" i="19"/>
  <c r="V6" i="19"/>
  <c r="Q35" i="19"/>
  <c r="R35" i="19"/>
  <c r="T35" i="19"/>
  <c r="T35" i="20" s="1"/>
  <c r="U35" i="19"/>
  <c r="P35" i="19"/>
  <c r="V35" i="19"/>
  <c r="S35" i="19"/>
  <c r="S35" i="20" s="1"/>
  <c r="S35" i="22" s="1"/>
  <c r="P18" i="19"/>
  <c r="Q18" i="19"/>
  <c r="R18" i="19"/>
  <c r="T18" i="19"/>
  <c r="T18" i="20" s="1"/>
  <c r="S18" i="21" s="1"/>
  <c r="S18" i="19"/>
  <c r="S18" i="20" s="1"/>
  <c r="S18" i="22" s="1"/>
  <c r="V18" i="19"/>
  <c r="U18" i="19"/>
  <c r="S88" i="19"/>
  <c r="S88" i="20" s="1"/>
  <c r="S88" i="22" s="1"/>
  <c r="T88" i="19"/>
  <c r="T88" i="20" s="1"/>
  <c r="S88" i="21" s="1"/>
  <c r="U88" i="19"/>
  <c r="V88" i="19"/>
  <c r="P88" i="19"/>
  <c r="Q88" i="19"/>
  <c r="R88" i="19"/>
  <c r="R86" i="19"/>
  <c r="P86" i="19"/>
  <c r="Q86" i="19"/>
  <c r="S86" i="19"/>
  <c r="S86" i="20" s="1"/>
  <c r="S86" i="22" s="1"/>
  <c r="V86" i="19"/>
  <c r="T86" i="19"/>
  <c r="T86" i="20" s="1"/>
  <c r="S86" i="21" s="1"/>
  <c r="U86" i="19"/>
  <c r="P15" i="19"/>
  <c r="Q15" i="19"/>
  <c r="R15" i="19"/>
  <c r="S15" i="19"/>
  <c r="S15" i="20" s="1"/>
  <c r="S15" i="22" s="1"/>
  <c r="T15" i="19"/>
  <c r="T15" i="20" s="1"/>
  <c r="T15" i="22" s="1"/>
  <c r="U15" i="19"/>
  <c r="V15" i="19"/>
  <c r="R64" i="19"/>
  <c r="S64" i="19"/>
  <c r="S64" i="20" s="1"/>
  <c r="S64" i="22" s="1"/>
  <c r="T64" i="19"/>
  <c r="T64" i="20" s="1"/>
  <c r="U64" i="19"/>
  <c r="U64" i="20" s="1"/>
  <c r="U64" i="22" s="1"/>
  <c r="V64" i="19"/>
  <c r="Q64" i="19"/>
  <c r="P64" i="19"/>
  <c r="S53" i="19"/>
  <c r="S53" i="20" s="1"/>
  <c r="T53" i="19"/>
  <c r="T53" i="20" s="1"/>
  <c r="T53" i="22" s="1"/>
  <c r="U53" i="19"/>
  <c r="V53" i="19"/>
  <c r="P53" i="19"/>
  <c r="Q53" i="19"/>
  <c r="R53" i="19"/>
  <c r="P62" i="19"/>
  <c r="Q62" i="19"/>
  <c r="R62" i="19"/>
  <c r="U62" i="19"/>
  <c r="U62" i="20" s="1"/>
  <c r="U62" i="22" s="1"/>
  <c r="S62" i="19"/>
  <c r="S62" i="20" s="1"/>
  <c r="R62" i="21" s="1"/>
  <c r="T62" i="19"/>
  <c r="T62" i="20" s="1"/>
  <c r="V62" i="19"/>
  <c r="P56" i="19"/>
  <c r="Q56" i="19"/>
  <c r="R56" i="19"/>
  <c r="S56" i="19"/>
  <c r="S56" i="20" s="1"/>
  <c r="S56" i="22" s="1"/>
  <c r="V56" i="19"/>
  <c r="T56" i="19"/>
  <c r="T56" i="20" s="1"/>
  <c r="T56" i="22" s="1"/>
  <c r="U56" i="19"/>
  <c r="P8" i="19"/>
  <c r="Q8" i="19"/>
  <c r="R8" i="19"/>
  <c r="T8" i="19"/>
  <c r="T8" i="20" s="1"/>
  <c r="S8" i="19"/>
  <c r="S8" i="20" s="1"/>
  <c r="V8" i="19"/>
  <c r="U8" i="19"/>
  <c r="U8" i="20" s="1"/>
  <c r="P29" i="19"/>
  <c r="R29" i="19"/>
  <c r="S29" i="19"/>
  <c r="S29" i="20" s="1"/>
  <c r="T29" i="19"/>
  <c r="T29" i="20" s="1"/>
  <c r="U29" i="19"/>
  <c r="V29" i="19"/>
  <c r="Q29" i="19"/>
  <c r="Q22" i="19"/>
  <c r="U22" i="19"/>
  <c r="U22" i="20" s="1"/>
  <c r="U22" i="22" s="1"/>
  <c r="P22" i="19"/>
  <c r="S22" i="19"/>
  <c r="S22" i="20" s="1"/>
  <c r="R22" i="21" s="1"/>
  <c r="V22" i="19"/>
  <c r="T22" i="19"/>
  <c r="T22" i="20" s="1"/>
  <c r="T22" i="22" s="1"/>
  <c r="R22" i="19"/>
  <c r="P42" i="19"/>
  <c r="Q42" i="19"/>
  <c r="R42" i="19"/>
  <c r="U42" i="19"/>
  <c r="S42" i="19"/>
  <c r="S42" i="20" s="1"/>
  <c r="S42" i="22" s="1"/>
  <c r="V42" i="19"/>
  <c r="T42" i="19"/>
  <c r="T42" i="20" s="1"/>
  <c r="S42" i="21" s="1"/>
  <c r="S91" i="19"/>
  <c r="S91" i="20" s="1"/>
  <c r="S91" i="22" s="1"/>
  <c r="P91" i="19"/>
  <c r="Q91" i="19"/>
  <c r="R91" i="19"/>
  <c r="V91" i="19"/>
  <c r="U91" i="19"/>
  <c r="T91" i="19"/>
  <c r="T91" i="20" s="1"/>
  <c r="S91" i="21" s="1"/>
  <c r="Q40" i="19"/>
  <c r="S40" i="19"/>
  <c r="S40" i="20" s="1"/>
  <c r="S40" i="22" s="1"/>
  <c r="U40" i="19"/>
  <c r="U40" i="20" s="1"/>
  <c r="U40" i="22" s="1"/>
  <c r="V40" i="19"/>
  <c r="P40" i="19"/>
  <c r="T40" i="19"/>
  <c r="T40" i="20" s="1"/>
  <c r="T40" i="22" s="1"/>
  <c r="R40" i="19"/>
  <c r="S83" i="19"/>
  <c r="S83" i="20" s="1"/>
  <c r="S83" i="22" s="1"/>
  <c r="U83" i="19"/>
  <c r="T83" i="19"/>
  <c r="T83" i="20" s="1"/>
  <c r="S83" i="21" s="1"/>
  <c r="V83" i="19"/>
  <c r="R83" i="19"/>
  <c r="Q83" i="19"/>
  <c r="P83" i="19"/>
  <c r="S63" i="19"/>
  <c r="S63" i="20" s="1"/>
  <c r="T63" i="19"/>
  <c r="T63" i="20" s="1"/>
  <c r="U63" i="19"/>
  <c r="V63" i="19"/>
  <c r="R63" i="19"/>
  <c r="P63" i="19"/>
  <c r="Q63" i="19"/>
  <c r="S20" i="19"/>
  <c r="S20" i="20" s="1"/>
  <c r="S20" i="22" s="1"/>
  <c r="T20" i="19"/>
  <c r="T20" i="20" s="1"/>
  <c r="T20" i="22" s="1"/>
  <c r="U20" i="19"/>
  <c r="V20" i="19"/>
  <c r="R20" i="19"/>
  <c r="P20" i="19"/>
  <c r="Q20" i="19"/>
  <c r="R59" i="19"/>
  <c r="S59" i="19"/>
  <c r="S59" i="20" s="1"/>
  <c r="S59" i="22" s="1"/>
  <c r="T59" i="19"/>
  <c r="T59" i="20" s="1"/>
  <c r="T59" i="22" s="1"/>
  <c r="U59" i="19"/>
  <c r="U59" i="20" s="1"/>
  <c r="U59" i="22" s="1"/>
  <c r="V59" i="19"/>
  <c r="Q59" i="19"/>
  <c r="P59" i="19"/>
  <c r="Q9" i="19"/>
  <c r="S9" i="19"/>
  <c r="S9" i="20" s="1"/>
  <c r="S9" i="22" s="1"/>
  <c r="V9" i="19"/>
  <c r="R9" i="19"/>
  <c r="T9" i="19"/>
  <c r="T9" i="20" s="1"/>
  <c r="T9" i="22" s="1"/>
  <c r="U9" i="19"/>
  <c r="U9" i="20" s="1"/>
  <c r="U9" i="22" s="1"/>
  <c r="P9" i="19"/>
  <c r="R54" i="19"/>
  <c r="S54" i="19"/>
  <c r="S54" i="20" s="1"/>
  <c r="R54" i="21" s="1"/>
  <c r="T54" i="19"/>
  <c r="T54" i="20" s="1"/>
  <c r="T54" i="22" s="1"/>
  <c r="U54" i="19"/>
  <c r="V54" i="19"/>
  <c r="Q54" i="19"/>
  <c r="P54" i="19"/>
  <c r="S10" i="19"/>
  <c r="S10" i="20" s="1"/>
  <c r="S10" i="22" s="1"/>
  <c r="T10" i="19"/>
  <c r="T10" i="20" s="1"/>
  <c r="S10" i="21" s="1"/>
  <c r="U10" i="19"/>
  <c r="U10" i="20" s="1"/>
  <c r="U10" i="22" s="1"/>
  <c r="V10" i="19"/>
  <c r="Q10" i="19"/>
  <c r="R10" i="19"/>
  <c r="P10" i="19"/>
  <c r="Q100" i="19"/>
  <c r="V100" i="19"/>
  <c r="R100" i="19"/>
  <c r="U100" i="19"/>
  <c r="U100" i="20" s="1"/>
  <c r="S100" i="19"/>
  <c r="S100" i="20" s="1"/>
  <c r="R100" i="21" s="1"/>
  <c r="P100" i="19"/>
  <c r="T100" i="19"/>
  <c r="T100" i="20" s="1"/>
  <c r="S100" i="21" s="1"/>
  <c r="P26" i="19"/>
  <c r="R26" i="19"/>
  <c r="S26" i="19"/>
  <c r="S26" i="20" s="1"/>
  <c r="S26" i="22" s="1"/>
  <c r="T26" i="19"/>
  <c r="T26" i="20" s="1"/>
  <c r="U26" i="19"/>
  <c r="V26" i="19"/>
  <c r="Q26" i="19"/>
  <c r="D28" i="2"/>
  <c r="K28" i="2" s="1"/>
  <c r="D48" i="2"/>
  <c r="K48" i="2" s="1"/>
  <c r="D68" i="2"/>
  <c r="K68" i="2" s="1"/>
  <c r="D88" i="2"/>
  <c r="K88" i="2" s="1"/>
  <c r="D91" i="2"/>
  <c r="K91" i="2" s="1"/>
  <c r="D74" i="2"/>
  <c r="K74" i="2" s="1"/>
  <c r="D9" i="2"/>
  <c r="K9" i="2" s="1"/>
  <c r="D29" i="2"/>
  <c r="K29" i="2" s="1"/>
  <c r="D49" i="2"/>
  <c r="K49" i="2" s="1"/>
  <c r="D69" i="2"/>
  <c r="K69" i="2" s="1"/>
  <c r="D89" i="2"/>
  <c r="K89" i="2" s="1"/>
  <c r="D10" i="2"/>
  <c r="K10" i="2" s="1"/>
  <c r="D15" i="2"/>
  <c r="K15" i="2" s="1"/>
  <c r="D35" i="2"/>
  <c r="K35" i="2" s="1"/>
  <c r="D55" i="2"/>
  <c r="K55" i="2" s="1"/>
  <c r="D75" i="2"/>
  <c r="K75" i="2" s="1"/>
  <c r="D95" i="2"/>
  <c r="K95" i="2" s="1"/>
  <c r="D58" i="2"/>
  <c r="K58" i="2" s="1"/>
  <c r="D78" i="2"/>
  <c r="K78" i="2" s="1"/>
  <c r="D19" i="2"/>
  <c r="K19" i="2" s="1"/>
  <c r="D79" i="2"/>
  <c r="K79" i="2" s="1"/>
  <c r="D99" i="2"/>
  <c r="D20" i="2"/>
  <c r="K20" i="2" s="1"/>
  <c r="D100" i="2"/>
  <c r="K100" i="2" s="1"/>
  <c r="D21" i="2"/>
  <c r="K21" i="2" s="1"/>
  <c r="D81" i="2"/>
  <c r="K81" i="2" s="1"/>
  <c r="D42" i="2"/>
  <c r="K42" i="2" s="1"/>
  <c r="D82" i="2"/>
  <c r="K82" i="2" s="1"/>
  <c r="D23" i="2"/>
  <c r="K23" i="2" s="1"/>
  <c r="D83" i="2"/>
  <c r="K83" i="2" s="1"/>
  <c r="D24" i="2"/>
  <c r="K24" i="2" s="1"/>
  <c r="D84" i="2"/>
  <c r="K84" i="2" s="1"/>
  <c r="D25" i="2"/>
  <c r="K25" i="2" s="1"/>
  <c r="D85" i="2"/>
  <c r="K85" i="2" s="1"/>
  <c r="D26" i="2"/>
  <c r="K26" i="2" s="1"/>
  <c r="D86" i="2"/>
  <c r="K86" i="2" s="1"/>
  <c r="D27" i="2"/>
  <c r="K27" i="2" s="1"/>
  <c r="D87" i="2"/>
  <c r="K87" i="2" s="1"/>
  <c r="D70" i="2"/>
  <c r="K70" i="2" s="1"/>
  <c r="D90" i="2"/>
  <c r="K90" i="2" s="1"/>
  <c r="D11" i="2"/>
  <c r="K11" i="2" s="1"/>
  <c r="D32" i="2"/>
  <c r="K32" i="2" s="1"/>
  <c r="D72" i="2"/>
  <c r="K72" i="2" s="1"/>
  <c r="D13" i="2"/>
  <c r="K13" i="2" s="1"/>
  <c r="D73" i="2"/>
  <c r="K73" i="2" s="1"/>
  <c r="D14" i="2"/>
  <c r="K14" i="2" s="1"/>
  <c r="D94" i="2"/>
  <c r="K94" i="2" s="1"/>
  <c r="D16" i="2"/>
  <c r="K16" i="2" s="1"/>
  <c r="D36" i="2"/>
  <c r="K36" i="2" s="1"/>
  <c r="D56" i="2"/>
  <c r="K56" i="2" s="1"/>
  <c r="D76" i="2"/>
  <c r="K76" i="2" s="1"/>
  <c r="D96" i="2"/>
  <c r="K96" i="2" s="1"/>
  <c r="D38" i="2"/>
  <c r="K38" i="2" s="1"/>
  <c r="D59" i="2"/>
  <c r="K59" i="2" s="1"/>
  <c r="D60" i="2"/>
  <c r="K60" i="2" s="1"/>
  <c r="D61" i="2"/>
  <c r="K61" i="2" s="1"/>
  <c r="D62" i="2"/>
  <c r="K62" i="2" s="1"/>
  <c r="D63" i="2"/>
  <c r="K63" i="2" s="1"/>
  <c r="D44" i="2"/>
  <c r="K44" i="2" s="1"/>
  <c r="D65" i="2"/>
  <c r="K65" i="2" s="1"/>
  <c r="D66" i="2"/>
  <c r="K66" i="2" s="1"/>
  <c r="D47" i="2"/>
  <c r="K47" i="2" s="1"/>
  <c r="D30" i="2"/>
  <c r="K30" i="2" s="1"/>
  <c r="D51" i="2"/>
  <c r="K51" i="2" s="1"/>
  <c r="D52" i="2"/>
  <c r="K52" i="2" s="1"/>
  <c r="D53" i="2"/>
  <c r="K53" i="2" s="1"/>
  <c r="D34" i="2"/>
  <c r="K34" i="2" s="1"/>
  <c r="D17" i="2"/>
  <c r="K17" i="2" s="1"/>
  <c r="D37" i="2"/>
  <c r="K37" i="2" s="1"/>
  <c r="D57" i="2"/>
  <c r="K57" i="2" s="1"/>
  <c r="D77" i="2"/>
  <c r="K77" i="2" s="1"/>
  <c r="D97" i="2"/>
  <c r="K97" i="2" s="1"/>
  <c r="D18" i="2"/>
  <c r="K18" i="2" s="1"/>
  <c r="D98" i="2"/>
  <c r="K98" i="2" s="1"/>
  <c r="D39" i="2"/>
  <c r="K39" i="2" s="1"/>
  <c r="D40" i="2"/>
  <c r="K40" i="2" s="1"/>
  <c r="D80" i="2"/>
  <c r="K80" i="2" s="1"/>
  <c r="D41" i="2"/>
  <c r="K41" i="2" s="1"/>
  <c r="D101" i="2"/>
  <c r="D22" i="2"/>
  <c r="K22" i="2" s="1"/>
  <c r="D102" i="2"/>
  <c r="H102" i="2" s="1"/>
  <c r="D43" i="2"/>
  <c r="K43" i="2" s="1"/>
  <c r="D103" i="2"/>
  <c r="H103" i="2" s="1"/>
  <c r="D64" i="2"/>
  <c r="K64" i="2" s="1"/>
  <c r="D104" i="2"/>
  <c r="H104" i="2" s="1"/>
  <c r="D45" i="2"/>
  <c r="K45" i="2" s="1"/>
  <c r="D105" i="2"/>
  <c r="H105" i="2" s="1"/>
  <c r="D46" i="2"/>
  <c r="K46" i="2" s="1"/>
  <c r="D106" i="2"/>
  <c r="H106" i="2" s="1"/>
  <c r="D67" i="2"/>
  <c r="K67" i="2" s="1"/>
  <c r="D50" i="2"/>
  <c r="K50" i="2" s="1"/>
  <c r="D31" i="2"/>
  <c r="K31" i="2" s="1"/>
  <c r="D71" i="2"/>
  <c r="K71" i="2" s="1"/>
  <c r="D92" i="2"/>
  <c r="K92" i="2" s="1"/>
  <c r="D33" i="2"/>
  <c r="K33" i="2" s="1"/>
  <c r="D93" i="2"/>
  <c r="K93" i="2" s="1"/>
  <c r="D54" i="2"/>
  <c r="K54" i="2" s="1"/>
  <c r="H80" i="19"/>
  <c r="D85" i="7"/>
  <c r="H95" i="19"/>
  <c r="D100" i="7"/>
  <c r="H56" i="19"/>
  <c r="D61" i="7"/>
  <c r="H91" i="19"/>
  <c r="D96" i="7"/>
  <c r="H70" i="19"/>
  <c r="D75" i="7"/>
  <c r="H37" i="19"/>
  <c r="D42" i="7"/>
  <c r="H52" i="19"/>
  <c r="D57" i="7"/>
  <c r="H78" i="19"/>
  <c r="D83" i="7"/>
  <c r="H86" i="19"/>
  <c r="D91" i="7"/>
  <c r="H41" i="19"/>
  <c r="D46" i="7"/>
  <c r="H87" i="19"/>
  <c r="D92" i="7"/>
  <c r="H58" i="19"/>
  <c r="D63" i="7"/>
  <c r="H33" i="19"/>
  <c r="D38" i="7"/>
  <c r="H48" i="19"/>
  <c r="D53" i="7"/>
  <c r="H35" i="19"/>
  <c r="D40" i="7"/>
  <c r="H57" i="19"/>
  <c r="D62" i="7"/>
  <c r="H74" i="19"/>
  <c r="D79" i="7"/>
  <c r="H99" i="19"/>
  <c r="D104" i="7"/>
  <c r="H71" i="19"/>
  <c r="D76" i="7"/>
  <c r="H97" i="19"/>
  <c r="D102" i="7"/>
  <c r="H66" i="19"/>
  <c r="D71" i="7"/>
  <c r="H32" i="19"/>
  <c r="D37" i="7"/>
  <c r="H62" i="19"/>
  <c r="D67" i="7"/>
  <c r="H68" i="19"/>
  <c r="D73" i="7"/>
  <c r="H49" i="19"/>
  <c r="D54" i="7"/>
  <c r="H29" i="19"/>
  <c r="D34" i="7"/>
  <c r="H94" i="19"/>
  <c r="D99" i="7"/>
  <c r="H36" i="19"/>
  <c r="D41" i="7"/>
  <c r="H67" i="19"/>
  <c r="D72" i="7"/>
  <c r="H93" i="19"/>
  <c r="D98" i="7"/>
  <c r="H54" i="19"/>
  <c r="D59" i="7"/>
  <c r="H28" i="19"/>
  <c r="D33" i="7"/>
  <c r="H72" i="19"/>
  <c r="D77" i="7"/>
  <c r="H50" i="19"/>
  <c r="D55" i="7"/>
  <c r="H64" i="19"/>
  <c r="D69" i="7"/>
  <c r="H30" i="19"/>
  <c r="D35" i="7"/>
  <c r="H63" i="19"/>
  <c r="D68" i="7"/>
  <c r="H89" i="19"/>
  <c r="D94" i="7"/>
  <c r="H38" i="19"/>
  <c r="D43" i="7"/>
  <c r="H60" i="19"/>
  <c r="D65" i="7"/>
  <c r="H83" i="19"/>
  <c r="D88" i="7"/>
  <c r="H59" i="19"/>
  <c r="D64" i="7"/>
  <c r="H85" i="19"/>
  <c r="D90" i="7"/>
  <c r="H100" i="19"/>
  <c r="D105" i="7"/>
  <c r="H44" i="19"/>
  <c r="D49" i="7"/>
  <c r="H55" i="19"/>
  <c r="D60" i="7"/>
  <c r="H81" i="19"/>
  <c r="D86" i="7"/>
  <c r="H96" i="19"/>
  <c r="D101" i="7"/>
  <c r="H65" i="19"/>
  <c r="D70" i="7"/>
  <c r="H46" i="19"/>
  <c r="D51" i="7"/>
  <c r="H79" i="19"/>
  <c r="D84" i="7"/>
  <c r="H101" i="19"/>
  <c r="D106" i="7"/>
  <c r="H51" i="19"/>
  <c r="D56" i="7"/>
  <c r="H77" i="19"/>
  <c r="D82" i="7"/>
  <c r="H92" i="19"/>
  <c r="D97" i="7"/>
  <c r="H39" i="19"/>
  <c r="D44" i="7"/>
  <c r="H61" i="19"/>
  <c r="D66" i="7"/>
  <c r="H45" i="19"/>
  <c r="D50" i="7"/>
  <c r="H40" i="19"/>
  <c r="D45" i="7"/>
  <c r="H82" i="19"/>
  <c r="D87" i="7"/>
  <c r="H47" i="19"/>
  <c r="D52" i="7"/>
  <c r="H73" i="19"/>
  <c r="D78" i="7"/>
  <c r="H88" i="19"/>
  <c r="D93" i="7"/>
  <c r="H90" i="19"/>
  <c r="D95" i="7"/>
  <c r="H76" i="19"/>
  <c r="D81" i="7"/>
  <c r="H31" i="19"/>
  <c r="D36" i="7"/>
  <c r="H53" i="19"/>
  <c r="D58" i="7"/>
  <c r="H34" i="19"/>
  <c r="D39" i="7"/>
  <c r="H98" i="19"/>
  <c r="D103" i="7"/>
  <c r="H42" i="19"/>
  <c r="D47" i="7"/>
  <c r="H75" i="19"/>
  <c r="D80" i="7"/>
  <c r="H43" i="19"/>
  <c r="D48" i="7"/>
  <c r="H69" i="19"/>
  <c r="D74" i="7"/>
  <c r="H84" i="19"/>
  <c r="D89" i="7"/>
  <c r="D18" i="11"/>
  <c r="D100" i="15"/>
  <c r="H100" i="15" s="1"/>
  <c r="D88" i="15"/>
  <c r="K88" i="15" s="1"/>
  <c r="D15" i="12"/>
  <c r="K15" i="12" s="1"/>
  <c r="E5" i="12"/>
  <c r="D22" i="12"/>
  <c r="K22" i="12" s="1"/>
  <c r="D28" i="12"/>
  <c r="K28" i="12" s="1"/>
  <c r="D20" i="12"/>
  <c r="K20" i="12" s="1"/>
  <c r="D26" i="12"/>
  <c r="K26" i="12" s="1"/>
  <c r="D32" i="12"/>
  <c r="K32" i="12" s="1"/>
  <c r="D28" i="14"/>
  <c r="F28" i="14" s="1"/>
  <c r="K20" i="23" s="1"/>
  <c r="D77" i="15"/>
  <c r="K77" i="15" s="1"/>
  <c r="D50" i="15"/>
  <c r="K50" i="15" s="1"/>
  <c r="D97" i="15"/>
  <c r="K97" i="15" s="1"/>
  <c r="L17" i="1"/>
  <c r="F3" i="21"/>
  <c r="J17" i="1"/>
  <c r="S6" i="20"/>
  <c r="R6" i="21" s="1"/>
  <c r="T6" i="20"/>
  <c r="T6" i="22" s="1"/>
  <c r="AF15" i="1"/>
  <c r="AG15" i="1" s="1"/>
  <c r="B4" i="21"/>
  <c r="B5" i="21" s="1"/>
  <c r="U6" i="20"/>
  <c r="U6" i="22" s="1"/>
  <c r="AC14" i="1"/>
  <c r="X14" i="1" s="1"/>
  <c r="AC7" i="1"/>
  <c r="AF25" i="1"/>
  <c r="AG25" i="1" s="1"/>
  <c r="AF23" i="1"/>
  <c r="AG23" i="1" s="1"/>
  <c r="C4" i="12" s="1"/>
  <c r="AF24" i="1"/>
  <c r="AG24" i="1" s="1"/>
  <c r="E21" i="16"/>
  <c r="E13" i="16"/>
  <c r="E22" i="16"/>
  <c r="E14" i="16"/>
  <c r="C20" i="1"/>
  <c r="AO13" i="1"/>
  <c r="AB14" i="1"/>
  <c r="AB7" i="1"/>
  <c r="E43" i="18"/>
  <c r="E38" i="18"/>
  <c r="D38" i="18" s="1"/>
  <c r="AF13" i="1"/>
  <c r="AG13" i="1" s="1"/>
  <c r="AF16" i="1"/>
  <c r="AG16" i="1" s="1"/>
  <c r="AF14" i="1"/>
  <c r="AG14" i="1" s="1"/>
  <c r="AA14" i="1"/>
  <c r="AA7" i="1"/>
  <c r="E41" i="16"/>
  <c r="E47" i="18"/>
  <c r="E42" i="18"/>
  <c r="E37" i="18"/>
  <c r="E17" i="16"/>
  <c r="E9" i="16"/>
  <c r="E18" i="16"/>
  <c r="E50" i="18"/>
  <c r="D50" i="18" s="1"/>
  <c r="E46" i="18"/>
  <c r="E41" i="18"/>
  <c r="D41" i="18" s="1"/>
  <c r="E35" i="18"/>
  <c r="D35" i="18" s="1"/>
  <c r="AF20" i="1"/>
  <c r="AG20" i="1" s="1"/>
  <c r="AF18" i="1"/>
  <c r="AG18" i="1" s="1"/>
  <c r="AF19" i="1"/>
  <c r="AG19" i="1" s="1"/>
  <c r="AF22" i="1"/>
  <c r="AG22" i="1" s="1"/>
  <c r="AE14" i="1"/>
  <c r="AE7" i="1"/>
  <c r="AD14" i="1"/>
  <c r="Q14" i="1" s="1"/>
  <c r="AD7" i="1"/>
  <c r="G4" i="21"/>
  <c r="G5" i="21" s="1"/>
  <c r="D64" i="15"/>
  <c r="K64" i="15" s="1"/>
  <c r="D40" i="15"/>
  <c r="K40" i="15" s="1"/>
  <c r="AD15" i="1"/>
  <c r="Q15" i="1" s="1"/>
  <c r="D85" i="15"/>
  <c r="K85" i="15" s="1"/>
  <c r="D75" i="15"/>
  <c r="K75" i="15" s="1"/>
  <c r="D34" i="15"/>
  <c r="K34" i="15" s="1"/>
  <c r="D42" i="15"/>
  <c r="K42" i="15" s="1"/>
  <c r="D11" i="15"/>
  <c r="D15" i="15"/>
  <c r="D23" i="15"/>
  <c r="D27" i="15"/>
  <c r="D31" i="15"/>
  <c r="D16" i="15"/>
  <c r="D20" i="15"/>
  <c r="D24" i="15"/>
  <c r="D28" i="15"/>
  <c r="D32" i="15"/>
  <c r="D13" i="15"/>
  <c r="D17" i="15"/>
  <c r="D21" i="15"/>
  <c r="D25" i="15"/>
  <c r="D33" i="15"/>
  <c r="D10" i="15"/>
  <c r="K10" i="15" s="1"/>
  <c r="D14" i="15"/>
  <c r="D18" i="15"/>
  <c r="D22" i="15"/>
  <c r="D26" i="15"/>
  <c r="D30" i="15"/>
  <c r="D67" i="15"/>
  <c r="K67" i="15" s="1"/>
  <c r="D59" i="15"/>
  <c r="K59" i="15" s="1"/>
  <c r="D45" i="15"/>
  <c r="K45" i="15" s="1"/>
  <c r="D52" i="15"/>
  <c r="K52" i="15" s="1"/>
  <c r="D65" i="15"/>
  <c r="K65" i="15" s="1"/>
  <c r="AN28" i="1"/>
  <c r="D102" i="15"/>
  <c r="H102" i="15" s="1"/>
  <c r="D80" i="15"/>
  <c r="K80" i="15" s="1"/>
  <c r="D68" i="15"/>
  <c r="K68" i="15" s="1"/>
  <c r="D46" i="15"/>
  <c r="K46" i="15" s="1"/>
  <c r="D43" i="18"/>
  <c r="AE22" i="1"/>
  <c r="AE15" i="1"/>
  <c r="AE20" i="1"/>
  <c r="R20" i="1" s="1"/>
  <c r="AE26" i="1"/>
  <c r="AE23" i="1"/>
  <c r="D57" i="15"/>
  <c r="K57" i="15" s="1"/>
  <c r="D43" i="15"/>
  <c r="K43" i="15" s="1"/>
  <c r="G71" i="23"/>
  <c r="G67" i="23"/>
  <c r="G79" i="23"/>
  <c r="G25" i="23"/>
  <c r="G19" i="23"/>
  <c r="G32" i="23"/>
  <c r="D58" i="15"/>
  <c r="K58" i="15" s="1"/>
  <c r="D63" i="15"/>
  <c r="K63" i="15" s="1"/>
  <c r="D41" i="15"/>
  <c r="K41" i="15" s="1"/>
  <c r="D53" i="15"/>
  <c r="K53" i="15" s="1"/>
  <c r="D93" i="15"/>
  <c r="K93" i="15" s="1"/>
  <c r="D54" i="15"/>
  <c r="K54" i="15" s="1"/>
  <c r="D69" i="15"/>
  <c r="K69" i="15" s="1"/>
  <c r="D61" i="15"/>
  <c r="K61" i="15" s="1"/>
  <c r="D47" i="15"/>
  <c r="K47" i="15" s="1"/>
  <c r="D37" i="15"/>
  <c r="K37" i="15" s="1"/>
  <c r="D91" i="15"/>
  <c r="K91" i="15" s="1"/>
  <c r="D96" i="15"/>
  <c r="K96" i="15" s="1"/>
  <c r="D49" i="15"/>
  <c r="K49" i="15" s="1"/>
  <c r="D39" i="15"/>
  <c r="K39" i="15" s="1"/>
  <c r="D105" i="15"/>
  <c r="H105" i="15" s="1"/>
  <c r="D83" i="15"/>
  <c r="K83" i="15" s="1"/>
  <c r="D72" i="15"/>
  <c r="K72" i="15" s="1"/>
  <c r="D51" i="15"/>
  <c r="K51" i="15" s="1"/>
  <c r="D80" i="23"/>
  <c r="D11" i="23"/>
  <c r="D35" i="23"/>
  <c r="C22" i="1"/>
  <c r="AO22" i="1"/>
  <c r="C26" i="1"/>
  <c r="AO26" i="1"/>
  <c r="Q4" i="21"/>
  <c r="Q5" i="21" s="1"/>
  <c r="D55" i="23"/>
  <c r="G14" i="23"/>
  <c r="AO18" i="1"/>
  <c r="C18" i="1"/>
  <c r="C30" i="1"/>
  <c r="AO30" i="1"/>
  <c r="U4" i="21"/>
  <c r="U5" i="21" s="1"/>
  <c r="D30" i="12"/>
  <c r="K30" i="12" s="1"/>
  <c r="G18" i="23"/>
  <c r="D16" i="12"/>
  <c r="K16" i="12" s="1"/>
  <c r="D34" i="23"/>
  <c r="H10" i="23"/>
  <c r="G6" i="23"/>
  <c r="E52" i="18"/>
  <c r="E55" i="18"/>
  <c r="D55" i="18" s="1"/>
  <c r="F55" i="18" s="1"/>
  <c r="E59" i="18"/>
  <c r="D59" i="18" s="1"/>
  <c r="E63" i="18"/>
  <c r="D63" i="18" s="1"/>
  <c r="E67" i="18"/>
  <c r="E71" i="18"/>
  <c r="D71" i="18" s="1"/>
  <c r="E75" i="18"/>
  <c r="D75" i="18" s="1"/>
  <c r="E79" i="18"/>
  <c r="D79" i="18" s="1"/>
  <c r="E83" i="18"/>
  <c r="E87" i="18"/>
  <c r="D87" i="18" s="1"/>
  <c r="E91" i="18"/>
  <c r="D91" i="18" s="1"/>
  <c r="E95" i="18"/>
  <c r="D95" i="18" s="1"/>
  <c r="E99" i="18"/>
  <c r="E103" i="18"/>
  <c r="D103" i="18" s="1"/>
  <c r="E53" i="18"/>
  <c r="D53" i="18" s="1"/>
  <c r="E56" i="18"/>
  <c r="D56" i="18" s="1"/>
  <c r="E60" i="18"/>
  <c r="D60" i="18" s="1"/>
  <c r="E64" i="18"/>
  <c r="D64" i="18" s="1"/>
  <c r="E68" i="18"/>
  <c r="D68" i="18" s="1"/>
  <c r="E72" i="18"/>
  <c r="D72" i="18" s="1"/>
  <c r="E76" i="18"/>
  <c r="E80" i="18"/>
  <c r="D80" i="18" s="1"/>
  <c r="E84" i="18"/>
  <c r="E88" i="18"/>
  <c r="D88" i="18" s="1"/>
  <c r="E92" i="18"/>
  <c r="D92" i="18" s="1"/>
  <c r="E96" i="18"/>
  <c r="D96" i="18" s="1"/>
  <c r="E100" i="18"/>
  <c r="D100" i="18" s="1"/>
  <c r="E104" i="18"/>
  <c r="D104" i="18" s="1"/>
  <c r="E54" i="18"/>
  <c r="D54" i="18" s="1"/>
  <c r="E61" i="18"/>
  <c r="D61" i="18" s="1"/>
  <c r="E65" i="18"/>
  <c r="D65" i="18" s="1"/>
  <c r="E69" i="18"/>
  <c r="D69" i="18" s="1"/>
  <c r="E73" i="18"/>
  <c r="E77" i="18"/>
  <c r="D77" i="18" s="1"/>
  <c r="E81" i="18"/>
  <c r="E85" i="18"/>
  <c r="D85" i="18" s="1"/>
  <c r="E89" i="18"/>
  <c r="E93" i="18"/>
  <c r="D93" i="18" s="1"/>
  <c r="E97" i="18"/>
  <c r="D97" i="18" s="1"/>
  <c r="E101" i="18"/>
  <c r="D101" i="18" s="1"/>
  <c r="E105" i="18"/>
  <c r="E54" i="17"/>
  <c r="E57" i="17"/>
  <c r="E64" i="17"/>
  <c r="E67" i="17"/>
  <c r="E74" i="17"/>
  <c r="E77" i="17"/>
  <c r="E81" i="17"/>
  <c r="E85" i="17"/>
  <c r="E88" i="17"/>
  <c r="E91" i="17"/>
  <c r="E95" i="17"/>
  <c r="E99" i="17"/>
  <c r="E103" i="17"/>
  <c r="E55" i="17"/>
  <c r="E58" i="17"/>
  <c r="E61" i="17"/>
  <c r="E65" i="17"/>
  <c r="E68" i="17"/>
  <c r="E71" i="17"/>
  <c r="E75" i="17"/>
  <c r="E78" i="17"/>
  <c r="E82" i="17"/>
  <c r="E89" i="17"/>
  <c r="E92" i="17"/>
  <c r="E96" i="17"/>
  <c r="E100" i="17"/>
  <c r="E104" i="17"/>
  <c r="E52" i="17"/>
  <c r="E59" i="17"/>
  <c r="E62" i="17"/>
  <c r="E69" i="17"/>
  <c r="E72" i="17"/>
  <c r="E79" i="17"/>
  <c r="E83" i="17"/>
  <c r="E86" i="17"/>
  <c r="E90" i="17"/>
  <c r="E93" i="17"/>
  <c r="E97" i="17"/>
  <c r="E101" i="17"/>
  <c r="E105" i="17"/>
  <c r="AT8" i="1"/>
  <c r="AT20" i="1" s="1"/>
  <c r="AU20" i="1" s="1"/>
  <c r="AT26" i="1"/>
  <c r="AU26" i="1" s="1"/>
  <c r="AT24" i="1"/>
  <c r="AU24" i="1" s="1"/>
  <c r="AT13" i="1"/>
  <c r="AU13" i="1" s="1"/>
  <c r="AT14" i="1"/>
  <c r="AU14" i="1" s="1"/>
  <c r="AT19" i="1"/>
  <c r="AU19" i="1" s="1"/>
  <c r="E106" i="18"/>
  <c r="E90" i="18"/>
  <c r="E74" i="18"/>
  <c r="D74" i="18" s="1"/>
  <c r="E58" i="18"/>
  <c r="AT16" i="1"/>
  <c r="AU16" i="1" s="1"/>
  <c r="E102" i="18"/>
  <c r="E86" i="18"/>
  <c r="E70" i="18"/>
  <c r="E4" i="17"/>
  <c r="D20" i="17" s="1"/>
  <c r="E50" i="16"/>
  <c r="E45" i="16"/>
  <c r="D45" i="16" s="1"/>
  <c r="E40" i="16"/>
  <c r="D40" i="16" s="1"/>
  <c r="E48" i="16"/>
  <c r="D48" i="16" s="1"/>
  <c r="E43" i="16"/>
  <c r="E44" i="18"/>
  <c r="E40" i="18"/>
  <c r="D28" i="16"/>
  <c r="D33" i="16"/>
  <c r="F33" i="16" s="1"/>
  <c r="D65" i="16"/>
  <c r="D72" i="16"/>
  <c r="D73" i="16"/>
  <c r="F73" i="16" s="1"/>
  <c r="D78" i="16"/>
  <c r="D106" i="16"/>
  <c r="N26" i="1"/>
  <c r="N22" i="1"/>
  <c r="N19" i="1"/>
  <c r="AM17" i="1"/>
  <c r="Z17" i="1"/>
  <c r="AD13" i="1"/>
  <c r="AD16" i="1"/>
  <c r="AN17" i="1"/>
  <c r="AC15" i="1"/>
  <c r="X15" i="1" s="1"/>
  <c r="AC13" i="1"/>
  <c r="AC16" i="1"/>
  <c r="X16" i="1" s="1"/>
  <c r="AE19" i="1"/>
  <c r="R19" i="1" s="1"/>
  <c r="AE18" i="1"/>
  <c r="AB16" i="1"/>
  <c r="AB15" i="1"/>
  <c r="AB13" i="1"/>
  <c r="AA15" i="1"/>
  <c r="AA16" i="1"/>
  <c r="AA13" i="1"/>
  <c r="AE13" i="1"/>
  <c r="AE16" i="1"/>
  <c r="AM15" i="1"/>
  <c r="J15" i="1"/>
  <c r="M15" i="1" s="1"/>
  <c r="AN15" i="1"/>
  <c r="L15" i="1"/>
  <c r="AT15" i="1" s="1"/>
  <c r="AU15" i="1" s="1"/>
  <c r="D103" i="16"/>
  <c r="D61" i="16"/>
  <c r="F61" i="16" s="1"/>
  <c r="AN31" i="1"/>
  <c r="E5" i="6"/>
  <c r="D44" i="16"/>
  <c r="D54" i="16"/>
  <c r="D46" i="16"/>
  <c r="F46" i="16" s="1"/>
  <c r="D67" i="16"/>
  <c r="D82" i="16"/>
  <c r="D87" i="16"/>
  <c r="D96" i="16"/>
  <c r="D100" i="16"/>
  <c r="D104" i="16"/>
  <c r="D24" i="16"/>
  <c r="D11" i="16"/>
  <c r="D15" i="16"/>
  <c r="D19" i="16"/>
  <c r="D23" i="16"/>
  <c r="D27" i="16"/>
  <c r="D31" i="16"/>
  <c r="D91" i="16"/>
  <c r="F91" i="16" s="1"/>
  <c r="D30" i="16"/>
  <c r="D20" i="16"/>
  <c r="D105" i="16"/>
  <c r="D101" i="16"/>
  <c r="D97" i="16"/>
  <c r="D93" i="16"/>
  <c r="D88" i="16"/>
  <c r="D83" i="16"/>
  <c r="D79" i="16"/>
  <c r="D74" i="16"/>
  <c r="D68" i="16"/>
  <c r="D63" i="16"/>
  <c r="D58" i="16"/>
  <c r="D52" i="16"/>
  <c r="D47" i="16"/>
  <c r="D42" i="16"/>
  <c r="D34" i="16"/>
  <c r="D38" i="16"/>
  <c r="D50" i="16"/>
  <c r="D51" i="16"/>
  <c r="F51" i="16" s="1"/>
  <c r="D57" i="16"/>
  <c r="D10" i="16"/>
  <c r="D16" i="16"/>
  <c r="D66" i="16"/>
  <c r="F66" i="16" s="1"/>
  <c r="D56" i="16"/>
  <c r="F56" i="16" s="1"/>
  <c r="D35" i="16"/>
  <c r="D22" i="16"/>
  <c r="D12" i="16"/>
  <c r="D36" i="16"/>
  <c r="D43" i="16"/>
  <c r="D89" i="16"/>
  <c r="D94" i="16"/>
  <c r="D21" i="16"/>
  <c r="D86" i="16"/>
  <c r="F86" i="16" s="1"/>
  <c r="D53" i="16"/>
  <c r="F53" i="16" s="1"/>
  <c r="D14" i="16"/>
  <c r="D99" i="16"/>
  <c r="D81" i="16"/>
  <c r="D60" i="16"/>
  <c r="D39" i="16"/>
  <c r="D59" i="16"/>
  <c r="D64" i="16"/>
  <c r="D69" i="16"/>
  <c r="D102" i="16"/>
  <c r="D32" i="16"/>
  <c r="D13" i="16"/>
  <c r="D29" i="16"/>
  <c r="D71" i="16"/>
  <c r="F71" i="16" s="1"/>
  <c r="D26" i="16"/>
  <c r="D90" i="16"/>
  <c r="D70" i="16"/>
  <c r="D49" i="16"/>
  <c r="D37" i="16"/>
  <c r="D41" i="16"/>
  <c r="F41" i="16" s="1"/>
  <c r="D98" i="16"/>
  <c r="D25" i="16"/>
  <c r="D18" i="16"/>
  <c r="D95" i="16"/>
  <c r="D77" i="16"/>
  <c r="D55" i="16"/>
  <c r="D85" i="16"/>
  <c r="D17" i="16"/>
  <c r="E5" i="16"/>
  <c r="D13" i="18"/>
  <c r="D29" i="18"/>
  <c r="D39" i="18"/>
  <c r="D47" i="18"/>
  <c r="D67" i="18"/>
  <c r="D83" i="18"/>
  <c r="D99" i="18"/>
  <c r="D10" i="18"/>
  <c r="D42" i="18"/>
  <c r="D52" i="18"/>
  <c r="D84" i="18"/>
  <c r="D23" i="18"/>
  <c r="D32" i="18"/>
  <c r="D28" i="18"/>
  <c r="D17" i="18"/>
  <c r="D11" i="18"/>
  <c r="D27" i="18"/>
  <c r="D37" i="18"/>
  <c r="D45" i="18"/>
  <c r="D73" i="18"/>
  <c r="D81" i="18"/>
  <c r="D89" i="18"/>
  <c r="D105" i="18"/>
  <c r="D34" i="18"/>
  <c r="D46" i="18"/>
  <c r="D76" i="18"/>
  <c r="D31" i="18"/>
  <c r="D19" i="12"/>
  <c r="K19" i="12" s="1"/>
  <c r="D25" i="12"/>
  <c r="K25" i="12" s="1"/>
  <c r="D21" i="12"/>
  <c r="K21" i="12" s="1"/>
  <c r="J31" i="1"/>
  <c r="AO31" i="1"/>
  <c r="T3" i="21"/>
  <c r="AO28" i="1"/>
  <c r="Z21" i="1"/>
  <c r="AO21" i="1"/>
  <c r="D40" i="18"/>
  <c r="D70" i="18"/>
  <c r="D86" i="18"/>
  <c r="D102" i="18"/>
  <c r="D44" i="18"/>
  <c r="D58" i="18"/>
  <c r="D90" i="18"/>
  <c r="D106" i="18"/>
  <c r="D62" i="18"/>
  <c r="D78" i="18"/>
  <c r="D94" i="18"/>
  <c r="D36" i="18"/>
  <c r="D66" i="18"/>
  <c r="D82" i="18"/>
  <c r="D98" i="18"/>
  <c r="J21" i="1"/>
  <c r="AM31" i="1"/>
  <c r="J28" i="1"/>
  <c r="AN21" i="1"/>
  <c r="Q3" i="21"/>
  <c r="L21" i="1"/>
  <c r="J3" i="21"/>
  <c r="C31" i="1"/>
  <c r="C28" i="1"/>
  <c r="AM21" i="1"/>
  <c r="C21" i="1"/>
  <c r="D92" i="16"/>
  <c r="D84" i="16"/>
  <c r="D80" i="16"/>
  <c r="D76" i="16"/>
  <c r="F76" i="16" s="1"/>
  <c r="D75" i="16"/>
  <c r="D62" i="16"/>
  <c r="E5" i="5"/>
  <c r="E5" i="4"/>
  <c r="D17" i="3"/>
  <c r="D18" i="3"/>
  <c r="D26" i="3"/>
  <c r="E5" i="3"/>
  <c r="D31" i="3"/>
  <c r="D12" i="3"/>
  <c r="D11" i="3"/>
  <c r="D23" i="3"/>
  <c r="D22" i="3"/>
  <c r="D25" i="3"/>
  <c r="D24" i="3"/>
  <c r="D32" i="3"/>
  <c r="M25" i="1"/>
  <c r="E5" i="14"/>
  <c r="D16" i="14"/>
  <c r="K8" i="23" s="1"/>
  <c r="E5" i="8"/>
  <c r="E5" i="9"/>
  <c r="M20" i="1"/>
  <c r="E5" i="10"/>
  <c r="E5" i="11"/>
  <c r="D29" i="3"/>
  <c r="D21" i="3"/>
  <c r="D13" i="3"/>
  <c r="N23" i="1"/>
  <c r="N25" i="1"/>
  <c r="N13" i="1"/>
  <c r="N24" i="1"/>
  <c r="N18" i="1"/>
  <c r="N16" i="1"/>
  <c r="N20" i="1"/>
  <c r="AE25" i="1"/>
  <c r="R25" i="1" s="1"/>
  <c r="D24" i="13"/>
  <c r="F24" i="13" s="1"/>
  <c r="J16" i="23" s="1"/>
  <c r="D14" i="13"/>
  <c r="J6" i="23" s="1"/>
  <c r="E5" i="13"/>
  <c r="D16" i="13"/>
  <c r="J8" i="23" s="1"/>
  <c r="E104" i="15"/>
  <c r="E98" i="15"/>
  <c r="E92" i="15"/>
  <c r="E87" i="15"/>
  <c r="E81" i="15"/>
  <c r="E76" i="15"/>
  <c r="E71" i="15"/>
  <c r="E60" i="15"/>
  <c r="E48" i="15"/>
  <c r="E36" i="15"/>
  <c r="E19" i="15"/>
  <c r="E19" i="13" s="1"/>
  <c r="N14" i="19" s="1"/>
  <c r="E12" i="15"/>
  <c r="E12" i="14" s="1"/>
  <c r="E38" i="15"/>
  <c r="E106" i="15"/>
  <c r="E101" i="15"/>
  <c r="E95" i="15"/>
  <c r="E89" i="15"/>
  <c r="E84" i="15"/>
  <c r="E79" i="15"/>
  <c r="E73" i="15"/>
  <c r="E66" i="15"/>
  <c r="E56" i="15"/>
  <c r="E35" i="15"/>
  <c r="E5" i="15"/>
  <c r="AE24" i="1"/>
  <c r="G5" i="13" s="1"/>
  <c r="R24" i="1" s="1"/>
  <c r="E103" i="15"/>
  <c r="E99" i="15"/>
  <c r="E94" i="15"/>
  <c r="E90" i="15"/>
  <c r="E82" i="15"/>
  <c r="E78" i="15"/>
  <c r="E74" i="15"/>
  <c r="E70" i="15"/>
  <c r="E62" i="15"/>
  <c r="E55" i="15"/>
  <c r="E44" i="15"/>
  <c r="E29" i="15"/>
  <c r="E29" i="13" s="1"/>
  <c r="E9" i="12"/>
  <c r="D12" i="12"/>
  <c r="K12" i="12" s="1"/>
  <c r="D14" i="12"/>
  <c r="K14" i="12" s="1"/>
  <c r="D18" i="12"/>
  <c r="K18" i="12" s="1"/>
  <c r="D27" i="12"/>
  <c r="D31" i="12"/>
  <c r="D23" i="12"/>
  <c r="D13" i="12"/>
  <c r="K13" i="12" s="1"/>
  <c r="D24" i="12"/>
  <c r="D29" i="12"/>
  <c r="D33" i="12"/>
  <c r="E11" i="12"/>
  <c r="E17" i="12"/>
  <c r="E17" i="8" s="1"/>
  <c r="I12" i="19" s="1"/>
  <c r="D27" i="3" l="1"/>
  <c r="D30" i="3"/>
  <c r="D15" i="3"/>
  <c r="D14" i="3"/>
  <c r="D28" i="3"/>
  <c r="D20" i="3"/>
  <c r="D19" i="3"/>
  <c r="D16" i="3"/>
  <c r="D13" i="8"/>
  <c r="F13" i="8" s="1"/>
  <c r="E5" i="23" s="1"/>
  <c r="D19" i="5"/>
  <c r="F19" i="5" s="1"/>
  <c r="C11" i="23" s="1"/>
  <c r="D25" i="5"/>
  <c r="F25" i="5" s="1"/>
  <c r="D17" i="5"/>
  <c r="F17" i="5" s="1"/>
  <c r="C9" i="23" s="1"/>
  <c r="D15" i="5"/>
  <c r="F15" i="5" s="1"/>
  <c r="C7" i="23" s="1"/>
  <c r="D23" i="5"/>
  <c r="F23" i="5" s="1"/>
  <c r="C15" i="23" s="1"/>
  <c r="D15" i="8"/>
  <c r="F15" i="8" s="1"/>
  <c r="E7" i="23" s="1"/>
  <c r="D18" i="13"/>
  <c r="F18" i="13" s="1"/>
  <c r="J10" i="23" s="1"/>
  <c r="D27" i="8"/>
  <c r="F27" i="8" s="1"/>
  <c r="E19" i="23" s="1"/>
  <c r="D25" i="8"/>
  <c r="F25" i="8" s="1"/>
  <c r="E17" i="23" s="1"/>
  <c r="D23" i="14"/>
  <c r="F23" i="14" s="1"/>
  <c r="K15" i="23" s="1"/>
  <c r="D13" i="11"/>
  <c r="F13" i="11" s="1"/>
  <c r="H5" i="23" s="1"/>
  <c r="D27" i="11"/>
  <c r="F27" i="11" s="1"/>
  <c r="H19" i="23" s="1"/>
  <c r="D32" i="9"/>
  <c r="F32" i="9" s="1"/>
  <c r="F24" i="23" s="1"/>
  <c r="D21" i="11"/>
  <c r="F21" i="11" s="1"/>
  <c r="H13" i="23" s="1"/>
  <c r="D21" i="9"/>
  <c r="F21" i="9" s="1"/>
  <c r="F13" i="23" s="1"/>
  <c r="D18" i="14"/>
  <c r="K10" i="23" s="1"/>
  <c r="D30" i="9"/>
  <c r="F30" i="9" s="1"/>
  <c r="F22" i="23" s="1"/>
  <c r="D16" i="11"/>
  <c r="H8" i="23" s="1"/>
  <c r="D30" i="8"/>
  <c r="F30" i="8" s="1"/>
  <c r="E22" i="23" s="1"/>
  <c r="D27" i="9"/>
  <c r="F27" i="9" s="1"/>
  <c r="F19" i="23" s="1"/>
  <c r="D21" i="5"/>
  <c r="F21" i="5" s="1"/>
  <c r="C13" i="23" s="1"/>
  <c r="E9" i="19"/>
  <c r="E12" i="19"/>
  <c r="E7" i="19"/>
  <c r="E20" i="19"/>
  <c r="E18" i="19"/>
  <c r="AB17" i="1"/>
  <c r="K2" i="6"/>
  <c r="E27" i="19"/>
  <c r="N15" i="1"/>
  <c r="E11" i="10"/>
  <c r="E8" i="19"/>
  <c r="E25" i="19"/>
  <c r="AF21" i="1"/>
  <c r="AG21" i="1" s="1"/>
  <c r="K2" i="10"/>
  <c r="E17" i="10" s="1"/>
  <c r="AE17" i="1"/>
  <c r="E13" i="19"/>
  <c r="E22" i="19"/>
  <c r="E10" i="19"/>
  <c r="E23" i="19"/>
  <c r="E21" i="19"/>
  <c r="E17" i="19"/>
  <c r="E19" i="19"/>
  <c r="E24" i="19"/>
  <c r="D12" i="4"/>
  <c r="E16" i="19"/>
  <c r="E6" i="19"/>
  <c r="E11" i="19"/>
  <c r="E26" i="19"/>
  <c r="D25" i="4"/>
  <c r="D22" i="4"/>
  <c r="E15" i="19"/>
  <c r="E14" i="19"/>
  <c r="D33" i="13"/>
  <c r="F33" i="13" s="1"/>
  <c r="J25" i="23" s="1"/>
  <c r="D33" i="14"/>
  <c r="F33" i="14" s="1"/>
  <c r="K25" i="23" s="1"/>
  <c r="D30" i="13"/>
  <c r="F30" i="13" s="1"/>
  <c r="J22" i="23" s="1"/>
  <c r="D27" i="14"/>
  <c r="F27" i="14" s="1"/>
  <c r="K19" i="23" s="1"/>
  <c r="D21" i="14"/>
  <c r="K13" i="23" s="1"/>
  <c r="D20" i="13"/>
  <c r="J12" i="23" s="1"/>
  <c r="E19" i="14"/>
  <c r="O14" i="19" s="1"/>
  <c r="D20" i="14"/>
  <c r="K12" i="23" s="1"/>
  <c r="E12" i="13"/>
  <c r="D30" i="14"/>
  <c r="F30" i="14" s="1"/>
  <c r="K22" i="23" s="1"/>
  <c r="D14" i="14"/>
  <c r="F14" i="14" s="1"/>
  <c r="K6" i="23" s="1"/>
  <c r="N24" i="19"/>
  <c r="D29" i="13"/>
  <c r="F29" i="13" s="1"/>
  <c r="J21" i="23" s="1"/>
  <c r="O7" i="19"/>
  <c r="D12" i="14"/>
  <c r="H11" i="15"/>
  <c r="H37" i="15"/>
  <c r="L29" i="23"/>
  <c r="H40" i="15"/>
  <c r="L32" i="23"/>
  <c r="H75" i="15"/>
  <c r="L67" i="23"/>
  <c r="H64" i="15"/>
  <c r="L56" i="23"/>
  <c r="H54" i="15"/>
  <c r="L46" i="23"/>
  <c r="H93" i="15"/>
  <c r="L85" i="23"/>
  <c r="D22" i="13"/>
  <c r="F22" i="13" s="1"/>
  <c r="J14" i="23" s="1"/>
  <c r="H46" i="15"/>
  <c r="L38" i="23"/>
  <c r="D22" i="14"/>
  <c r="K14" i="23" s="1"/>
  <c r="H42" i="15"/>
  <c r="H80" i="15"/>
  <c r="H88" i="15"/>
  <c r="L80" i="23"/>
  <c r="H97" i="15"/>
  <c r="H34" i="15"/>
  <c r="L26" i="23"/>
  <c r="H18" i="15"/>
  <c r="L10" i="23"/>
  <c r="H77" i="15"/>
  <c r="L69" i="23"/>
  <c r="H85" i="15"/>
  <c r="L77" i="23"/>
  <c r="H58" i="15"/>
  <c r="H65" i="15"/>
  <c r="H26" i="15"/>
  <c r="L18" i="23"/>
  <c r="H68" i="15"/>
  <c r="L60" i="23"/>
  <c r="H32" i="15"/>
  <c r="L24" i="23"/>
  <c r="H31" i="15"/>
  <c r="L23" i="23"/>
  <c r="H72" i="15"/>
  <c r="L64" i="23"/>
  <c r="E29" i="14"/>
  <c r="H91" i="15"/>
  <c r="L83" i="23"/>
  <c r="H83" i="15"/>
  <c r="L75" i="23"/>
  <c r="H16" i="15"/>
  <c r="L8" i="23"/>
  <c r="D19" i="11"/>
  <c r="F19" i="11" s="1"/>
  <c r="H11" i="23" s="1"/>
  <c r="D20" i="9"/>
  <c r="F20" i="9" s="1"/>
  <c r="F12" i="23" s="1"/>
  <c r="D33" i="9"/>
  <c r="F33" i="9" s="1"/>
  <c r="F25" i="23" s="1"/>
  <c r="D24" i="9"/>
  <c r="F24" i="9" s="1"/>
  <c r="F16" i="23" s="1"/>
  <c r="D23" i="13"/>
  <c r="F23" i="13" s="1"/>
  <c r="J15" i="23" s="1"/>
  <c r="D29" i="11"/>
  <c r="F29" i="11" s="1"/>
  <c r="H21" i="23" s="1"/>
  <c r="D18" i="8"/>
  <c r="F18" i="8" s="1"/>
  <c r="E10" i="23" s="1"/>
  <c r="D24" i="11"/>
  <c r="F24" i="11" s="1"/>
  <c r="H16" i="23" s="1"/>
  <c r="D23" i="9"/>
  <c r="F23" i="9" s="1"/>
  <c r="F15" i="23" s="1"/>
  <c r="D31" i="13"/>
  <c r="F31" i="13" s="1"/>
  <c r="J23" i="23" s="1"/>
  <c r="D31" i="14"/>
  <c r="F31" i="14" s="1"/>
  <c r="K23" i="23" s="1"/>
  <c r="H27" i="12"/>
  <c r="K27" i="12"/>
  <c r="I19" i="23" s="1"/>
  <c r="H23" i="12"/>
  <c r="K23" i="12"/>
  <c r="I15" i="23" s="1"/>
  <c r="H24" i="12"/>
  <c r="K24" i="12"/>
  <c r="I16" i="23" s="1"/>
  <c r="H31" i="12"/>
  <c r="K31" i="12"/>
  <c r="I23" i="23" s="1"/>
  <c r="H33" i="12"/>
  <c r="K33" i="12"/>
  <c r="I25" i="23" s="1"/>
  <c r="H29" i="12"/>
  <c r="K29" i="12"/>
  <c r="I21" i="23" s="1"/>
  <c r="D26" i="13"/>
  <c r="F26" i="13" s="1"/>
  <c r="J18" i="23" s="1"/>
  <c r="D24" i="14"/>
  <c r="F24" i="14" s="1"/>
  <c r="K16" i="23" s="1"/>
  <c r="D21" i="13"/>
  <c r="F21" i="13" s="1"/>
  <c r="J13" i="23" s="1"/>
  <c r="D19" i="8"/>
  <c r="F19" i="8" s="1"/>
  <c r="E11" i="23" s="1"/>
  <c r="D13" i="14"/>
  <c r="K5" i="23" s="1"/>
  <c r="D25" i="13"/>
  <c r="F25" i="13" s="1"/>
  <c r="J17" i="23" s="1"/>
  <c r="D32" i="11"/>
  <c r="F32" i="11" s="1"/>
  <c r="H24" i="23" s="1"/>
  <c r="D27" i="13"/>
  <c r="F27" i="13" s="1"/>
  <c r="J19" i="23" s="1"/>
  <c r="D21" i="8"/>
  <c r="F21" i="8" s="1"/>
  <c r="E13" i="23" s="1"/>
  <c r="D31" i="8"/>
  <c r="F31" i="8" s="1"/>
  <c r="E23" i="23" s="1"/>
  <c r="E11" i="11"/>
  <c r="L6" i="19" s="1"/>
  <c r="D26" i="14"/>
  <c r="F26" i="14" s="1"/>
  <c r="K18" i="23" s="1"/>
  <c r="E11" i="8"/>
  <c r="I6" i="19" s="1"/>
  <c r="D13" i="13"/>
  <c r="J5" i="23" s="1"/>
  <c r="D29" i="8"/>
  <c r="F29" i="8" s="1"/>
  <c r="E21" i="23" s="1"/>
  <c r="D15" i="9"/>
  <c r="D32" i="8"/>
  <c r="F32" i="8" s="1"/>
  <c r="E24" i="23" s="1"/>
  <c r="D23" i="8"/>
  <c r="F23" i="8" s="1"/>
  <c r="E15" i="23" s="1"/>
  <c r="D28" i="13"/>
  <c r="F28" i="13" s="1"/>
  <c r="J20" i="23" s="1"/>
  <c r="D32" i="13"/>
  <c r="F32" i="13" s="1"/>
  <c r="J24" i="23" s="1"/>
  <c r="D20" i="8"/>
  <c r="F20" i="8" s="1"/>
  <c r="E12" i="23" s="1"/>
  <c r="D15" i="14"/>
  <c r="K7" i="23" s="1"/>
  <c r="D14" i="11"/>
  <c r="H6" i="23" s="1"/>
  <c r="D32" i="14"/>
  <c r="F32" i="14" s="1"/>
  <c r="K24" i="23" s="1"/>
  <c r="E11" i="9"/>
  <c r="D30" i="11"/>
  <c r="F30" i="11" s="1"/>
  <c r="H22" i="23" s="1"/>
  <c r="E9" i="14"/>
  <c r="E9" i="13"/>
  <c r="E17" i="9"/>
  <c r="E9" i="8"/>
  <c r="E9" i="11"/>
  <c r="E17" i="11"/>
  <c r="E9" i="9"/>
  <c r="D25" i="11"/>
  <c r="F25" i="11" s="1"/>
  <c r="H17" i="23" s="1"/>
  <c r="D15" i="11"/>
  <c r="H7" i="23" s="1"/>
  <c r="M12" i="19"/>
  <c r="E17" i="14"/>
  <c r="E17" i="13"/>
  <c r="D15" i="13"/>
  <c r="F15" i="13" s="1"/>
  <c r="J7" i="23" s="1"/>
  <c r="M6" i="19"/>
  <c r="E11" i="14"/>
  <c r="E11" i="13"/>
  <c r="D19" i="13"/>
  <c r="F19" i="13" s="1"/>
  <c r="J11" i="23" s="1"/>
  <c r="D25" i="14"/>
  <c r="F25" i="14" s="1"/>
  <c r="K17" i="23" s="1"/>
  <c r="D29" i="9"/>
  <c r="F29" i="9" s="1"/>
  <c r="F21" i="23" s="1"/>
  <c r="D23" i="4"/>
  <c r="D28" i="11"/>
  <c r="F28" i="11" s="1"/>
  <c r="H20" i="23" s="1"/>
  <c r="D26" i="9"/>
  <c r="F26" i="9" s="1"/>
  <c r="F18" i="23" s="1"/>
  <c r="D33" i="11"/>
  <c r="F33" i="11" s="1"/>
  <c r="H25" i="23" s="1"/>
  <c r="D26" i="5"/>
  <c r="F26" i="5" s="1"/>
  <c r="C18" i="23" s="1"/>
  <c r="D22" i="11"/>
  <c r="F22" i="11" s="1"/>
  <c r="H14" i="23" s="1"/>
  <c r="D33" i="8"/>
  <c r="F33" i="8" s="1"/>
  <c r="E25" i="23" s="1"/>
  <c r="D20" i="5"/>
  <c r="C12" i="23" s="1"/>
  <c r="D14" i="5"/>
  <c r="F14" i="5" s="1"/>
  <c r="C6" i="23" s="1"/>
  <c r="D29" i="5"/>
  <c r="F29" i="5" s="1"/>
  <c r="C21" i="23" s="1"/>
  <c r="D20" i="11"/>
  <c r="F20" i="11" s="1"/>
  <c r="H12" i="23" s="1"/>
  <c r="D19" i="9"/>
  <c r="F19" i="9" s="1"/>
  <c r="F11" i="23" s="1"/>
  <c r="D31" i="9"/>
  <c r="F31" i="9" s="1"/>
  <c r="F23" i="23" s="1"/>
  <c r="D22" i="5"/>
  <c r="F22" i="5" s="1"/>
  <c r="C14" i="23" s="1"/>
  <c r="D28" i="8"/>
  <c r="F28" i="8" s="1"/>
  <c r="E20" i="23" s="1"/>
  <c r="D28" i="9"/>
  <c r="F28" i="9" s="1"/>
  <c r="F20" i="23" s="1"/>
  <c r="D12" i="11"/>
  <c r="D12" i="8"/>
  <c r="F12" i="8" s="1"/>
  <c r="E4" i="23" s="1"/>
  <c r="D11" i="5"/>
  <c r="D14" i="9"/>
  <c r="F14" i="9" s="1"/>
  <c r="F6" i="23" s="1"/>
  <c r="D16" i="4"/>
  <c r="D13" i="9"/>
  <c r="F13" i="9" s="1"/>
  <c r="D16" i="8"/>
  <c r="F16" i="8" s="1"/>
  <c r="E8" i="23" s="1"/>
  <c r="D17" i="8"/>
  <c r="F17" i="8" s="1"/>
  <c r="E9" i="23" s="1"/>
  <c r="D12" i="9"/>
  <c r="D17" i="4"/>
  <c r="D26" i="8"/>
  <c r="F26" i="8" s="1"/>
  <c r="E18" i="23" s="1"/>
  <c r="D22" i="8"/>
  <c r="F22" i="8" s="1"/>
  <c r="E14" i="23" s="1"/>
  <c r="D24" i="8"/>
  <c r="F24" i="8" s="1"/>
  <c r="E16" i="23" s="1"/>
  <c r="D18" i="9"/>
  <c r="F18" i="9" s="1"/>
  <c r="D22" i="9"/>
  <c r="F22" i="9" s="1"/>
  <c r="F14" i="23" s="1"/>
  <c r="D14" i="8"/>
  <c r="F14" i="8" s="1"/>
  <c r="E6" i="23" s="1"/>
  <c r="D16" i="5"/>
  <c r="F16" i="5" s="1"/>
  <c r="C8" i="23" s="1"/>
  <c r="D23" i="11"/>
  <c r="F23" i="11" s="1"/>
  <c r="H15" i="23" s="1"/>
  <c r="D26" i="11"/>
  <c r="F26" i="11" s="1"/>
  <c r="H18" i="23" s="1"/>
  <c r="D24" i="5"/>
  <c r="F24" i="5" s="1"/>
  <c r="C16" i="23" s="1"/>
  <c r="D25" i="9"/>
  <c r="F25" i="9" s="1"/>
  <c r="F17" i="23" s="1"/>
  <c r="D18" i="5"/>
  <c r="F18" i="5" s="1"/>
  <c r="C10" i="23" s="1"/>
  <c r="D16" i="9"/>
  <c r="D31" i="11"/>
  <c r="F31" i="11" s="1"/>
  <c r="H23" i="23" s="1"/>
  <c r="D26" i="4"/>
  <c r="D21" i="4"/>
  <c r="D11" i="4"/>
  <c r="D31" i="5"/>
  <c r="F31" i="5" s="1"/>
  <c r="C23" i="23" s="1"/>
  <c r="D31" i="4"/>
  <c r="D28" i="5"/>
  <c r="F28" i="5" s="1"/>
  <c r="C20" i="23" s="1"/>
  <c r="D13" i="5"/>
  <c r="F13" i="5" s="1"/>
  <c r="C5" i="23" s="1"/>
  <c r="D29" i="4"/>
  <c r="D18" i="4"/>
  <c r="D15" i="4"/>
  <c r="D28" i="4"/>
  <c r="D19" i="4"/>
  <c r="D27" i="5"/>
  <c r="F27" i="5" s="1"/>
  <c r="C19" i="23" s="1"/>
  <c r="D30" i="5"/>
  <c r="F30" i="5" s="1"/>
  <c r="C22" i="23" s="1"/>
  <c r="D20" i="4"/>
  <c r="D32" i="5"/>
  <c r="F32" i="5" s="1"/>
  <c r="C24" i="23" s="1"/>
  <c r="D32" i="4"/>
  <c r="D13" i="4"/>
  <c r="D12" i="5"/>
  <c r="F12" i="5" s="1"/>
  <c r="C4" i="23" s="1"/>
  <c r="D27" i="4"/>
  <c r="D30" i="4"/>
  <c r="Q63" i="20"/>
  <c r="Q63" i="22" s="1"/>
  <c r="Q92" i="20"/>
  <c r="Q92" i="22" s="1"/>
  <c r="Q40" i="20"/>
  <c r="Q40" i="22" s="1"/>
  <c r="Q36" i="20"/>
  <c r="Q36" i="22" s="1"/>
  <c r="U20" i="20"/>
  <c r="U20" i="22" s="1"/>
  <c r="U28" i="20"/>
  <c r="U28" i="22" s="1"/>
  <c r="Q78" i="20"/>
  <c r="Q78" i="22" s="1"/>
  <c r="V46" i="20"/>
  <c r="U46" i="21" s="1"/>
  <c r="Q64" i="20"/>
  <c r="Q64" i="22" s="1"/>
  <c r="Q35" i="20"/>
  <c r="Q35" i="22" s="1"/>
  <c r="Q16" i="20"/>
  <c r="Q16" i="22" s="1"/>
  <c r="Q88" i="20"/>
  <c r="Q88" i="22" s="1"/>
  <c r="Q12" i="20"/>
  <c r="Q12" i="22" s="1"/>
  <c r="Q22" i="20"/>
  <c r="P22" i="21" s="1"/>
  <c r="Q56" i="20"/>
  <c r="Q56" i="22" s="1"/>
  <c r="Q95" i="20"/>
  <c r="Q95" i="22" s="1"/>
  <c r="Q46" i="20"/>
  <c r="P46" i="21" s="1"/>
  <c r="Q6" i="20"/>
  <c r="P6" i="21" s="1"/>
  <c r="U91" i="20"/>
  <c r="T91" i="21" s="1"/>
  <c r="Q29" i="20"/>
  <c r="P29" i="21" s="1"/>
  <c r="U88" i="20"/>
  <c r="T88" i="21" s="1"/>
  <c r="U41" i="20"/>
  <c r="T41" i="21" s="1"/>
  <c r="Q45" i="20"/>
  <c r="P45" i="21" s="1"/>
  <c r="Q52" i="20"/>
  <c r="P52" i="21" s="1"/>
  <c r="Q48" i="20"/>
  <c r="Q48" i="22" s="1"/>
  <c r="V91" i="20"/>
  <c r="U91" i="21" s="1"/>
  <c r="Q38" i="20"/>
  <c r="P38" i="21" s="1"/>
  <c r="D68" i="17"/>
  <c r="Q100" i="20"/>
  <c r="P100" i="21" s="1"/>
  <c r="U63" i="20"/>
  <c r="T63" i="21" s="1"/>
  <c r="U29" i="20"/>
  <c r="U29" i="22" s="1"/>
  <c r="U92" i="20"/>
  <c r="T92" i="21" s="1"/>
  <c r="V48" i="20"/>
  <c r="V48" i="22" s="1"/>
  <c r="D54" i="17"/>
  <c r="D37" i="17"/>
  <c r="Q9" i="20"/>
  <c r="Q9" i="22" s="1"/>
  <c r="Q91" i="20"/>
  <c r="Q91" i="22" s="1"/>
  <c r="U15" i="20"/>
  <c r="U15" i="22" s="1"/>
  <c r="U18" i="20"/>
  <c r="U18" i="22" s="1"/>
  <c r="V11" i="20"/>
  <c r="U11" i="21" s="1"/>
  <c r="U27" i="20"/>
  <c r="U27" i="22" s="1"/>
  <c r="Q70" i="20"/>
  <c r="Q70" i="22" s="1"/>
  <c r="U47" i="20"/>
  <c r="U47" i="22" s="1"/>
  <c r="Q97" i="20"/>
  <c r="P97" i="21" s="1"/>
  <c r="Q10" i="20"/>
  <c r="Q10" i="22" s="1"/>
  <c r="Q59" i="20"/>
  <c r="Q59" i="22" s="1"/>
  <c r="Q58" i="20"/>
  <c r="P58" i="21" s="1"/>
  <c r="U13" i="20"/>
  <c r="U13" i="22" s="1"/>
  <c r="Q41" i="20"/>
  <c r="Q41" i="22" s="1"/>
  <c r="Q27" i="20"/>
  <c r="Q27" i="22" s="1"/>
  <c r="U67" i="20"/>
  <c r="U67" i="22" s="1"/>
  <c r="U19" i="20"/>
  <c r="U19" i="22" s="1"/>
  <c r="Q47" i="20"/>
  <c r="Q47" i="22" s="1"/>
  <c r="Q83" i="20"/>
  <c r="Q83" i="22" s="1"/>
  <c r="Q62" i="20"/>
  <c r="P62" i="21" s="1"/>
  <c r="Q34" i="20"/>
  <c r="Q34" i="22" s="1"/>
  <c r="U32" i="20"/>
  <c r="U32" i="22" s="1"/>
  <c r="U38" i="20"/>
  <c r="U38" i="22" s="1"/>
  <c r="U97" i="20"/>
  <c r="T97" i="21" s="1"/>
  <c r="Q26" i="20"/>
  <c r="Q26" i="22" s="1"/>
  <c r="U42" i="20"/>
  <c r="U42" i="22" s="1"/>
  <c r="Q53" i="20"/>
  <c r="P53" i="21" s="1"/>
  <c r="U86" i="20"/>
  <c r="T86" i="21" s="1"/>
  <c r="U58" i="20"/>
  <c r="T58" i="21" s="1"/>
  <c r="U83" i="20"/>
  <c r="T83" i="21" s="1"/>
  <c r="Q13" i="20"/>
  <c r="P13" i="21" s="1"/>
  <c r="V17" i="20"/>
  <c r="U17" i="21" s="1"/>
  <c r="Q19" i="20"/>
  <c r="Q19" i="22" s="1"/>
  <c r="Q25" i="20"/>
  <c r="P25" i="21" s="1"/>
  <c r="U26" i="20"/>
  <c r="U26" i="22" s="1"/>
  <c r="Q42" i="20"/>
  <c r="Q42" i="22" s="1"/>
  <c r="Q49" i="20"/>
  <c r="Q49" i="22" s="1"/>
  <c r="U17" i="20"/>
  <c r="U17" i="22" s="1"/>
  <c r="Q28" i="20"/>
  <c r="Q28" i="22" s="1"/>
  <c r="U37" i="20"/>
  <c r="T37" i="21" s="1"/>
  <c r="Q8" i="20"/>
  <c r="P8" i="21" s="1"/>
  <c r="U53" i="20"/>
  <c r="U53" i="22" s="1"/>
  <c r="U60" i="20"/>
  <c r="U60" i="22" s="1"/>
  <c r="Q21" i="20"/>
  <c r="Q21" i="22" s="1"/>
  <c r="Q54" i="20"/>
  <c r="Q54" i="22" s="1"/>
  <c r="Q20" i="20"/>
  <c r="P20" i="21" s="1"/>
  <c r="U21" i="20"/>
  <c r="U21" i="22" s="1"/>
  <c r="U54" i="20"/>
  <c r="U54" i="22" s="1"/>
  <c r="Q86" i="20"/>
  <c r="Q86" i="22" s="1"/>
  <c r="U35" i="20"/>
  <c r="U35" i="22" s="1"/>
  <c r="U12" i="20"/>
  <c r="U12" i="22" s="1"/>
  <c r="Q60" i="20"/>
  <c r="Q60" i="22" s="1"/>
  <c r="Q23" i="20"/>
  <c r="Q23" i="22" s="1"/>
  <c r="Q17" i="20"/>
  <c r="P17" i="21" s="1"/>
  <c r="U75" i="20"/>
  <c r="T75" i="21" s="1"/>
  <c r="Q80" i="20"/>
  <c r="Q80" i="22" s="1"/>
  <c r="Q15" i="20"/>
  <c r="Q15" i="22" s="1"/>
  <c r="Q67" i="20"/>
  <c r="Q67" i="22" s="1"/>
  <c r="Q18" i="20"/>
  <c r="P18" i="21" s="1"/>
  <c r="U34" i="20"/>
  <c r="T34" i="21" s="1"/>
  <c r="U23" i="20"/>
  <c r="T23" i="21" s="1"/>
  <c r="Q32" i="20"/>
  <c r="Q32" i="22" s="1"/>
  <c r="U80" i="20"/>
  <c r="T80" i="21" s="1"/>
  <c r="Q11" i="20"/>
  <c r="Q11" i="22" s="1"/>
  <c r="U56" i="20"/>
  <c r="U56" i="22" s="1"/>
  <c r="U49" i="20"/>
  <c r="U49" i="22" s="1"/>
  <c r="U72" i="20"/>
  <c r="U72" i="22" s="1"/>
  <c r="U46" i="20"/>
  <c r="U46" i="22" s="1"/>
  <c r="Q44" i="20"/>
  <c r="P44" i="21" s="1"/>
  <c r="Q37" i="20"/>
  <c r="Q37" i="22" s="1"/>
  <c r="Q72" i="20"/>
  <c r="Q72" i="22" s="1"/>
  <c r="Q75" i="20"/>
  <c r="Q75" i="22" s="1"/>
  <c r="R69" i="19"/>
  <c r="R69" i="20" s="1"/>
  <c r="R69" i="22" s="1"/>
  <c r="S69" i="19"/>
  <c r="S69" i="20" s="1"/>
  <c r="S69" i="22" s="1"/>
  <c r="T69" i="19"/>
  <c r="T69" i="20" s="1"/>
  <c r="T69" i="22" s="1"/>
  <c r="U69" i="19"/>
  <c r="U69" i="20" s="1"/>
  <c r="U69" i="22" s="1"/>
  <c r="V69" i="19"/>
  <c r="V69" i="20" s="1"/>
  <c r="P69" i="19"/>
  <c r="Q69" i="19"/>
  <c r="Q69" i="20" s="1"/>
  <c r="Q69" i="22" s="1"/>
  <c r="S81" i="19"/>
  <c r="S81" i="20" s="1"/>
  <c r="S81" i="22" s="1"/>
  <c r="P81" i="19"/>
  <c r="Q81" i="19"/>
  <c r="Q81" i="20" s="1"/>
  <c r="Q81" i="22" s="1"/>
  <c r="R81" i="19"/>
  <c r="R81" i="20" s="1"/>
  <c r="R81" i="22" s="1"/>
  <c r="V81" i="19"/>
  <c r="V81" i="20" s="1"/>
  <c r="U81" i="21" s="1"/>
  <c r="T81" i="19"/>
  <c r="T81" i="20" s="1"/>
  <c r="T81" i="22" s="1"/>
  <c r="U81" i="19"/>
  <c r="U81" i="20" s="1"/>
  <c r="T81" i="21" s="1"/>
  <c r="P24" i="19"/>
  <c r="Q24" i="19"/>
  <c r="Q24" i="20" s="1"/>
  <c r="R24" i="19"/>
  <c r="R24" i="20" s="1"/>
  <c r="S24" i="19"/>
  <c r="S24" i="20" s="1"/>
  <c r="U24" i="19"/>
  <c r="U24" i="20" s="1"/>
  <c r="V24" i="19"/>
  <c r="V24" i="20" s="1"/>
  <c r="T24" i="19"/>
  <c r="T24" i="20" s="1"/>
  <c r="P31" i="19"/>
  <c r="Q31" i="19"/>
  <c r="Q31" i="20" s="1"/>
  <c r="T31" i="19"/>
  <c r="T31" i="20" s="1"/>
  <c r="R31" i="19"/>
  <c r="R31" i="20" s="1"/>
  <c r="S31" i="19"/>
  <c r="S31" i="20" s="1"/>
  <c r="V31" i="19"/>
  <c r="V31" i="20" s="1"/>
  <c r="U31" i="19"/>
  <c r="U31" i="20" s="1"/>
  <c r="S43" i="19"/>
  <c r="S43" i="20" s="1"/>
  <c r="U43" i="19"/>
  <c r="U43" i="20" s="1"/>
  <c r="T43" i="19"/>
  <c r="T43" i="20" s="1"/>
  <c r="V43" i="19"/>
  <c r="V43" i="20" s="1"/>
  <c r="P43" i="19"/>
  <c r="Q43" i="19"/>
  <c r="Q43" i="20" s="1"/>
  <c r="R43" i="19"/>
  <c r="R43" i="20" s="1"/>
  <c r="R89" i="19"/>
  <c r="R89" i="20" s="1"/>
  <c r="R89" i="22" s="1"/>
  <c r="S89" i="19"/>
  <c r="S89" i="20" s="1"/>
  <c r="S89" i="22" s="1"/>
  <c r="T89" i="19"/>
  <c r="T89" i="20" s="1"/>
  <c r="S89" i="21" s="1"/>
  <c r="V89" i="19"/>
  <c r="V89" i="20" s="1"/>
  <c r="U89" i="21" s="1"/>
  <c r="P89" i="19"/>
  <c r="Q89" i="19"/>
  <c r="Q89" i="20" s="1"/>
  <c r="Q89" i="22" s="1"/>
  <c r="U89" i="19"/>
  <c r="U89" i="20" s="1"/>
  <c r="T89" i="21" s="1"/>
  <c r="P39" i="19"/>
  <c r="R39" i="19"/>
  <c r="R39" i="20" s="1"/>
  <c r="S39" i="19"/>
  <c r="S39" i="20" s="1"/>
  <c r="T39" i="19"/>
  <c r="T39" i="20" s="1"/>
  <c r="U39" i="19"/>
  <c r="U39" i="20" s="1"/>
  <c r="V39" i="19"/>
  <c r="V39" i="20" s="1"/>
  <c r="Q39" i="19"/>
  <c r="Q39" i="20" s="1"/>
  <c r="P57" i="19"/>
  <c r="R57" i="19"/>
  <c r="R57" i="20" s="1"/>
  <c r="U57" i="19"/>
  <c r="U57" i="20" s="1"/>
  <c r="S57" i="19"/>
  <c r="S57" i="20" s="1"/>
  <c r="Q57" i="19"/>
  <c r="Q57" i="20" s="1"/>
  <c r="T57" i="19"/>
  <c r="T57" i="20" s="1"/>
  <c r="V57" i="19"/>
  <c r="V57" i="20" s="1"/>
  <c r="S33" i="19"/>
  <c r="S33" i="20" s="1"/>
  <c r="U33" i="19"/>
  <c r="U33" i="20" s="1"/>
  <c r="U33" i="22" s="1"/>
  <c r="T33" i="19"/>
  <c r="T33" i="20" s="1"/>
  <c r="T33" i="22" s="1"/>
  <c r="V33" i="19"/>
  <c r="V33" i="20" s="1"/>
  <c r="Q33" i="19"/>
  <c r="Q33" i="20" s="1"/>
  <c r="P33" i="19"/>
  <c r="R33" i="19"/>
  <c r="R33" i="20" s="1"/>
  <c r="R33" i="22" s="1"/>
  <c r="S73" i="19"/>
  <c r="S73" i="20" s="1"/>
  <c r="S73" i="22" s="1"/>
  <c r="T73" i="19"/>
  <c r="T73" i="20" s="1"/>
  <c r="T73" i="22" s="1"/>
  <c r="U73" i="19"/>
  <c r="U73" i="20" s="1"/>
  <c r="U73" i="22" s="1"/>
  <c r="V73" i="19"/>
  <c r="V73" i="20" s="1"/>
  <c r="U73" i="21" s="1"/>
  <c r="P73" i="19"/>
  <c r="Q73" i="19"/>
  <c r="Q73" i="20" s="1"/>
  <c r="Q73" i="22" s="1"/>
  <c r="R73" i="19"/>
  <c r="R73" i="20" s="1"/>
  <c r="R73" i="22" s="1"/>
  <c r="Q85" i="19"/>
  <c r="Q85" i="20" s="1"/>
  <c r="Q85" i="22" s="1"/>
  <c r="T85" i="19"/>
  <c r="T85" i="20" s="1"/>
  <c r="S85" i="21" s="1"/>
  <c r="P85" i="19"/>
  <c r="R85" i="19"/>
  <c r="R85" i="20" s="1"/>
  <c r="R85" i="22" s="1"/>
  <c r="S85" i="19"/>
  <c r="S85" i="20" s="1"/>
  <c r="S85" i="22" s="1"/>
  <c r="U85" i="19"/>
  <c r="U85" i="20" s="1"/>
  <c r="T85" i="21" s="1"/>
  <c r="V85" i="19"/>
  <c r="V85" i="20" s="1"/>
  <c r="U85" i="21" s="1"/>
  <c r="Q55" i="19"/>
  <c r="Q55" i="20" s="1"/>
  <c r="P55" i="19"/>
  <c r="S55" i="19"/>
  <c r="S55" i="20" s="1"/>
  <c r="T55" i="19"/>
  <c r="T55" i="20" s="1"/>
  <c r="R55" i="19"/>
  <c r="R55" i="20" s="1"/>
  <c r="U55" i="19"/>
  <c r="U55" i="20" s="1"/>
  <c r="V55" i="19"/>
  <c r="V55" i="20" s="1"/>
  <c r="R94" i="19"/>
  <c r="R94" i="20" s="1"/>
  <c r="R94" i="22" s="1"/>
  <c r="S94" i="19"/>
  <c r="S94" i="20" s="1"/>
  <c r="R94" i="21" s="1"/>
  <c r="T94" i="19"/>
  <c r="T94" i="20" s="1"/>
  <c r="S94" i="21" s="1"/>
  <c r="V94" i="19"/>
  <c r="V94" i="20" s="1"/>
  <c r="U94" i="21" s="1"/>
  <c r="Q94" i="19"/>
  <c r="Q94" i="20" s="1"/>
  <c r="Q94" i="22" s="1"/>
  <c r="P94" i="19"/>
  <c r="U94" i="19"/>
  <c r="U94" i="20" s="1"/>
  <c r="T94" i="21" s="1"/>
  <c r="P66" i="19"/>
  <c r="Q66" i="19"/>
  <c r="Q66" i="20" s="1"/>
  <c r="Q66" i="22" s="1"/>
  <c r="R66" i="19"/>
  <c r="R66" i="20" s="1"/>
  <c r="R66" i="22" s="1"/>
  <c r="S66" i="19"/>
  <c r="S66" i="20" s="1"/>
  <c r="S66" i="22" s="1"/>
  <c r="V66" i="19"/>
  <c r="V66" i="20" s="1"/>
  <c r="V66" i="22" s="1"/>
  <c r="U66" i="19"/>
  <c r="U66" i="20" s="1"/>
  <c r="U66" i="22" s="1"/>
  <c r="T66" i="19"/>
  <c r="T66" i="20" s="1"/>
  <c r="T66" i="22" s="1"/>
  <c r="R74" i="19"/>
  <c r="R74" i="20" s="1"/>
  <c r="R74" i="22" s="1"/>
  <c r="S74" i="19"/>
  <c r="S74" i="20" s="1"/>
  <c r="S74" i="22" s="1"/>
  <c r="T74" i="19"/>
  <c r="T74" i="20" s="1"/>
  <c r="T74" i="22" s="1"/>
  <c r="V74" i="19"/>
  <c r="V74" i="20" s="1"/>
  <c r="U74" i="21" s="1"/>
  <c r="U74" i="19"/>
  <c r="U74" i="20" s="1"/>
  <c r="U74" i="22" s="1"/>
  <c r="P74" i="19"/>
  <c r="Q74" i="19"/>
  <c r="Q74" i="20" s="1"/>
  <c r="Q74" i="22" s="1"/>
  <c r="Q50" i="19"/>
  <c r="Q50" i="20" s="1"/>
  <c r="T50" i="19"/>
  <c r="T50" i="20" s="1"/>
  <c r="V50" i="19"/>
  <c r="V50" i="20" s="1"/>
  <c r="P50" i="19"/>
  <c r="R50" i="19"/>
  <c r="R50" i="20" s="1"/>
  <c r="S50" i="19"/>
  <c r="S50" i="20" s="1"/>
  <c r="U50" i="19"/>
  <c r="U50" i="20" s="1"/>
  <c r="P77" i="19"/>
  <c r="R77" i="19"/>
  <c r="R77" i="20" s="1"/>
  <c r="R77" i="22" s="1"/>
  <c r="U77" i="19"/>
  <c r="U77" i="20" s="1"/>
  <c r="U77" i="22" s="1"/>
  <c r="T77" i="19"/>
  <c r="T77" i="20" s="1"/>
  <c r="T77" i="22" s="1"/>
  <c r="Q77" i="19"/>
  <c r="Q77" i="20" s="1"/>
  <c r="Q77" i="22" s="1"/>
  <c r="S77" i="19"/>
  <c r="S77" i="20" s="1"/>
  <c r="S77" i="22" s="1"/>
  <c r="V77" i="19"/>
  <c r="V77" i="20" s="1"/>
  <c r="U77" i="21" s="1"/>
  <c r="Q71" i="19"/>
  <c r="Q71" i="20" s="1"/>
  <c r="Q71" i="22" s="1"/>
  <c r="P71" i="19"/>
  <c r="R71" i="19"/>
  <c r="R71" i="20" s="1"/>
  <c r="R71" i="22" s="1"/>
  <c r="S71" i="19"/>
  <c r="S71" i="20" s="1"/>
  <c r="S71" i="22" s="1"/>
  <c r="V71" i="19"/>
  <c r="V71" i="20" s="1"/>
  <c r="U71" i="21" s="1"/>
  <c r="T71" i="19"/>
  <c r="T71" i="20" s="1"/>
  <c r="T71" i="22" s="1"/>
  <c r="U71" i="19"/>
  <c r="U71" i="20" s="1"/>
  <c r="U71" i="22" s="1"/>
  <c r="Q90" i="19"/>
  <c r="Q90" i="20" s="1"/>
  <c r="Q90" i="22" s="1"/>
  <c r="V90" i="19"/>
  <c r="V90" i="20" s="1"/>
  <c r="U90" i="21" s="1"/>
  <c r="T90" i="19"/>
  <c r="T90" i="20" s="1"/>
  <c r="S90" i="21" s="1"/>
  <c r="P90" i="19"/>
  <c r="U90" i="19"/>
  <c r="U90" i="20" s="1"/>
  <c r="T90" i="21" s="1"/>
  <c r="R90" i="19"/>
  <c r="R90" i="20" s="1"/>
  <c r="R90" i="22" s="1"/>
  <c r="S90" i="19"/>
  <c r="S90" i="20" s="1"/>
  <c r="S90" i="22" s="1"/>
  <c r="R7" i="19"/>
  <c r="R7" i="20" s="1"/>
  <c r="P7" i="19"/>
  <c r="Q7" i="19"/>
  <c r="Q7" i="20" s="1"/>
  <c r="P7" i="21" s="1"/>
  <c r="T7" i="19"/>
  <c r="T7" i="20" s="1"/>
  <c r="U7" i="19"/>
  <c r="U7" i="20" s="1"/>
  <c r="T7" i="21" s="1"/>
  <c r="V7" i="19"/>
  <c r="V7" i="20" s="1"/>
  <c r="S7" i="19"/>
  <c r="S7" i="20" s="1"/>
  <c r="Q30" i="19"/>
  <c r="Q30" i="20" s="1"/>
  <c r="V30" i="19"/>
  <c r="V30" i="20" s="1"/>
  <c r="P30" i="19"/>
  <c r="U30" i="19"/>
  <c r="U30" i="20" s="1"/>
  <c r="T30" i="19"/>
  <c r="T30" i="20" s="1"/>
  <c r="R30" i="19"/>
  <c r="R30" i="20" s="1"/>
  <c r="S30" i="19"/>
  <c r="S30" i="20" s="1"/>
  <c r="P87" i="19"/>
  <c r="R87" i="19"/>
  <c r="R87" i="20" s="1"/>
  <c r="R87" i="22" s="1"/>
  <c r="U87" i="19"/>
  <c r="U87" i="20" s="1"/>
  <c r="T87" i="21" s="1"/>
  <c r="V87" i="19"/>
  <c r="V87" i="20" s="1"/>
  <c r="U87" i="21" s="1"/>
  <c r="T87" i="19"/>
  <c r="T87" i="20" s="1"/>
  <c r="S87" i="21" s="1"/>
  <c r="Q87" i="19"/>
  <c r="Q87" i="20" s="1"/>
  <c r="Q87" i="22" s="1"/>
  <c r="S87" i="19"/>
  <c r="S87" i="20" s="1"/>
  <c r="S87" i="22" s="1"/>
  <c r="P96" i="19"/>
  <c r="Q96" i="19"/>
  <c r="Q96" i="20" s="1"/>
  <c r="Q96" i="22" s="1"/>
  <c r="R96" i="19"/>
  <c r="R96" i="20" s="1"/>
  <c r="R96" i="22" s="1"/>
  <c r="S96" i="19"/>
  <c r="S96" i="20" s="1"/>
  <c r="R96" i="21" s="1"/>
  <c r="V96" i="19"/>
  <c r="V96" i="20" s="1"/>
  <c r="U96" i="21" s="1"/>
  <c r="U96" i="19"/>
  <c r="U96" i="20" s="1"/>
  <c r="T96" i="21" s="1"/>
  <c r="T96" i="19"/>
  <c r="T96" i="20" s="1"/>
  <c r="S96" i="21" s="1"/>
  <c r="P82" i="19"/>
  <c r="R82" i="19"/>
  <c r="R82" i="20" s="1"/>
  <c r="R82" i="22" s="1"/>
  <c r="U82" i="19"/>
  <c r="U82" i="20" s="1"/>
  <c r="T82" i="21" s="1"/>
  <c r="V82" i="19"/>
  <c r="V82" i="20" s="1"/>
  <c r="U82" i="21" s="1"/>
  <c r="Q82" i="19"/>
  <c r="Q82" i="20" s="1"/>
  <c r="Q82" i="22" s="1"/>
  <c r="S82" i="19"/>
  <c r="S82" i="20" s="1"/>
  <c r="S82" i="22" s="1"/>
  <c r="T82" i="19"/>
  <c r="T82" i="20" s="1"/>
  <c r="S82" i="21" s="1"/>
  <c r="S51" i="19"/>
  <c r="S51" i="20" s="1"/>
  <c r="P51" i="19"/>
  <c r="Q51" i="19"/>
  <c r="Q51" i="20" s="1"/>
  <c r="R51" i="19"/>
  <c r="R51" i="20" s="1"/>
  <c r="V51" i="19"/>
  <c r="V51" i="20" s="1"/>
  <c r="T51" i="19"/>
  <c r="T51" i="20" s="1"/>
  <c r="U51" i="19"/>
  <c r="U51" i="20" s="1"/>
  <c r="S93" i="19"/>
  <c r="S93" i="20" s="1"/>
  <c r="R93" i="21" s="1"/>
  <c r="U93" i="19"/>
  <c r="U93" i="20" s="1"/>
  <c r="T93" i="21" s="1"/>
  <c r="V93" i="19"/>
  <c r="V93" i="20" s="1"/>
  <c r="U93" i="21" s="1"/>
  <c r="T93" i="19"/>
  <c r="T93" i="20" s="1"/>
  <c r="S93" i="21" s="1"/>
  <c r="P93" i="19"/>
  <c r="Q93" i="19"/>
  <c r="Q93" i="20" s="1"/>
  <c r="Q93" i="22" s="1"/>
  <c r="R93" i="19"/>
  <c r="R93" i="20" s="1"/>
  <c r="R93" i="22" s="1"/>
  <c r="R84" i="19"/>
  <c r="R84" i="20" s="1"/>
  <c r="R84" i="22" s="1"/>
  <c r="S84" i="19"/>
  <c r="S84" i="20" s="1"/>
  <c r="S84" i="22" s="1"/>
  <c r="T84" i="19"/>
  <c r="T84" i="20" s="1"/>
  <c r="S84" i="21" s="1"/>
  <c r="V84" i="19"/>
  <c r="V84" i="20" s="1"/>
  <c r="U84" i="21" s="1"/>
  <c r="P84" i="19"/>
  <c r="U84" i="19"/>
  <c r="U84" i="20" s="1"/>
  <c r="T84" i="21" s="1"/>
  <c r="Q84" i="19"/>
  <c r="Q84" i="20" s="1"/>
  <c r="Q84" i="22" s="1"/>
  <c r="Q101" i="19"/>
  <c r="Q101" i="20" s="1"/>
  <c r="R101" i="19"/>
  <c r="R101" i="20" s="1"/>
  <c r="Q101" i="21" s="1"/>
  <c r="P101" i="19"/>
  <c r="S101" i="19"/>
  <c r="S101" i="20" s="1"/>
  <c r="R101" i="21" s="1"/>
  <c r="V101" i="19"/>
  <c r="V101" i="20" s="1"/>
  <c r="U101" i="21" s="1"/>
  <c r="T101" i="19"/>
  <c r="T101" i="20" s="1"/>
  <c r="S101" i="21" s="1"/>
  <c r="U101" i="19"/>
  <c r="U101" i="20" s="1"/>
  <c r="T101" i="21" s="1"/>
  <c r="P14" i="19"/>
  <c r="Q14" i="19"/>
  <c r="Q14" i="20" s="1"/>
  <c r="R14" i="19"/>
  <c r="R14" i="20" s="1"/>
  <c r="S14" i="19"/>
  <c r="S14" i="20" s="1"/>
  <c r="U14" i="19"/>
  <c r="U14" i="20" s="1"/>
  <c r="V14" i="19"/>
  <c r="V14" i="20" s="1"/>
  <c r="T14" i="19"/>
  <c r="T14" i="20" s="1"/>
  <c r="R99" i="19"/>
  <c r="R99" i="20" s="1"/>
  <c r="Q99" i="21" s="1"/>
  <c r="S99" i="19"/>
  <c r="S99" i="20" s="1"/>
  <c r="R99" i="21" s="1"/>
  <c r="T99" i="19"/>
  <c r="T99" i="20" s="1"/>
  <c r="S99" i="21" s="1"/>
  <c r="V99" i="19"/>
  <c r="V99" i="20" s="1"/>
  <c r="U99" i="21" s="1"/>
  <c r="U99" i="19"/>
  <c r="U99" i="20" s="1"/>
  <c r="T99" i="21" s="1"/>
  <c r="Q99" i="19"/>
  <c r="Q99" i="20" s="1"/>
  <c r="P99" i="19"/>
  <c r="R79" i="19"/>
  <c r="R79" i="20" s="1"/>
  <c r="R79" i="22" s="1"/>
  <c r="S79" i="19"/>
  <c r="S79" i="20" s="1"/>
  <c r="S79" i="22" s="1"/>
  <c r="T79" i="19"/>
  <c r="T79" i="20" s="1"/>
  <c r="T79" i="22" s="1"/>
  <c r="V79" i="19"/>
  <c r="V79" i="20" s="1"/>
  <c r="U79" i="21" s="1"/>
  <c r="Q79" i="19"/>
  <c r="Q79" i="20" s="1"/>
  <c r="Q79" i="22" s="1"/>
  <c r="U79" i="19"/>
  <c r="U79" i="20" s="1"/>
  <c r="T79" i="21" s="1"/>
  <c r="P79" i="19"/>
  <c r="Q65" i="19"/>
  <c r="Q65" i="20" s="1"/>
  <c r="T65" i="19"/>
  <c r="T65" i="20" s="1"/>
  <c r="U65" i="19"/>
  <c r="U65" i="20" s="1"/>
  <c r="V65" i="19"/>
  <c r="V65" i="20" s="1"/>
  <c r="R65" i="19"/>
  <c r="R65" i="20" s="1"/>
  <c r="P65" i="19"/>
  <c r="S65" i="19"/>
  <c r="S65" i="20" s="1"/>
  <c r="S98" i="19"/>
  <c r="S98" i="20" s="1"/>
  <c r="R98" i="21" s="1"/>
  <c r="T98" i="19"/>
  <c r="T98" i="20" s="1"/>
  <c r="S98" i="21" s="1"/>
  <c r="U98" i="19"/>
  <c r="U98" i="20" s="1"/>
  <c r="T98" i="21" s="1"/>
  <c r="V98" i="19"/>
  <c r="V98" i="20" s="1"/>
  <c r="U98" i="21" s="1"/>
  <c r="R98" i="19"/>
  <c r="R98" i="20" s="1"/>
  <c r="Q98" i="21" s="1"/>
  <c r="P98" i="19"/>
  <c r="Q98" i="19"/>
  <c r="Q98" i="20" s="1"/>
  <c r="P76" i="19"/>
  <c r="Q76" i="19"/>
  <c r="Q76" i="20" s="1"/>
  <c r="Q76" i="22" s="1"/>
  <c r="R76" i="19"/>
  <c r="R76" i="20" s="1"/>
  <c r="R76" i="22" s="1"/>
  <c r="S76" i="19"/>
  <c r="S76" i="20" s="1"/>
  <c r="S76" i="22" s="1"/>
  <c r="V76" i="19"/>
  <c r="V76" i="20" s="1"/>
  <c r="U76" i="21" s="1"/>
  <c r="T76" i="19"/>
  <c r="T76" i="20" s="1"/>
  <c r="T76" i="22" s="1"/>
  <c r="U76" i="19"/>
  <c r="U76" i="20" s="1"/>
  <c r="U76" i="22" s="1"/>
  <c r="P61" i="19"/>
  <c r="Q61" i="19"/>
  <c r="Q61" i="20" s="1"/>
  <c r="S61" i="19"/>
  <c r="S61" i="20" s="1"/>
  <c r="R61" i="19"/>
  <c r="R61" i="20" s="1"/>
  <c r="V61" i="19"/>
  <c r="V61" i="20" s="1"/>
  <c r="U61" i="19"/>
  <c r="U61" i="20" s="1"/>
  <c r="T61" i="19"/>
  <c r="T61" i="20" s="1"/>
  <c r="S68" i="19"/>
  <c r="S68" i="20" s="1"/>
  <c r="S68" i="22" s="1"/>
  <c r="T68" i="19"/>
  <c r="T68" i="20" s="1"/>
  <c r="T68" i="22" s="1"/>
  <c r="U68" i="19"/>
  <c r="U68" i="20" s="1"/>
  <c r="U68" i="22" s="1"/>
  <c r="V68" i="19"/>
  <c r="V68" i="20" s="1"/>
  <c r="R68" i="19"/>
  <c r="R68" i="20" s="1"/>
  <c r="R68" i="22" s="1"/>
  <c r="P68" i="19"/>
  <c r="Q68" i="19"/>
  <c r="Q68" i="20" s="1"/>
  <c r="Q68" i="22" s="1"/>
  <c r="M18" i="20"/>
  <c r="L18" i="21" s="1"/>
  <c r="H86" i="2"/>
  <c r="R16" i="21"/>
  <c r="R18" i="21"/>
  <c r="V42" i="20"/>
  <c r="V42" i="22" s="1"/>
  <c r="S25" i="21"/>
  <c r="S25" i="22"/>
  <c r="T13" i="22"/>
  <c r="L33" i="23"/>
  <c r="H41" i="15"/>
  <c r="L51" i="23"/>
  <c r="H59" i="15"/>
  <c r="L31" i="23"/>
  <c r="H39" i="15"/>
  <c r="L35" i="23"/>
  <c r="H43" i="15"/>
  <c r="L41" i="23"/>
  <c r="H49" i="15"/>
  <c r="L88" i="23"/>
  <c r="H96" i="15"/>
  <c r="L39" i="23"/>
  <c r="H47" i="15"/>
  <c r="L55" i="23"/>
  <c r="H63" i="15"/>
  <c r="L44" i="23"/>
  <c r="H52" i="15"/>
  <c r="L53" i="23"/>
  <c r="H61" i="15"/>
  <c r="L42" i="23"/>
  <c r="H50" i="15"/>
  <c r="L43" i="23"/>
  <c r="H51" i="15"/>
  <c r="L61" i="23"/>
  <c r="H69" i="15"/>
  <c r="L59" i="23"/>
  <c r="H67" i="15"/>
  <c r="L45" i="23"/>
  <c r="H53" i="15"/>
  <c r="L49" i="23"/>
  <c r="H57" i="15"/>
  <c r="L37" i="23"/>
  <c r="H45" i="15"/>
  <c r="L14" i="23"/>
  <c r="H22" i="15"/>
  <c r="L5" i="23"/>
  <c r="H13" i="15"/>
  <c r="L15" i="23"/>
  <c r="H23" i="15"/>
  <c r="L7" i="23"/>
  <c r="H15" i="15"/>
  <c r="L22" i="23"/>
  <c r="H30" i="15"/>
  <c r="L6" i="23"/>
  <c r="H14" i="15"/>
  <c r="L13" i="23"/>
  <c r="H21" i="15"/>
  <c r="L20" i="23"/>
  <c r="H28" i="15"/>
  <c r="L25" i="23"/>
  <c r="H33" i="15"/>
  <c r="L12" i="23"/>
  <c r="H20" i="15"/>
  <c r="L17" i="23"/>
  <c r="H25" i="15"/>
  <c r="T18" i="22"/>
  <c r="S22" i="22"/>
  <c r="R15" i="21"/>
  <c r="L9" i="23"/>
  <c r="H17" i="15"/>
  <c r="L16" i="23"/>
  <c r="H24" i="15"/>
  <c r="L19" i="23"/>
  <c r="H27" i="15"/>
  <c r="I5" i="23"/>
  <c r="H13" i="12"/>
  <c r="I6" i="23"/>
  <c r="H14" i="12"/>
  <c r="I24" i="23"/>
  <c r="H32" i="12"/>
  <c r="I4" i="23"/>
  <c r="H12" i="12"/>
  <c r="I18" i="23"/>
  <c r="H26" i="12"/>
  <c r="I10" i="23"/>
  <c r="H18" i="12"/>
  <c r="I17" i="23"/>
  <c r="H25" i="12"/>
  <c r="I20" i="23"/>
  <c r="H28" i="12"/>
  <c r="I11" i="23"/>
  <c r="H19" i="12"/>
  <c r="I14" i="23"/>
  <c r="H22" i="12"/>
  <c r="I13" i="23"/>
  <c r="H21" i="12"/>
  <c r="I8" i="23"/>
  <c r="H16" i="12"/>
  <c r="I22" i="23"/>
  <c r="H30" i="12"/>
  <c r="I12" i="23"/>
  <c r="H20" i="12"/>
  <c r="I7" i="23"/>
  <c r="H15" i="12"/>
  <c r="S34" i="22"/>
  <c r="R34" i="21"/>
  <c r="D78" i="15"/>
  <c r="K78" i="15" s="1"/>
  <c r="D94" i="15"/>
  <c r="K94" i="15" s="1"/>
  <c r="D66" i="15"/>
  <c r="K66" i="15" s="1"/>
  <c r="D89" i="15"/>
  <c r="K89" i="15" s="1"/>
  <c r="D38" i="15"/>
  <c r="K38" i="15" s="1"/>
  <c r="D48" i="15"/>
  <c r="K48" i="15" s="1"/>
  <c r="D81" i="15"/>
  <c r="K81" i="15" s="1"/>
  <c r="D62" i="15"/>
  <c r="K62" i="15" s="1"/>
  <c r="D82" i="15"/>
  <c r="K82" i="15" s="1"/>
  <c r="D99" i="15"/>
  <c r="H99" i="15" s="1"/>
  <c r="D73" i="15"/>
  <c r="K73" i="15" s="1"/>
  <c r="D95" i="15"/>
  <c r="K95" i="15" s="1"/>
  <c r="D60" i="15"/>
  <c r="K60" i="15" s="1"/>
  <c r="D87" i="15"/>
  <c r="K87" i="15" s="1"/>
  <c r="D29" i="15"/>
  <c r="D70" i="15"/>
  <c r="K70" i="15" s="1"/>
  <c r="D86" i="15"/>
  <c r="K86" i="15" s="1"/>
  <c r="D103" i="15"/>
  <c r="H103" i="15" s="1"/>
  <c r="D35" i="15"/>
  <c r="K35" i="15" s="1"/>
  <c r="D79" i="15"/>
  <c r="K79" i="15" s="1"/>
  <c r="D101" i="15"/>
  <c r="H101" i="15" s="1"/>
  <c r="D19" i="15"/>
  <c r="D71" i="15"/>
  <c r="K71" i="15" s="1"/>
  <c r="D92" i="15"/>
  <c r="K92" i="15" s="1"/>
  <c r="D44" i="15"/>
  <c r="K44" i="15" s="1"/>
  <c r="D74" i="15"/>
  <c r="K74" i="15" s="1"/>
  <c r="D90" i="15"/>
  <c r="K90" i="15" s="1"/>
  <c r="D56" i="15"/>
  <c r="K56" i="15" s="1"/>
  <c r="D84" i="15"/>
  <c r="K84" i="15" s="1"/>
  <c r="D106" i="15"/>
  <c r="H106" i="15" s="1"/>
  <c r="D36" i="15"/>
  <c r="K36" i="15" s="1"/>
  <c r="D76" i="15"/>
  <c r="K76" i="15" s="1"/>
  <c r="D98" i="15"/>
  <c r="K98" i="15" s="1"/>
  <c r="S12" i="22"/>
  <c r="R9" i="21"/>
  <c r="D104" i="15"/>
  <c r="H104" i="15" s="1"/>
  <c r="B78" i="23"/>
  <c r="B18" i="23"/>
  <c r="H26" i="2"/>
  <c r="B22" i="23"/>
  <c r="H30" i="2"/>
  <c r="B20" i="23"/>
  <c r="H28" i="2"/>
  <c r="B23" i="23"/>
  <c r="H31" i="2"/>
  <c r="B17" i="23"/>
  <c r="H25" i="2"/>
  <c r="B44" i="23"/>
  <c r="H52" i="2"/>
  <c r="B66" i="23"/>
  <c r="H74" i="2"/>
  <c r="B69" i="23"/>
  <c r="H77" i="2"/>
  <c r="B33" i="23"/>
  <c r="H41" i="2"/>
  <c r="B43" i="23"/>
  <c r="H51" i="2"/>
  <c r="B56" i="23"/>
  <c r="H64" i="2"/>
  <c r="B74" i="23"/>
  <c r="H82" i="2"/>
  <c r="B37" i="23"/>
  <c r="H45" i="2"/>
  <c r="B48" i="23"/>
  <c r="H56" i="2"/>
  <c r="B77" i="23"/>
  <c r="H85" i="2"/>
  <c r="B65" i="23"/>
  <c r="H73" i="2"/>
  <c r="B60" i="23"/>
  <c r="H68" i="2"/>
  <c r="B31" i="23"/>
  <c r="H39" i="2"/>
  <c r="H94" i="2"/>
  <c r="B70" i="23"/>
  <c r="H78" i="2"/>
  <c r="B47" i="23"/>
  <c r="H55" i="2"/>
  <c r="B64" i="23"/>
  <c r="H72" i="2"/>
  <c r="H95" i="2"/>
  <c r="B15" i="23"/>
  <c r="H23" i="2"/>
  <c r="B21" i="23"/>
  <c r="H29" i="2"/>
  <c r="B12" i="23"/>
  <c r="H20" i="2"/>
  <c r="B19" i="23"/>
  <c r="H27" i="2"/>
  <c r="B9" i="23"/>
  <c r="H17" i="2"/>
  <c r="B83" i="23"/>
  <c r="H91" i="2"/>
  <c r="H93" i="2"/>
  <c r="B30" i="23"/>
  <c r="H38" i="2"/>
  <c r="B73" i="23"/>
  <c r="H81" i="2"/>
  <c r="B35" i="23"/>
  <c r="H43" i="2"/>
  <c r="H97" i="2"/>
  <c r="B49" i="23"/>
  <c r="H57" i="2"/>
  <c r="B71" i="23"/>
  <c r="H79" i="2"/>
  <c r="B26" i="23"/>
  <c r="H34" i="2"/>
  <c r="B46" i="23"/>
  <c r="H54" i="2"/>
  <c r="B81" i="23"/>
  <c r="H89" i="2"/>
  <c r="B52" i="23"/>
  <c r="H60" i="2"/>
  <c r="B50" i="23"/>
  <c r="H58" i="2"/>
  <c r="B59" i="23"/>
  <c r="H67" i="2"/>
  <c r="B91" i="23"/>
  <c r="H99" i="2"/>
  <c r="B84" i="23"/>
  <c r="H92" i="2"/>
  <c r="B63" i="23"/>
  <c r="H71" i="2"/>
  <c r="B5" i="23"/>
  <c r="H13" i="2"/>
  <c r="B11" i="23"/>
  <c r="H19" i="2"/>
  <c r="B13" i="23"/>
  <c r="H21" i="2"/>
  <c r="B6" i="23"/>
  <c r="H14" i="2"/>
  <c r="B14" i="23"/>
  <c r="H22" i="2"/>
  <c r="B16" i="23"/>
  <c r="H24" i="2"/>
  <c r="B40" i="23"/>
  <c r="H48" i="2"/>
  <c r="B67" i="23"/>
  <c r="H75" i="2"/>
  <c r="B61" i="23"/>
  <c r="H69" i="2"/>
  <c r="H100" i="2"/>
  <c r="B45" i="23"/>
  <c r="H53" i="2"/>
  <c r="B41" i="23"/>
  <c r="H49" i="2"/>
  <c r="B42" i="23"/>
  <c r="H50" i="2"/>
  <c r="B27" i="23"/>
  <c r="H35" i="2"/>
  <c r="B80" i="23"/>
  <c r="H88" i="2"/>
  <c r="B58" i="23"/>
  <c r="H66" i="2"/>
  <c r="B57" i="23"/>
  <c r="H65" i="2"/>
  <c r="B25" i="23"/>
  <c r="H33" i="2"/>
  <c r="H101" i="2"/>
  <c r="B55" i="23"/>
  <c r="H63" i="2"/>
  <c r="B76" i="23"/>
  <c r="H84" i="2"/>
  <c r="B28" i="23"/>
  <c r="H36" i="2"/>
  <c r="B4" i="23"/>
  <c r="H12" i="2"/>
  <c r="B7" i="23"/>
  <c r="H15" i="2"/>
  <c r="B24" i="23"/>
  <c r="H32" i="2"/>
  <c r="H10" i="2"/>
  <c r="B10" i="23"/>
  <c r="H18" i="2"/>
  <c r="B8" i="23"/>
  <c r="H16" i="2"/>
  <c r="H98" i="2"/>
  <c r="B36" i="23"/>
  <c r="H44" i="2"/>
  <c r="B54" i="23"/>
  <c r="H62" i="2"/>
  <c r="B68" i="23"/>
  <c r="H76" i="2"/>
  <c r="B38" i="23"/>
  <c r="H46" i="2"/>
  <c r="B75" i="23"/>
  <c r="H83" i="2"/>
  <c r="B72" i="23"/>
  <c r="H80" i="2"/>
  <c r="B29" i="23"/>
  <c r="H37" i="2"/>
  <c r="H96" i="2"/>
  <c r="B82" i="23"/>
  <c r="H90" i="2"/>
  <c r="B39" i="23"/>
  <c r="H47" i="2"/>
  <c r="B79" i="23"/>
  <c r="H87" i="2"/>
  <c r="B62" i="23"/>
  <c r="H70" i="2"/>
  <c r="B32" i="23"/>
  <c r="H40" i="2"/>
  <c r="B34" i="23"/>
  <c r="H42" i="2"/>
  <c r="B3" i="23"/>
  <c r="H11" i="2"/>
  <c r="B51" i="23"/>
  <c r="H59" i="2"/>
  <c r="B53" i="23"/>
  <c r="H61" i="2"/>
  <c r="V36" i="20"/>
  <c r="U36" i="21" s="1"/>
  <c r="V23" i="20"/>
  <c r="V23" i="22" s="1"/>
  <c r="V8" i="20"/>
  <c r="V8" i="22" s="1"/>
  <c r="V67" i="20"/>
  <c r="V67" i="22" s="1"/>
  <c r="V78" i="20"/>
  <c r="U78" i="21" s="1"/>
  <c r="V75" i="20"/>
  <c r="U75" i="21" s="1"/>
  <c r="V56" i="20"/>
  <c r="U56" i="21" s="1"/>
  <c r="V100" i="20"/>
  <c r="U100" i="21" s="1"/>
  <c r="V27" i="20"/>
  <c r="V27" i="22" s="1"/>
  <c r="V19" i="20"/>
  <c r="U19" i="21" s="1"/>
  <c r="V53" i="20"/>
  <c r="V53" i="22" s="1"/>
  <c r="V80" i="20"/>
  <c r="U80" i="21" s="1"/>
  <c r="V37" i="20"/>
  <c r="U37" i="21" s="1"/>
  <c r="V44" i="20"/>
  <c r="U44" i="21" s="1"/>
  <c r="V12" i="20"/>
  <c r="V12" i="22" s="1"/>
  <c r="V29" i="20"/>
  <c r="V29" i="22" s="1"/>
  <c r="V70" i="20"/>
  <c r="U70" i="21" s="1"/>
  <c r="V32" i="20"/>
  <c r="V32" i="22" s="1"/>
  <c r="S9" i="21"/>
  <c r="C8" i="20"/>
  <c r="C8" i="22" s="1"/>
  <c r="C9" i="20"/>
  <c r="C9" i="22" s="1"/>
  <c r="C6" i="20"/>
  <c r="C6" i="22" s="1"/>
  <c r="C7" i="20"/>
  <c r="B7" i="21" s="1"/>
  <c r="R9" i="20"/>
  <c r="Q9" i="21" s="1"/>
  <c r="S40" i="21"/>
  <c r="V16" i="20"/>
  <c r="U16" i="21" s="1"/>
  <c r="V25" i="20"/>
  <c r="U25" i="21" s="1"/>
  <c r="H17" i="20"/>
  <c r="H17" i="22" s="1"/>
  <c r="V26" i="20"/>
  <c r="U26" i="21" s="1"/>
  <c r="V18" i="20"/>
  <c r="U18" i="21" s="1"/>
  <c r="T21" i="22"/>
  <c r="R28" i="21"/>
  <c r="R10" i="21"/>
  <c r="R17" i="21"/>
  <c r="S17" i="21"/>
  <c r="S21" i="22"/>
  <c r="T10" i="22"/>
  <c r="T36" i="22"/>
  <c r="T16" i="22"/>
  <c r="S15" i="21"/>
  <c r="R13" i="21"/>
  <c r="S22" i="21"/>
  <c r="S28" i="21"/>
  <c r="S67" i="21"/>
  <c r="R26" i="21"/>
  <c r="R20" i="21"/>
  <c r="S26" i="21"/>
  <c r="T26" i="22"/>
  <c r="D5" i="23"/>
  <c r="D24" i="23"/>
  <c r="D22" i="23"/>
  <c r="D7" i="23"/>
  <c r="D19" i="23"/>
  <c r="D13" i="23"/>
  <c r="D6" i="23"/>
  <c r="D16" i="23"/>
  <c r="D21" i="23"/>
  <c r="D17" i="23"/>
  <c r="D23" i="23"/>
  <c r="D15" i="23"/>
  <c r="D4" i="23"/>
  <c r="D12" i="23"/>
  <c r="D8" i="23"/>
  <c r="D14" i="23"/>
  <c r="D20" i="23"/>
  <c r="D10" i="23"/>
  <c r="D18" i="23"/>
  <c r="L4" i="21"/>
  <c r="L5" i="21" s="1"/>
  <c r="D42" i="23"/>
  <c r="D39" i="23"/>
  <c r="D69" i="23"/>
  <c r="D50" i="23"/>
  <c r="D59" i="23"/>
  <c r="D64" i="23"/>
  <c r="D26" i="23"/>
  <c r="D76" i="23"/>
  <c r="D27" i="23"/>
  <c r="D28" i="23"/>
  <c r="D70" i="23"/>
  <c r="D67" i="23"/>
  <c r="D32" i="23"/>
  <c r="D77" i="23"/>
  <c r="D30" i="23"/>
  <c r="D78" i="23"/>
  <c r="D62" i="23"/>
  <c r="D25" i="23"/>
  <c r="D51" i="23"/>
  <c r="D43" i="23"/>
  <c r="D65" i="23"/>
  <c r="D66" i="23"/>
  <c r="D47" i="23"/>
  <c r="D71" i="23"/>
  <c r="D36" i="23"/>
  <c r="D61" i="23"/>
  <c r="D33" i="23"/>
  <c r="D73" i="23"/>
  <c r="D29" i="23"/>
  <c r="D68" i="23"/>
  <c r="D79" i="23"/>
  <c r="D72" i="23"/>
  <c r="D37" i="23"/>
  <c r="D54" i="23"/>
  <c r="D75" i="23"/>
  <c r="D48" i="23"/>
  <c r="D63" i="23"/>
  <c r="D45" i="23"/>
  <c r="D31" i="23"/>
  <c r="D49" i="23"/>
  <c r="D60" i="23"/>
  <c r="D74" i="23"/>
  <c r="D44" i="23"/>
  <c r="D40" i="23"/>
  <c r="D56" i="23"/>
  <c r="D41" i="23"/>
  <c r="D46" i="23"/>
  <c r="D57" i="23"/>
  <c r="D58" i="23"/>
  <c r="D52" i="23"/>
  <c r="D81" i="23"/>
  <c r="D38" i="23"/>
  <c r="R25" i="20"/>
  <c r="R25" i="22" s="1"/>
  <c r="D94" i="17"/>
  <c r="D62" i="17"/>
  <c r="D21" i="17"/>
  <c r="D61" i="17"/>
  <c r="F61" i="17" s="1"/>
  <c r="D11" i="17"/>
  <c r="D15" i="17"/>
  <c r="R95" i="20"/>
  <c r="R95" i="22" s="1"/>
  <c r="H101" i="20"/>
  <c r="G101" i="21" s="1"/>
  <c r="D88" i="17"/>
  <c r="D40" i="17"/>
  <c r="S20" i="21"/>
  <c r="C26" i="20"/>
  <c r="C26" i="22" s="1"/>
  <c r="C17" i="20"/>
  <c r="B17" i="21" s="1"/>
  <c r="C20" i="20"/>
  <c r="C20" i="22" s="1"/>
  <c r="C19" i="20"/>
  <c r="B19" i="21" s="1"/>
  <c r="C47" i="20"/>
  <c r="B47" i="21" s="1"/>
  <c r="C43" i="20"/>
  <c r="B43" i="21" s="1"/>
  <c r="C69" i="20"/>
  <c r="C69" i="22" s="1"/>
  <c r="C79" i="20"/>
  <c r="C79" i="22" s="1"/>
  <c r="C46" i="20"/>
  <c r="B46" i="21" s="1"/>
  <c r="C48" i="20"/>
  <c r="C48" i="22" s="1"/>
  <c r="C59" i="20"/>
  <c r="C59" i="22" s="1"/>
  <c r="C44" i="20"/>
  <c r="C44" i="22" s="1"/>
  <c r="C77" i="20"/>
  <c r="C77" i="22" s="1"/>
  <c r="C45" i="20"/>
  <c r="C45" i="22" s="1"/>
  <c r="C40" i="20"/>
  <c r="B40" i="21" s="1"/>
  <c r="C56" i="20"/>
  <c r="C56" i="22" s="1"/>
  <c r="C87" i="20"/>
  <c r="B87" i="21" s="1"/>
  <c r="C101" i="20"/>
  <c r="C101" i="22" s="1"/>
  <c r="S6" i="22"/>
  <c r="S6" i="21"/>
  <c r="C25" i="20"/>
  <c r="C25" i="22" s="1"/>
  <c r="C70" i="20"/>
  <c r="B70" i="21" s="1"/>
  <c r="C64" i="20"/>
  <c r="C64" i="22" s="1"/>
  <c r="C76" i="20"/>
  <c r="B76" i="21" s="1"/>
  <c r="C32" i="20"/>
  <c r="B32" i="21" s="1"/>
  <c r="C91" i="20"/>
  <c r="C91" i="22" s="1"/>
  <c r="C85" i="20"/>
  <c r="C85" i="22" s="1"/>
  <c r="C42" i="20"/>
  <c r="B42" i="21" s="1"/>
  <c r="C82" i="20"/>
  <c r="C82" i="22" s="1"/>
  <c r="C65" i="20"/>
  <c r="C65" i="22" s="1"/>
  <c r="C35" i="20"/>
  <c r="C35" i="22" s="1"/>
  <c r="C50" i="20"/>
  <c r="B50" i="21" s="1"/>
  <c r="V14" i="1"/>
  <c r="C16" i="20"/>
  <c r="B16" i="21" s="1"/>
  <c r="C94" i="20"/>
  <c r="C94" i="22" s="1"/>
  <c r="C72" i="20"/>
  <c r="C72" i="22" s="1"/>
  <c r="C52" i="20"/>
  <c r="B52" i="21" s="1"/>
  <c r="C71" i="20"/>
  <c r="C71" i="22" s="1"/>
  <c r="C74" i="20"/>
  <c r="C74" i="22" s="1"/>
  <c r="C29" i="20"/>
  <c r="C29" i="22" s="1"/>
  <c r="C49" i="20"/>
  <c r="B49" i="21" s="1"/>
  <c r="C84" i="20"/>
  <c r="C84" i="22" s="1"/>
  <c r="C55" i="20"/>
  <c r="B55" i="21" s="1"/>
  <c r="C53" i="20"/>
  <c r="C53" i="22" s="1"/>
  <c r="C62" i="20"/>
  <c r="C62" i="22" s="1"/>
  <c r="C37" i="20"/>
  <c r="B37" i="21" s="1"/>
  <c r="C67" i="20"/>
  <c r="C67" i="22" s="1"/>
  <c r="C14" i="20"/>
  <c r="B14" i="21" s="1"/>
  <c r="H84" i="20"/>
  <c r="G84" i="21" s="1"/>
  <c r="H55" i="20"/>
  <c r="G55" i="21" s="1"/>
  <c r="C22" i="20"/>
  <c r="C22" i="22" s="1"/>
  <c r="C13" i="20"/>
  <c r="B13" i="21" s="1"/>
  <c r="C12" i="20"/>
  <c r="C12" i="22" s="1"/>
  <c r="C11" i="20"/>
  <c r="B11" i="21" s="1"/>
  <c r="C86" i="20"/>
  <c r="C86" i="22" s="1"/>
  <c r="C93" i="20"/>
  <c r="B93" i="21" s="1"/>
  <c r="C98" i="20"/>
  <c r="C98" i="22" s="1"/>
  <c r="C97" i="20"/>
  <c r="C97" i="22" s="1"/>
  <c r="C41" i="20"/>
  <c r="C41" i="22" s="1"/>
  <c r="C38" i="20"/>
  <c r="B38" i="21" s="1"/>
  <c r="C78" i="20"/>
  <c r="B78" i="21" s="1"/>
  <c r="C92" i="20"/>
  <c r="B92" i="21" s="1"/>
  <c r="C75" i="20"/>
  <c r="C75" i="22" s="1"/>
  <c r="C54" i="20"/>
  <c r="C54" i="22" s="1"/>
  <c r="C81" i="20"/>
  <c r="C81" i="22" s="1"/>
  <c r="C21" i="20"/>
  <c r="B21" i="21" s="1"/>
  <c r="C23" i="20"/>
  <c r="C23" i="22" s="1"/>
  <c r="C31" i="20"/>
  <c r="C31" i="22" s="1"/>
  <c r="C18" i="20"/>
  <c r="C18" i="22" s="1"/>
  <c r="C10" i="20"/>
  <c r="C10" i="22" s="1"/>
  <c r="C24" i="20"/>
  <c r="C24" i="22" s="1"/>
  <c r="C27" i="20"/>
  <c r="C27" i="22" s="1"/>
  <c r="C15" i="20"/>
  <c r="C15" i="22" s="1"/>
  <c r="C88" i="20"/>
  <c r="C88" i="22" s="1"/>
  <c r="C39" i="20"/>
  <c r="C39" i="22" s="1"/>
  <c r="C33" i="20"/>
  <c r="C33" i="22" s="1"/>
  <c r="C57" i="20"/>
  <c r="C57" i="22" s="1"/>
  <c r="C36" i="20"/>
  <c r="C36" i="22" s="1"/>
  <c r="C95" i="20"/>
  <c r="B95" i="21" s="1"/>
  <c r="C30" i="20"/>
  <c r="C30" i="22" s="1"/>
  <c r="C51" i="20"/>
  <c r="C51" i="22" s="1"/>
  <c r="C83" i="20"/>
  <c r="C83" i="22" s="1"/>
  <c r="C80" i="20"/>
  <c r="C80" i="22" s="1"/>
  <c r="C61" i="20"/>
  <c r="C61" i="22" s="1"/>
  <c r="C68" i="20"/>
  <c r="C68" i="22" s="1"/>
  <c r="C60" i="20"/>
  <c r="C60" i="22" s="1"/>
  <c r="C63" i="20"/>
  <c r="C63" i="22" s="1"/>
  <c r="C100" i="20"/>
  <c r="C100" i="22" s="1"/>
  <c r="C34" i="20"/>
  <c r="B34" i="21" s="1"/>
  <c r="C28" i="20"/>
  <c r="C28" i="22" s="1"/>
  <c r="C89" i="20"/>
  <c r="B89" i="21" s="1"/>
  <c r="C96" i="20"/>
  <c r="B96" i="21" s="1"/>
  <c r="C73" i="20"/>
  <c r="C73" i="22" s="1"/>
  <c r="C58" i="20"/>
  <c r="C58" i="22" s="1"/>
  <c r="C66" i="20"/>
  <c r="B66" i="21" s="1"/>
  <c r="C90" i="20"/>
  <c r="C90" i="22" s="1"/>
  <c r="C99" i="20"/>
  <c r="C99" i="22" s="1"/>
  <c r="D100" i="17"/>
  <c r="D26" i="17"/>
  <c r="D104" i="17"/>
  <c r="D66" i="17"/>
  <c r="F66" i="17" s="1"/>
  <c r="D49" i="17"/>
  <c r="D55" i="17"/>
  <c r="D77" i="17"/>
  <c r="D80" i="17"/>
  <c r="D99" i="17"/>
  <c r="D46" i="17"/>
  <c r="F46" i="17" s="1"/>
  <c r="D83" i="17"/>
  <c r="V38" i="20"/>
  <c r="U38" i="21" s="1"/>
  <c r="V62" i="20"/>
  <c r="V62" i="22" s="1"/>
  <c r="D19" i="17"/>
  <c r="D30" i="17"/>
  <c r="D96" i="17"/>
  <c r="D51" i="17"/>
  <c r="F51" i="17" s="1"/>
  <c r="D39" i="17"/>
  <c r="D45" i="17"/>
  <c r="D67" i="17"/>
  <c r="D70" i="17"/>
  <c r="D90" i="17"/>
  <c r="D43" i="17"/>
  <c r="D53" i="17"/>
  <c r="AT25" i="1"/>
  <c r="AU25" i="1" s="1"/>
  <c r="AT18" i="1"/>
  <c r="AU18" i="1" s="1"/>
  <c r="E35" i="28"/>
  <c r="B30" i="19" s="1"/>
  <c r="E34" i="28"/>
  <c r="B29" i="19" s="1"/>
  <c r="E33" i="28"/>
  <c r="B28" i="19" s="1"/>
  <c r="D12" i="15"/>
  <c r="D93" i="17"/>
  <c r="D14" i="17"/>
  <c r="D25" i="17"/>
  <c r="D58" i="17"/>
  <c r="D79" i="17"/>
  <c r="D84" i="17"/>
  <c r="D103" i="17"/>
  <c r="D106" i="17"/>
  <c r="E5" i="17"/>
  <c r="D52" i="17"/>
  <c r="D32" i="17"/>
  <c r="R16" i="1"/>
  <c r="Q16" i="1"/>
  <c r="H30" i="20"/>
  <c r="H30" i="22" s="1"/>
  <c r="H24" i="20"/>
  <c r="H24" i="22" s="1"/>
  <c r="H67" i="20"/>
  <c r="H67" i="22" s="1"/>
  <c r="H81" i="20"/>
  <c r="H81" i="22" s="1"/>
  <c r="H100" i="20"/>
  <c r="H100" i="22" s="1"/>
  <c r="H14" i="20"/>
  <c r="G14" i="21" s="1"/>
  <c r="H96" i="20"/>
  <c r="H96" i="22" s="1"/>
  <c r="H28" i="20"/>
  <c r="G28" i="21" s="1"/>
  <c r="H72" i="20"/>
  <c r="G72" i="21" s="1"/>
  <c r="H44" i="20"/>
  <c r="H44" i="22" s="1"/>
  <c r="H71" i="20"/>
  <c r="H71" i="22" s="1"/>
  <c r="R75" i="20"/>
  <c r="R75" i="22" s="1"/>
  <c r="R23" i="20"/>
  <c r="Q23" i="21" s="1"/>
  <c r="R70" i="20"/>
  <c r="R70" i="22" s="1"/>
  <c r="R78" i="20"/>
  <c r="R78" i="22" s="1"/>
  <c r="R18" i="20"/>
  <c r="Q18" i="21" s="1"/>
  <c r="R16" i="20"/>
  <c r="V13" i="20"/>
  <c r="V21" i="20"/>
  <c r="V15" i="20"/>
  <c r="V47" i="20"/>
  <c r="U47" i="21" s="1"/>
  <c r="R56" i="20"/>
  <c r="Q56" i="21" s="1"/>
  <c r="R47" i="20"/>
  <c r="R47" i="22" s="1"/>
  <c r="V52" i="20"/>
  <c r="U52" i="21" s="1"/>
  <c r="V45" i="20"/>
  <c r="U45" i="21" s="1"/>
  <c r="V35" i="20"/>
  <c r="U35" i="21" s="1"/>
  <c r="V92" i="20"/>
  <c r="U92" i="21" s="1"/>
  <c r="V72" i="20"/>
  <c r="U72" i="21" s="1"/>
  <c r="R59" i="20"/>
  <c r="R59" i="22" s="1"/>
  <c r="R67" i="20"/>
  <c r="R67" i="22" s="1"/>
  <c r="R100" i="20"/>
  <c r="Q100" i="21" s="1"/>
  <c r="T11" i="22"/>
  <c r="R12" i="20"/>
  <c r="Q12" i="21" s="1"/>
  <c r="R11" i="20"/>
  <c r="R11" i="22" s="1"/>
  <c r="R34" i="20"/>
  <c r="R34" i="22" s="1"/>
  <c r="R86" i="20"/>
  <c r="R86" i="22" s="1"/>
  <c r="R20" i="20"/>
  <c r="R20" i="22" s="1"/>
  <c r="AA17" i="1"/>
  <c r="V63" i="20"/>
  <c r="U63" i="21" s="1"/>
  <c r="V22" i="20"/>
  <c r="V22" i="22" s="1"/>
  <c r="V64" i="20"/>
  <c r="V64" i="22" s="1"/>
  <c r="H79" i="20"/>
  <c r="G79" i="21" s="1"/>
  <c r="H42" i="20"/>
  <c r="H42" i="22" s="1"/>
  <c r="H20" i="20"/>
  <c r="G20" i="21" s="1"/>
  <c r="V60" i="20"/>
  <c r="V60" i="22" s="1"/>
  <c r="R62" i="20"/>
  <c r="R62" i="22" s="1"/>
  <c r="R54" i="20"/>
  <c r="R54" i="22" s="1"/>
  <c r="V83" i="20"/>
  <c r="U83" i="21" s="1"/>
  <c r="V40" i="20"/>
  <c r="U40" i="21" s="1"/>
  <c r="V95" i="20"/>
  <c r="U95" i="21" s="1"/>
  <c r="R37" i="20"/>
  <c r="Q37" i="21" s="1"/>
  <c r="S78" i="21"/>
  <c r="R17" i="20"/>
  <c r="R26" i="20"/>
  <c r="AD17" i="1"/>
  <c r="AF17" i="1"/>
  <c r="AG17" i="1" s="1"/>
  <c r="V34" i="20"/>
  <c r="V34" i="22" s="1"/>
  <c r="V86" i="20"/>
  <c r="U86" i="21" s="1"/>
  <c r="R38" i="20"/>
  <c r="Q38" i="21" s="1"/>
  <c r="V88" i="20"/>
  <c r="U88" i="21" s="1"/>
  <c r="V41" i="20"/>
  <c r="V41" i="22" s="1"/>
  <c r="V16" i="1"/>
  <c r="D31" i="19"/>
  <c r="D69" i="19"/>
  <c r="W14" i="1"/>
  <c r="V15" i="1"/>
  <c r="E47" i="19"/>
  <c r="E77" i="19"/>
  <c r="W15" i="1"/>
  <c r="W16" i="1"/>
  <c r="R15" i="1"/>
  <c r="R22" i="1"/>
  <c r="R14" i="1"/>
  <c r="T45" i="22"/>
  <c r="R92" i="21"/>
  <c r="R59" i="21"/>
  <c r="S54" i="22"/>
  <c r="R52" i="21"/>
  <c r="R72" i="21"/>
  <c r="S59" i="21"/>
  <c r="R83" i="21"/>
  <c r="P92" i="21"/>
  <c r="T38" i="22"/>
  <c r="T35" i="22"/>
  <c r="S35" i="21"/>
  <c r="S62" i="22"/>
  <c r="S72" i="21"/>
  <c r="R40" i="21"/>
  <c r="G23" i="23"/>
  <c r="G48" i="23"/>
  <c r="G60" i="23"/>
  <c r="G83" i="23"/>
  <c r="G78" i="23"/>
  <c r="G31" i="23"/>
  <c r="G34" i="23"/>
  <c r="G26" i="23"/>
  <c r="G61" i="23"/>
  <c r="G16" i="23"/>
  <c r="G17" i="23"/>
  <c r="G35" i="23"/>
  <c r="G69" i="23"/>
  <c r="G40" i="23"/>
  <c r="G29" i="23"/>
  <c r="G58" i="23"/>
  <c r="G80" i="23"/>
  <c r="G5" i="23"/>
  <c r="G8" i="23"/>
  <c r="G28" i="23"/>
  <c r="G68" i="23"/>
  <c r="G42" i="23"/>
  <c r="G73" i="23"/>
  <c r="G70" i="23"/>
  <c r="G54" i="23"/>
  <c r="G15" i="23"/>
  <c r="G76" i="23"/>
  <c r="G63" i="23"/>
  <c r="G43" i="23"/>
  <c r="G3" i="23"/>
  <c r="G47" i="23"/>
  <c r="G45" i="23"/>
  <c r="G7" i="23"/>
  <c r="G81" i="23"/>
  <c r="G9" i="23"/>
  <c r="G4" i="23"/>
  <c r="G24" i="23"/>
  <c r="G57" i="23"/>
  <c r="G77" i="23"/>
  <c r="G52" i="23"/>
  <c r="G27" i="23"/>
  <c r="G62" i="23"/>
  <c r="G55" i="23"/>
  <c r="G65" i="23"/>
  <c r="G37" i="23"/>
  <c r="G12" i="23"/>
  <c r="G22" i="23"/>
  <c r="G53" i="23"/>
  <c r="G64" i="23"/>
  <c r="G74" i="23"/>
  <c r="G11" i="23"/>
  <c r="G51" i="23"/>
  <c r="G33" i="23"/>
  <c r="G20" i="23"/>
  <c r="G46" i="23"/>
  <c r="G39" i="23"/>
  <c r="G72" i="23"/>
  <c r="G56" i="23"/>
  <c r="G49" i="23"/>
  <c r="G82" i="23"/>
  <c r="G66" i="23"/>
  <c r="G50" i="23"/>
  <c r="G30" i="23"/>
  <c r="G44" i="23"/>
  <c r="G59" i="23"/>
  <c r="G36" i="23"/>
  <c r="G38" i="23"/>
  <c r="G41" i="23"/>
  <c r="G10" i="23"/>
  <c r="G13" i="23"/>
  <c r="G21" i="23"/>
  <c r="G75" i="23"/>
  <c r="S45" i="22"/>
  <c r="S54" i="21"/>
  <c r="S47" i="21"/>
  <c r="T32" i="22"/>
  <c r="T52" i="21"/>
  <c r="S60" i="21"/>
  <c r="V54" i="20"/>
  <c r="V54" i="22" s="1"/>
  <c r="R35" i="21"/>
  <c r="S60" i="22"/>
  <c r="R47" i="21"/>
  <c r="S53" i="21"/>
  <c r="R49" i="21"/>
  <c r="S32" i="22"/>
  <c r="R41" i="21"/>
  <c r="R67" i="21"/>
  <c r="S62" i="21"/>
  <c r="T62" i="22"/>
  <c r="R78" i="21"/>
  <c r="S78" i="22"/>
  <c r="D55" i="15"/>
  <c r="K55" i="15" s="1"/>
  <c r="T52" i="22"/>
  <c r="R64" i="21"/>
  <c r="R86" i="21"/>
  <c r="S38" i="22"/>
  <c r="T95" i="21"/>
  <c r="H59" i="20"/>
  <c r="H70" i="20"/>
  <c r="H93" i="20"/>
  <c r="G93" i="21" s="1"/>
  <c r="H50" i="20"/>
  <c r="H50" i="22" s="1"/>
  <c r="H97" i="20"/>
  <c r="H97" i="22" s="1"/>
  <c r="H19" i="20"/>
  <c r="H19" i="22" s="1"/>
  <c r="H9" i="20"/>
  <c r="H63" i="20"/>
  <c r="H63" i="22" s="1"/>
  <c r="H38" i="20"/>
  <c r="H88" i="20"/>
  <c r="H86" i="20"/>
  <c r="H95" i="20"/>
  <c r="H95" i="22" s="1"/>
  <c r="H25" i="20"/>
  <c r="G25" i="21" s="1"/>
  <c r="H13" i="20"/>
  <c r="G13" i="21" s="1"/>
  <c r="H82" i="20"/>
  <c r="H82" i="22" s="1"/>
  <c r="H29" i="20"/>
  <c r="H98" i="20"/>
  <c r="H98" i="22" s="1"/>
  <c r="H78" i="20"/>
  <c r="H66" i="20"/>
  <c r="H66" i="22" s="1"/>
  <c r="H48" i="20"/>
  <c r="G48" i="21" s="1"/>
  <c r="H61" i="20"/>
  <c r="G61" i="21" s="1"/>
  <c r="H16" i="20"/>
  <c r="H16" i="22" s="1"/>
  <c r="H40" i="20"/>
  <c r="G40" i="21" s="1"/>
  <c r="H33" i="20"/>
  <c r="H33" i="22" s="1"/>
  <c r="H46" i="20"/>
  <c r="H85" i="20"/>
  <c r="H85" i="22" s="1"/>
  <c r="H69" i="20"/>
  <c r="H54" i="20"/>
  <c r="H54" i="22" s="1"/>
  <c r="H60" i="20"/>
  <c r="H60" i="22" s="1"/>
  <c r="H39" i="20"/>
  <c r="H39" i="22" s="1"/>
  <c r="H58" i="20"/>
  <c r="G58" i="21" s="1"/>
  <c r="H6" i="20"/>
  <c r="H73" i="20"/>
  <c r="H31" i="20"/>
  <c r="H62" i="20"/>
  <c r="H27" i="20"/>
  <c r="H32" i="20"/>
  <c r="H37" i="20"/>
  <c r="H45" i="20"/>
  <c r="H35" i="20"/>
  <c r="H15" i="20"/>
  <c r="H11" i="20"/>
  <c r="H65" i="20"/>
  <c r="H52" i="20"/>
  <c r="H23" i="20"/>
  <c r="H87" i="20"/>
  <c r="H53" i="20"/>
  <c r="H80" i="20"/>
  <c r="H26" i="20"/>
  <c r="H43" i="20"/>
  <c r="H99" i="20"/>
  <c r="G99" i="21" s="1"/>
  <c r="H75" i="20"/>
  <c r="H75" i="22" s="1"/>
  <c r="H90" i="20"/>
  <c r="G90" i="21" s="1"/>
  <c r="H92" i="20"/>
  <c r="H92" i="22" s="1"/>
  <c r="H41" i="20"/>
  <c r="H41" i="22" s="1"/>
  <c r="H56" i="20"/>
  <c r="H89" i="20"/>
  <c r="H47" i="20"/>
  <c r="H8" i="20"/>
  <c r="H68" i="20"/>
  <c r="H34" i="20"/>
  <c r="H7" i="20"/>
  <c r="H77" i="20"/>
  <c r="H51" i="20"/>
  <c r="H10" i="20"/>
  <c r="H12" i="20"/>
  <c r="H76" i="20"/>
  <c r="H91" i="20"/>
  <c r="H57" i="20"/>
  <c r="H18" i="20"/>
  <c r="H74" i="20"/>
  <c r="H22" i="20"/>
  <c r="H36" i="20"/>
  <c r="H94" i="20"/>
  <c r="H94" i="22" s="1"/>
  <c r="H21" i="20"/>
  <c r="H49" i="20"/>
  <c r="H64" i="20"/>
  <c r="H83" i="20"/>
  <c r="D83" i="23"/>
  <c r="R75" i="21"/>
  <c r="T100" i="21"/>
  <c r="D64" i="17"/>
  <c r="D33" i="17"/>
  <c r="F33" i="17" s="1"/>
  <c r="D101" i="17"/>
  <c r="D23" i="17"/>
  <c r="D28" i="17"/>
  <c r="D34" i="17"/>
  <c r="D12" i="17"/>
  <c r="D73" i="17"/>
  <c r="R92" i="20"/>
  <c r="R92" i="22" s="1"/>
  <c r="R83" i="20"/>
  <c r="R83" i="22" s="1"/>
  <c r="T64" i="21"/>
  <c r="T45" i="21"/>
  <c r="R27" i="20"/>
  <c r="R27" i="22" s="1"/>
  <c r="T9" i="21"/>
  <c r="S56" i="21"/>
  <c r="T16" i="21"/>
  <c r="R19" i="20"/>
  <c r="R19" i="22" s="1"/>
  <c r="R56" i="21"/>
  <c r="R53" i="20"/>
  <c r="R53" i="22" s="1"/>
  <c r="R48" i="20"/>
  <c r="R42" i="21"/>
  <c r="T48" i="21"/>
  <c r="T36" i="21"/>
  <c r="S58" i="22"/>
  <c r="R64" i="20"/>
  <c r="R42" i="20"/>
  <c r="Q42" i="21" s="1"/>
  <c r="T59" i="21"/>
  <c r="R63" i="20"/>
  <c r="R63" i="22" s="1"/>
  <c r="T6" i="21"/>
  <c r="R97" i="20"/>
  <c r="Q97" i="21" s="1"/>
  <c r="R8" i="20"/>
  <c r="R8" i="22" s="1"/>
  <c r="R40" i="20"/>
  <c r="R40" i="22" s="1"/>
  <c r="R45" i="20"/>
  <c r="R10" i="20"/>
  <c r="R88" i="20"/>
  <c r="R88" i="22" s="1"/>
  <c r="R28" i="20"/>
  <c r="R28" i="22" s="1"/>
  <c r="D71" i="17"/>
  <c r="F71" i="17" s="1"/>
  <c r="D24" i="17"/>
  <c r="D18" i="17"/>
  <c r="D13" i="17"/>
  <c r="D29" i="17"/>
  <c r="D87" i="17"/>
  <c r="D48" i="17"/>
  <c r="D105" i="17"/>
  <c r="D69" i="17"/>
  <c r="D86" i="17"/>
  <c r="F86" i="17" s="1"/>
  <c r="D75" i="17"/>
  <c r="D36" i="17"/>
  <c r="D95" i="17"/>
  <c r="D57" i="17"/>
  <c r="D98" i="17"/>
  <c r="D60" i="17"/>
  <c r="D56" i="17"/>
  <c r="F56" i="17" s="1"/>
  <c r="D81" i="17"/>
  <c r="D42" i="17"/>
  <c r="D82" i="17"/>
  <c r="D16" i="17"/>
  <c r="D92" i="17"/>
  <c r="R6" i="20"/>
  <c r="R6" i="22" s="1"/>
  <c r="D35" i="17"/>
  <c r="AT22" i="1"/>
  <c r="AU22" i="1" s="1"/>
  <c r="R13" i="20"/>
  <c r="AT23" i="1"/>
  <c r="AU23" i="1" s="1"/>
  <c r="T25" i="21"/>
  <c r="R91" i="20"/>
  <c r="R91" i="22" s="1"/>
  <c r="R36" i="20"/>
  <c r="R36" i="22" s="1"/>
  <c r="R44" i="20"/>
  <c r="Q44" i="21" s="1"/>
  <c r="R58" i="20"/>
  <c r="R58" i="22" s="1"/>
  <c r="R80" i="20"/>
  <c r="R80" i="22" s="1"/>
  <c r="R29" i="20"/>
  <c r="Q29" i="21" s="1"/>
  <c r="R49" i="20"/>
  <c r="Q49" i="21" s="1"/>
  <c r="R41" i="20"/>
  <c r="Q41" i="21" s="1"/>
  <c r="R46" i="20"/>
  <c r="R32" i="20"/>
  <c r="R15" i="20"/>
  <c r="R21" i="20"/>
  <c r="R52" i="20"/>
  <c r="D63" i="17"/>
  <c r="D22" i="17"/>
  <c r="D17" i="17"/>
  <c r="D91" i="17"/>
  <c r="F91" i="17" s="1"/>
  <c r="D78" i="17"/>
  <c r="D38" i="17"/>
  <c r="D97" i="17"/>
  <c r="D59" i="17"/>
  <c r="D102" i="17"/>
  <c r="D65" i="17"/>
  <c r="D76" i="17"/>
  <c r="F76" i="17" s="1"/>
  <c r="D85" i="17"/>
  <c r="D47" i="17"/>
  <c r="D89" i="17"/>
  <c r="D50" i="17"/>
  <c r="D41" i="17"/>
  <c r="F41" i="17" s="1"/>
  <c r="D72" i="17"/>
  <c r="D10" i="17"/>
  <c r="D74" i="17"/>
  <c r="D27" i="17"/>
  <c r="R72" i="20"/>
  <c r="R72" i="22" s="1"/>
  <c r="D44" i="17"/>
  <c r="D31" i="17"/>
  <c r="R35" i="20"/>
  <c r="R35" i="22" s="1"/>
  <c r="AT17" i="1"/>
  <c r="AU17" i="1" s="1"/>
  <c r="R60" i="20"/>
  <c r="R22" i="20"/>
  <c r="R22" i="22" s="1"/>
  <c r="V9" i="20"/>
  <c r="V49" i="20"/>
  <c r="V10" i="20"/>
  <c r="V59" i="20"/>
  <c r="V20" i="20"/>
  <c r="V28" i="20"/>
  <c r="V6" i="20"/>
  <c r="T42" i="22"/>
  <c r="T22" i="21"/>
  <c r="AC17" i="1"/>
  <c r="F4" i="21"/>
  <c r="F5" i="21" s="1"/>
  <c r="N21" i="1"/>
  <c r="AT21" i="1"/>
  <c r="AU21" i="1" s="1"/>
  <c r="S63" i="22"/>
  <c r="R63" i="21"/>
  <c r="M21" i="1"/>
  <c r="AE21" i="1"/>
  <c r="T62" i="21"/>
  <c r="T10" i="21"/>
  <c r="T40" i="21"/>
  <c r="C17" i="23"/>
  <c r="C79" i="23"/>
  <c r="C85" i="23"/>
  <c r="C84" i="23"/>
  <c r="C87" i="23"/>
  <c r="C86" i="23"/>
  <c r="D4" i="21"/>
  <c r="D5" i="21" s="1"/>
  <c r="E4" i="21"/>
  <c r="E5" i="21" s="1"/>
  <c r="C4" i="21"/>
  <c r="C5" i="21" s="1"/>
  <c r="N4" i="21"/>
  <c r="N5" i="21" s="1"/>
  <c r="H4" i="21"/>
  <c r="H5" i="21" s="1"/>
  <c r="J11" i="20"/>
  <c r="I4" i="21"/>
  <c r="I5" i="21" s="1"/>
  <c r="J4" i="21"/>
  <c r="J5" i="21" s="1"/>
  <c r="K4" i="21"/>
  <c r="K5" i="21" s="1"/>
  <c r="T63" i="22"/>
  <c r="S63" i="21"/>
  <c r="T41" i="22"/>
  <c r="S41" i="21"/>
  <c r="T64" i="22"/>
  <c r="S64" i="21"/>
  <c r="T78" i="21"/>
  <c r="T34" i="22"/>
  <c r="S34" i="21"/>
  <c r="R88" i="21"/>
  <c r="T49" i="22"/>
  <c r="S49" i="21"/>
  <c r="R48" i="21"/>
  <c r="S48" i="22"/>
  <c r="T48" i="22"/>
  <c r="T44" i="22"/>
  <c r="S44" i="21"/>
  <c r="S12" i="21"/>
  <c r="M4" i="21"/>
  <c r="M5" i="21" s="1"/>
  <c r="S11" i="22"/>
  <c r="R11" i="21"/>
  <c r="S46" i="22"/>
  <c r="R46" i="21"/>
  <c r="R19" i="21"/>
  <c r="S19" i="22"/>
  <c r="U44" i="22"/>
  <c r="T44" i="21"/>
  <c r="V58" i="22"/>
  <c r="U58" i="21"/>
  <c r="S53" i="22"/>
  <c r="R53" i="21"/>
  <c r="R70" i="21"/>
  <c r="S8" i="22"/>
  <c r="R8" i="21"/>
  <c r="R44" i="21"/>
  <c r="S44" i="22"/>
  <c r="S36" i="22"/>
  <c r="R36" i="21"/>
  <c r="R80" i="21"/>
  <c r="T19" i="22"/>
  <c r="S19" i="21"/>
  <c r="U11" i="22"/>
  <c r="T11" i="21"/>
  <c r="S23" i="22"/>
  <c r="R23" i="21"/>
  <c r="T29" i="22"/>
  <c r="S29" i="21"/>
  <c r="T70" i="21"/>
  <c r="R91" i="21"/>
  <c r="S46" i="21"/>
  <c r="T46" i="22"/>
  <c r="T58" i="22"/>
  <c r="S58" i="21"/>
  <c r="S23" i="21"/>
  <c r="T23" i="22"/>
  <c r="S80" i="21"/>
  <c r="S29" i="22"/>
  <c r="R29" i="21"/>
  <c r="S70" i="21"/>
  <c r="T8" i="21"/>
  <c r="U8" i="22"/>
  <c r="T8" i="22"/>
  <c r="S8" i="21"/>
  <c r="R37" i="21"/>
  <c r="T37" i="22"/>
  <c r="S37" i="21"/>
  <c r="S27" i="22"/>
  <c r="R27" i="21"/>
  <c r="S27" i="21"/>
  <c r="T27" i="22"/>
  <c r="L57" i="23"/>
  <c r="L72" i="23"/>
  <c r="L50" i="23"/>
  <c r="S75" i="21"/>
  <c r="L34" i="23"/>
  <c r="O4" i="21"/>
  <c r="O5" i="21" s="1"/>
  <c r="D17" i="12"/>
  <c r="K17" i="12" s="1"/>
  <c r="D11" i="12"/>
  <c r="K11" i="12" s="1"/>
  <c r="U58" i="22" l="1"/>
  <c r="P37" i="21"/>
  <c r="P40" i="21"/>
  <c r="Q97" i="22"/>
  <c r="T60" i="21"/>
  <c r="Q29" i="22"/>
  <c r="D11" i="11"/>
  <c r="D11" i="10"/>
  <c r="K6" i="19"/>
  <c r="E45" i="6"/>
  <c r="E47" i="6"/>
  <c r="E70" i="6"/>
  <c r="E60" i="6"/>
  <c r="E72" i="6"/>
  <c r="E68" i="6"/>
  <c r="E42" i="6"/>
  <c r="E67" i="6"/>
  <c r="E37" i="6"/>
  <c r="E92" i="6"/>
  <c r="E55" i="6"/>
  <c r="E77" i="6"/>
  <c r="E51" i="6"/>
  <c r="E63" i="6"/>
  <c r="E62" i="6"/>
  <c r="E36" i="6"/>
  <c r="E101" i="6"/>
  <c r="E46" i="6"/>
  <c r="E20" i="6"/>
  <c r="E26" i="6"/>
  <c r="E28" i="6"/>
  <c r="E29" i="6"/>
  <c r="E59" i="6"/>
  <c r="E35" i="6"/>
  <c r="E38" i="6"/>
  <c r="E56" i="6"/>
  <c r="E40" i="6"/>
  <c r="E15" i="6"/>
  <c r="E71" i="6"/>
  <c r="E69" i="6"/>
  <c r="E50" i="6"/>
  <c r="E27" i="6"/>
  <c r="E34" i="6"/>
  <c r="E22" i="6"/>
  <c r="E44" i="6"/>
  <c r="E52" i="6"/>
  <c r="E43" i="6"/>
  <c r="E19" i="6"/>
  <c r="E76" i="6"/>
  <c r="E102" i="6"/>
  <c r="E106" i="6"/>
  <c r="E74" i="6"/>
  <c r="E10" i="6"/>
  <c r="D10" i="6" s="1"/>
  <c r="E39" i="6"/>
  <c r="E31" i="6"/>
  <c r="E16" i="6"/>
  <c r="E84" i="6"/>
  <c r="E90" i="6"/>
  <c r="E18" i="6"/>
  <c r="E103" i="6"/>
  <c r="E73" i="6"/>
  <c r="E104" i="6"/>
  <c r="E53" i="6"/>
  <c r="E25" i="6"/>
  <c r="E95" i="6"/>
  <c r="E21" i="6"/>
  <c r="E93" i="6"/>
  <c r="E97" i="6"/>
  <c r="E100" i="6"/>
  <c r="E11" i="6"/>
  <c r="E86" i="6"/>
  <c r="E64" i="6"/>
  <c r="E99" i="6"/>
  <c r="E87" i="6"/>
  <c r="E49" i="6"/>
  <c r="E9" i="6"/>
  <c r="E65" i="6"/>
  <c r="E75" i="6"/>
  <c r="E54" i="6"/>
  <c r="E33" i="6"/>
  <c r="E83" i="6"/>
  <c r="E81" i="6"/>
  <c r="E105" i="6"/>
  <c r="E78" i="6"/>
  <c r="E66" i="6"/>
  <c r="E80" i="6"/>
  <c r="E89" i="6"/>
  <c r="E79" i="6"/>
  <c r="E85" i="6"/>
  <c r="E91" i="6"/>
  <c r="E32" i="6"/>
  <c r="E30" i="6"/>
  <c r="E96" i="6"/>
  <c r="E57" i="6"/>
  <c r="E61" i="6"/>
  <c r="E13" i="6"/>
  <c r="E82" i="6"/>
  <c r="E98" i="6"/>
  <c r="E12" i="6"/>
  <c r="E17" i="6"/>
  <c r="E41" i="6"/>
  <c r="E23" i="6"/>
  <c r="E24" i="6"/>
  <c r="E14" i="6"/>
  <c r="E94" i="6"/>
  <c r="E48" i="6"/>
  <c r="E58" i="6"/>
  <c r="E88" i="6"/>
  <c r="E9" i="10"/>
  <c r="E25" i="10"/>
  <c r="E27" i="10"/>
  <c r="E13" i="10"/>
  <c r="E16" i="10"/>
  <c r="E26" i="10"/>
  <c r="E23" i="10"/>
  <c r="E30" i="10"/>
  <c r="E20" i="10"/>
  <c r="E10" i="10"/>
  <c r="E18" i="10"/>
  <c r="E31" i="10"/>
  <c r="E32" i="10"/>
  <c r="E21" i="10"/>
  <c r="E28" i="10"/>
  <c r="E33" i="10"/>
  <c r="E24" i="10"/>
  <c r="E12" i="10"/>
  <c r="E14" i="10"/>
  <c r="E22" i="10"/>
  <c r="E19" i="10"/>
  <c r="E29" i="10"/>
  <c r="E15" i="10"/>
  <c r="D19" i="14"/>
  <c r="K11" i="23" s="1"/>
  <c r="P72" i="21"/>
  <c r="Q38" i="22"/>
  <c r="P60" i="21"/>
  <c r="T42" i="21"/>
  <c r="T35" i="21"/>
  <c r="P75" i="21"/>
  <c r="P59" i="21"/>
  <c r="P48" i="21"/>
  <c r="V46" i="22"/>
  <c r="P86" i="21"/>
  <c r="Q52" i="22"/>
  <c r="P88" i="21"/>
  <c r="P36" i="21"/>
  <c r="Q44" i="22"/>
  <c r="U63" i="22"/>
  <c r="U75" i="22"/>
  <c r="P78" i="21"/>
  <c r="P41" i="21"/>
  <c r="P64" i="21"/>
  <c r="P35" i="21"/>
  <c r="Q58" i="22"/>
  <c r="P63" i="21"/>
  <c r="Q13" i="22"/>
  <c r="P23" i="21"/>
  <c r="V17" i="22"/>
  <c r="T20" i="21"/>
  <c r="P10" i="21"/>
  <c r="T28" i="21"/>
  <c r="T18" i="21"/>
  <c r="V11" i="22"/>
  <c r="T12" i="21"/>
  <c r="T13" i="21"/>
  <c r="P19" i="21"/>
  <c r="T26" i="21"/>
  <c r="Q25" i="22"/>
  <c r="T17" i="21"/>
  <c r="T19" i="21"/>
  <c r="Q17" i="22"/>
  <c r="P15" i="21"/>
  <c r="U34" i="22"/>
  <c r="P12" i="21"/>
  <c r="T29" i="21"/>
  <c r="P49" i="21"/>
  <c r="U48" i="21"/>
  <c r="U37" i="22"/>
  <c r="P83" i="21"/>
  <c r="P42" i="21"/>
  <c r="P67" i="21"/>
  <c r="N7" i="19"/>
  <c r="N7" i="20" s="1"/>
  <c r="D12" i="13"/>
  <c r="T38" i="21"/>
  <c r="H70" i="15"/>
  <c r="L62" i="23"/>
  <c r="Q62" i="22"/>
  <c r="H29" i="15"/>
  <c r="L21" i="23"/>
  <c r="H76" i="15"/>
  <c r="L68" i="23"/>
  <c r="H87" i="15"/>
  <c r="L79" i="23"/>
  <c r="H90" i="15"/>
  <c r="L82" i="23"/>
  <c r="H82" i="15"/>
  <c r="L74" i="23"/>
  <c r="O24" i="19"/>
  <c r="O24" i="20" s="1"/>
  <c r="D29" i="14"/>
  <c r="F29" i="14" s="1"/>
  <c r="K21" i="23" s="1"/>
  <c r="H81" i="15"/>
  <c r="L73" i="23"/>
  <c r="H84" i="15"/>
  <c r="L76" i="23"/>
  <c r="H73" i="15"/>
  <c r="L65" i="23"/>
  <c r="T32" i="21"/>
  <c r="T15" i="21"/>
  <c r="H62" i="15"/>
  <c r="L54" i="23"/>
  <c r="P56" i="21"/>
  <c r="H44" i="15"/>
  <c r="L36" i="23"/>
  <c r="H56" i="15"/>
  <c r="L48" i="23"/>
  <c r="H74" i="15"/>
  <c r="L66" i="23"/>
  <c r="P9" i="21"/>
  <c r="H92" i="15"/>
  <c r="L84" i="23"/>
  <c r="H38" i="15"/>
  <c r="L30" i="23"/>
  <c r="H12" i="15"/>
  <c r="L4" i="23"/>
  <c r="H19" i="15"/>
  <c r="L11" i="23"/>
  <c r="H36" i="15"/>
  <c r="L28" i="23"/>
  <c r="H89" i="15"/>
  <c r="L81" i="23"/>
  <c r="T53" i="21"/>
  <c r="H79" i="15"/>
  <c r="L71" i="23"/>
  <c r="H78" i="15"/>
  <c r="L70" i="23"/>
  <c r="H35" i="15"/>
  <c r="L27" i="23"/>
  <c r="H86" i="15"/>
  <c r="H94" i="15"/>
  <c r="L86" i="23"/>
  <c r="M14" i="20"/>
  <c r="L14" i="21" s="1"/>
  <c r="M16" i="20"/>
  <c r="L16" i="21" s="1"/>
  <c r="D11" i="8"/>
  <c r="F11" i="8" s="1"/>
  <c r="L12" i="19"/>
  <c r="L12" i="20" s="1"/>
  <c r="D17" i="11"/>
  <c r="H9" i="23" s="1"/>
  <c r="K12" i="19"/>
  <c r="K12" i="20" s="1"/>
  <c r="D17" i="10"/>
  <c r="J12" i="19"/>
  <c r="J12" i="20" s="1"/>
  <c r="D17" i="9"/>
  <c r="N6" i="19"/>
  <c r="D11" i="13"/>
  <c r="J6" i="19"/>
  <c r="D11" i="9"/>
  <c r="O6" i="19"/>
  <c r="D11" i="14"/>
  <c r="N12" i="19"/>
  <c r="N12" i="20" s="1"/>
  <c r="D17" i="13"/>
  <c r="J9" i="23" s="1"/>
  <c r="O12" i="19"/>
  <c r="O12" i="20" s="1"/>
  <c r="D17" i="14"/>
  <c r="K9" i="23" s="1"/>
  <c r="P32" i="21"/>
  <c r="P91" i="21"/>
  <c r="P47" i="21"/>
  <c r="Q46" i="22"/>
  <c r="Q8" i="22"/>
  <c r="Q6" i="22"/>
  <c r="T21" i="21"/>
  <c r="P80" i="21"/>
  <c r="P16" i="21"/>
  <c r="Q45" i="22"/>
  <c r="P34" i="21"/>
  <c r="Q22" i="22"/>
  <c r="M11" i="20"/>
  <c r="M11" i="22" s="1"/>
  <c r="U41" i="22"/>
  <c r="T67" i="21"/>
  <c r="T47" i="21"/>
  <c r="P95" i="21"/>
  <c r="P54" i="21"/>
  <c r="P28" i="21"/>
  <c r="Q53" i="22"/>
  <c r="U23" i="22"/>
  <c r="T27" i="21"/>
  <c r="P26" i="21"/>
  <c r="T72" i="21"/>
  <c r="P27" i="21"/>
  <c r="T56" i="21"/>
  <c r="Q18" i="22"/>
  <c r="T54" i="21"/>
  <c r="T49" i="21"/>
  <c r="P11" i="21"/>
  <c r="Q20" i="22"/>
  <c r="P21" i="21"/>
  <c r="P70" i="21"/>
  <c r="T46" i="21"/>
  <c r="D28" i="19"/>
  <c r="D28" i="20" s="1"/>
  <c r="E28" i="19"/>
  <c r="E28" i="20" s="1"/>
  <c r="M15" i="20"/>
  <c r="M15" i="22" s="1"/>
  <c r="M7" i="20"/>
  <c r="M7" i="22" s="1"/>
  <c r="M24" i="20"/>
  <c r="L24" i="21" s="1"/>
  <c r="M10" i="20"/>
  <c r="M10" i="22" s="1"/>
  <c r="M23" i="20"/>
  <c r="M23" i="22" s="1"/>
  <c r="M19" i="20"/>
  <c r="M19" i="22" s="1"/>
  <c r="M25" i="20"/>
  <c r="M25" i="22" s="1"/>
  <c r="M20" i="20"/>
  <c r="M20" i="22" s="1"/>
  <c r="M18" i="22"/>
  <c r="M28" i="20"/>
  <c r="L28" i="21" s="1"/>
  <c r="M13" i="20"/>
  <c r="M13" i="22" s="1"/>
  <c r="M17" i="20"/>
  <c r="M17" i="22" s="1"/>
  <c r="M9" i="20"/>
  <c r="L9" i="21" s="1"/>
  <c r="M22" i="20"/>
  <c r="M22" i="22" s="1"/>
  <c r="M6" i="20"/>
  <c r="L6" i="21" s="1"/>
  <c r="M8" i="20"/>
  <c r="L8" i="21" s="1"/>
  <c r="M21" i="20"/>
  <c r="M21" i="22" s="1"/>
  <c r="M12" i="20"/>
  <c r="M12" i="22" s="1"/>
  <c r="M27" i="20"/>
  <c r="M27" i="22" s="1"/>
  <c r="M26" i="20"/>
  <c r="M26" i="22" s="1"/>
  <c r="E29" i="19"/>
  <c r="E29" i="20" s="1"/>
  <c r="D30" i="19"/>
  <c r="H98" i="15"/>
  <c r="L87" i="23"/>
  <c r="H95" i="15"/>
  <c r="U32" i="21"/>
  <c r="U7" i="21"/>
  <c r="V7" i="22"/>
  <c r="V44" i="22"/>
  <c r="U6" i="21"/>
  <c r="V6" i="22"/>
  <c r="D33" i="28"/>
  <c r="B28" i="20"/>
  <c r="B28" i="22" s="1"/>
  <c r="D34" i="28"/>
  <c r="B29" i="20"/>
  <c r="B29" i="22" s="1"/>
  <c r="D35" i="28"/>
  <c r="B30" i="20"/>
  <c r="B30" i="22" s="1"/>
  <c r="V19" i="22"/>
  <c r="U53" i="21"/>
  <c r="U42" i="21"/>
  <c r="V36" i="22"/>
  <c r="Q20" i="21"/>
  <c r="U23" i="21"/>
  <c r="V56" i="22"/>
  <c r="L47" i="23"/>
  <c r="H55" i="15"/>
  <c r="L58" i="23"/>
  <c r="H66" i="15"/>
  <c r="L63" i="23"/>
  <c r="H71" i="15"/>
  <c r="L52" i="23"/>
  <c r="H60" i="15"/>
  <c r="V37" i="22"/>
  <c r="L40" i="23"/>
  <c r="H48" i="15"/>
  <c r="U12" i="21"/>
  <c r="U8" i="21"/>
  <c r="V26" i="22"/>
  <c r="H11" i="12"/>
  <c r="I9" i="23"/>
  <c r="H17" i="12"/>
  <c r="R7" i="21"/>
  <c r="S7" i="22"/>
  <c r="U27" i="21"/>
  <c r="V16" i="22"/>
  <c r="V70" i="22"/>
  <c r="U29" i="21"/>
  <c r="U67" i="21"/>
  <c r="V18" i="22"/>
  <c r="R9" i="22"/>
  <c r="G17" i="21"/>
  <c r="V25" i="22"/>
  <c r="R23" i="22"/>
  <c r="U7" i="22"/>
  <c r="Q19" i="21"/>
  <c r="Q22" i="21"/>
  <c r="Q8" i="21"/>
  <c r="U41" i="21"/>
  <c r="E30" i="19"/>
  <c r="B8" i="21"/>
  <c r="B6" i="21"/>
  <c r="C32" i="22"/>
  <c r="C87" i="22"/>
  <c r="V35" i="22"/>
  <c r="R56" i="22"/>
  <c r="R37" i="22"/>
  <c r="Q54" i="21"/>
  <c r="Q62" i="21"/>
  <c r="V40" i="22"/>
  <c r="U60" i="21"/>
  <c r="Q67" i="21"/>
  <c r="Q27" i="21"/>
  <c r="Q78" i="21"/>
  <c r="V63" i="22"/>
  <c r="V47" i="22"/>
  <c r="Q75" i="21"/>
  <c r="Q34" i="21"/>
  <c r="H84" i="22"/>
  <c r="H101" i="22"/>
  <c r="Q7" i="22"/>
  <c r="B26" i="21"/>
  <c r="R12" i="22"/>
  <c r="Q25" i="21"/>
  <c r="U64" i="21"/>
  <c r="Q95" i="21"/>
  <c r="V52" i="22"/>
  <c r="U62" i="21"/>
  <c r="B73" i="21"/>
  <c r="B59" i="21"/>
  <c r="B44" i="21"/>
  <c r="E69" i="19"/>
  <c r="C19" i="22"/>
  <c r="H55" i="22"/>
  <c r="B20" i="21"/>
  <c r="C40" i="22"/>
  <c r="B69" i="21"/>
  <c r="B65" i="21"/>
  <c r="B94" i="21"/>
  <c r="C43" i="22"/>
  <c r="C47" i="22"/>
  <c r="B48" i="21"/>
  <c r="B56" i="21"/>
  <c r="B25" i="21"/>
  <c r="B68" i="21"/>
  <c r="C17" i="22"/>
  <c r="B72" i="21"/>
  <c r="B36" i="21"/>
  <c r="B75" i="21"/>
  <c r="B101" i="21"/>
  <c r="B29" i="21"/>
  <c r="B58" i="21"/>
  <c r="B88" i="21"/>
  <c r="B74" i="21"/>
  <c r="B45" i="21"/>
  <c r="B53" i="21"/>
  <c r="C14" i="22"/>
  <c r="B82" i="21"/>
  <c r="B77" i="21"/>
  <c r="B79" i="21"/>
  <c r="C46" i="22"/>
  <c r="B67" i="21"/>
  <c r="C70" i="22"/>
  <c r="B41" i="21"/>
  <c r="C55" i="22"/>
  <c r="B28" i="21"/>
  <c r="B91" i="21"/>
  <c r="B57" i="21"/>
  <c r="C38" i="22"/>
  <c r="E58" i="19"/>
  <c r="E76" i="19"/>
  <c r="B22" i="21"/>
  <c r="C11" i="22"/>
  <c r="E78" i="19"/>
  <c r="C95" i="22"/>
  <c r="B9" i="21"/>
  <c r="B64" i="21"/>
  <c r="B35" i="21"/>
  <c r="E51" i="19"/>
  <c r="E81" i="19"/>
  <c r="B71" i="21"/>
  <c r="E86" i="19"/>
  <c r="E79" i="19"/>
  <c r="B33" i="21"/>
  <c r="D36" i="19"/>
  <c r="B24" i="21"/>
  <c r="C66" i="22"/>
  <c r="E64" i="19"/>
  <c r="C13" i="22"/>
  <c r="C76" i="22"/>
  <c r="B62" i="21"/>
  <c r="B54" i="21"/>
  <c r="D48" i="19"/>
  <c r="B98" i="21"/>
  <c r="C50" i="22"/>
  <c r="B30" i="21"/>
  <c r="C52" i="22"/>
  <c r="B27" i="21"/>
  <c r="C49" i="22"/>
  <c r="B85" i="21"/>
  <c r="C16" i="22"/>
  <c r="B84" i="21"/>
  <c r="C42" i="22"/>
  <c r="C37" i="22"/>
  <c r="D42" i="19"/>
  <c r="B81" i="21"/>
  <c r="F96" i="19"/>
  <c r="H72" i="22"/>
  <c r="G24" i="21"/>
  <c r="B61" i="21"/>
  <c r="B39" i="21"/>
  <c r="B80" i="21"/>
  <c r="B63" i="21"/>
  <c r="C89" i="22"/>
  <c r="C96" i="22"/>
  <c r="C7" i="22"/>
  <c r="B12" i="21"/>
  <c r="B90" i="21"/>
  <c r="C78" i="22"/>
  <c r="C93" i="22"/>
  <c r="B31" i="21"/>
  <c r="B100" i="21"/>
  <c r="B23" i="21"/>
  <c r="C21" i="22"/>
  <c r="B18" i="21"/>
  <c r="C92" i="22"/>
  <c r="C34" i="22"/>
  <c r="B83" i="21"/>
  <c r="B10" i="21"/>
  <c r="B99" i="21"/>
  <c r="B86" i="21"/>
  <c r="B97" i="21"/>
  <c r="B60" i="21"/>
  <c r="B15" i="21"/>
  <c r="B51" i="21"/>
  <c r="D73" i="19"/>
  <c r="D46" i="19"/>
  <c r="D45" i="19"/>
  <c r="D32" i="19"/>
  <c r="D38" i="19"/>
  <c r="D44" i="19"/>
  <c r="D40" i="19"/>
  <c r="D49" i="19"/>
  <c r="D41" i="19"/>
  <c r="D34" i="19"/>
  <c r="E68" i="19"/>
  <c r="E96" i="19"/>
  <c r="E90" i="19"/>
  <c r="E101" i="19"/>
  <c r="D37" i="19"/>
  <c r="D47" i="19"/>
  <c r="D35" i="19"/>
  <c r="D33" i="3"/>
  <c r="V38" i="22"/>
  <c r="R38" i="22"/>
  <c r="D74" i="19"/>
  <c r="D72" i="19"/>
  <c r="Q47" i="21"/>
  <c r="R18" i="22"/>
  <c r="G100" i="21"/>
  <c r="G30" i="21"/>
  <c r="D63" i="19"/>
  <c r="D93" i="19"/>
  <c r="Q86" i="21"/>
  <c r="U22" i="21"/>
  <c r="U54" i="21"/>
  <c r="D50" i="19"/>
  <c r="D30" i="20"/>
  <c r="D35" i="3"/>
  <c r="H79" i="22"/>
  <c r="E100" i="19"/>
  <c r="E75" i="19"/>
  <c r="E94" i="19"/>
  <c r="E72" i="19"/>
  <c r="E99" i="19"/>
  <c r="E91" i="19"/>
  <c r="E89" i="19"/>
  <c r="E66" i="19"/>
  <c r="E98" i="19"/>
  <c r="E65" i="19"/>
  <c r="E71" i="19"/>
  <c r="E93" i="19"/>
  <c r="E61" i="19"/>
  <c r="E84" i="19"/>
  <c r="E52" i="19"/>
  <c r="E54" i="19"/>
  <c r="E73" i="19"/>
  <c r="E80" i="19"/>
  <c r="E83" i="19"/>
  <c r="E59" i="19"/>
  <c r="E57" i="19"/>
  <c r="E74" i="19"/>
  <c r="E95" i="19"/>
  <c r="E63" i="19"/>
  <c r="E85" i="19"/>
  <c r="E53" i="19"/>
  <c r="G3" i="28"/>
  <c r="E36" i="28" s="1"/>
  <c r="B31" i="19" s="1"/>
  <c r="B31" i="20" s="1"/>
  <c r="B31" i="22" s="1"/>
  <c r="G2" i="28"/>
  <c r="E92" i="19"/>
  <c r="E60" i="19"/>
  <c r="E70" i="19"/>
  <c r="E56" i="19"/>
  <c r="E88" i="19"/>
  <c r="E67" i="19"/>
  <c r="E62" i="19"/>
  <c r="E50" i="19"/>
  <c r="E82" i="19"/>
  <c r="E97" i="19"/>
  <c r="E87" i="19"/>
  <c r="E55" i="19"/>
  <c r="G96" i="21"/>
  <c r="G81" i="21"/>
  <c r="G42" i="21"/>
  <c r="G67" i="21"/>
  <c r="G71" i="21"/>
  <c r="H14" i="22"/>
  <c r="G44" i="21"/>
  <c r="H28" i="22"/>
  <c r="H20" i="22"/>
  <c r="Q16" i="21"/>
  <c r="R16" i="22"/>
  <c r="Q11" i="21"/>
  <c r="Q28" i="21"/>
  <c r="V45" i="22"/>
  <c r="D51" i="19"/>
  <c r="D55" i="19"/>
  <c r="D97" i="19"/>
  <c r="D83" i="19"/>
  <c r="D66" i="19"/>
  <c r="D64" i="19"/>
  <c r="D85" i="19"/>
  <c r="Q17" i="21"/>
  <c r="R17" i="22"/>
  <c r="V15" i="22"/>
  <c r="U15" i="21"/>
  <c r="Q59" i="21"/>
  <c r="D58" i="19"/>
  <c r="D100" i="19"/>
  <c r="D71" i="19"/>
  <c r="D76" i="19"/>
  <c r="D54" i="19"/>
  <c r="D61" i="19"/>
  <c r="D33" i="19"/>
  <c r="V21" i="22"/>
  <c r="U21" i="21"/>
  <c r="R26" i="22"/>
  <c r="Q26" i="21"/>
  <c r="Q70" i="21"/>
  <c r="U34" i="21"/>
  <c r="D57" i="19"/>
  <c r="D68" i="19"/>
  <c r="D94" i="19"/>
  <c r="D60" i="19"/>
  <c r="D96" i="19"/>
  <c r="D70" i="19"/>
  <c r="D53" i="19"/>
  <c r="V13" i="22"/>
  <c r="U13" i="21"/>
  <c r="D89" i="19"/>
  <c r="D90" i="19"/>
  <c r="D91" i="19"/>
  <c r="D59" i="19"/>
  <c r="D81" i="19"/>
  <c r="D84" i="19"/>
  <c r="D78" i="19"/>
  <c r="D79" i="19"/>
  <c r="D82" i="19"/>
  <c r="D88" i="19"/>
  <c r="D56" i="19"/>
  <c r="D86" i="19"/>
  <c r="D77" i="19"/>
  <c r="D87" i="19"/>
  <c r="D67" i="19"/>
  <c r="D62" i="19"/>
  <c r="D75" i="19"/>
  <c r="D65" i="19"/>
  <c r="D52" i="19"/>
  <c r="D92" i="19"/>
  <c r="D95" i="19"/>
  <c r="D98" i="19"/>
  <c r="D80" i="19"/>
  <c r="D99" i="19"/>
  <c r="D101" i="19"/>
  <c r="E47" i="20"/>
  <c r="D52" i="4"/>
  <c r="E38" i="19"/>
  <c r="D33" i="4"/>
  <c r="E40" i="19"/>
  <c r="E33" i="19"/>
  <c r="E34" i="19"/>
  <c r="E39" i="19"/>
  <c r="E46" i="19"/>
  <c r="E36" i="19"/>
  <c r="E48" i="19"/>
  <c r="E42" i="19"/>
  <c r="E31" i="19"/>
  <c r="D43" i="19"/>
  <c r="E43" i="19"/>
  <c r="E45" i="19"/>
  <c r="E49" i="19"/>
  <c r="E44" i="19"/>
  <c r="D31" i="20"/>
  <c r="D36" i="3"/>
  <c r="D34" i="4"/>
  <c r="E35" i="19"/>
  <c r="E32" i="19"/>
  <c r="E41" i="19"/>
  <c r="E37" i="19"/>
  <c r="D39" i="19"/>
  <c r="G39" i="21"/>
  <c r="G50" i="21"/>
  <c r="H90" i="22"/>
  <c r="E77" i="20"/>
  <c r="D82" i="4"/>
  <c r="D69" i="20"/>
  <c r="D74" i="3"/>
  <c r="R21" i="1"/>
  <c r="Q63" i="21"/>
  <c r="R49" i="22"/>
  <c r="Q72" i="21"/>
  <c r="Q36" i="21"/>
  <c r="Q40" i="21"/>
  <c r="R29" i="22"/>
  <c r="Q91" i="21"/>
  <c r="Q53" i="21"/>
  <c r="R42" i="22"/>
  <c r="Q58" i="21"/>
  <c r="Q35" i="21"/>
  <c r="U68" i="21"/>
  <c r="V68" i="22"/>
  <c r="R44" i="22"/>
  <c r="Q80" i="21"/>
  <c r="R41" i="22"/>
  <c r="Q83" i="21"/>
  <c r="U69" i="21"/>
  <c r="V69" i="22"/>
  <c r="Q92" i="21"/>
  <c r="Q6" i="21"/>
  <c r="G19" i="21"/>
  <c r="G16" i="21"/>
  <c r="H13" i="22"/>
  <c r="H25" i="22"/>
  <c r="G98" i="21"/>
  <c r="H58" i="22"/>
  <c r="H61" i="22"/>
  <c r="G92" i="21"/>
  <c r="G97" i="21"/>
  <c r="H93" i="22"/>
  <c r="G66" i="21"/>
  <c r="G85" i="21"/>
  <c r="H40" i="22"/>
  <c r="G54" i="21"/>
  <c r="G41" i="21"/>
  <c r="G82" i="21"/>
  <c r="G60" i="21"/>
  <c r="G75" i="21"/>
  <c r="H99" i="22"/>
  <c r="G57" i="21"/>
  <c r="H57" i="22"/>
  <c r="G89" i="21"/>
  <c r="H89" i="22"/>
  <c r="G87" i="21"/>
  <c r="H87" i="22"/>
  <c r="G95" i="21"/>
  <c r="H48" i="22"/>
  <c r="G22" i="21"/>
  <c r="H22" i="22"/>
  <c r="G91" i="21"/>
  <c r="H91" i="22"/>
  <c r="H51" i="22"/>
  <c r="G51" i="21"/>
  <c r="G68" i="21"/>
  <c r="H68" i="22"/>
  <c r="G56" i="21"/>
  <c r="H56" i="22"/>
  <c r="G26" i="21"/>
  <c r="H26" i="22"/>
  <c r="G23" i="21"/>
  <c r="H23" i="22"/>
  <c r="H15" i="22"/>
  <c r="G15" i="21"/>
  <c r="H32" i="22"/>
  <c r="G32" i="21"/>
  <c r="H73" i="22"/>
  <c r="G73" i="21"/>
  <c r="G69" i="21"/>
  <c r="H69" i="22"/>
  <c r="H86" i="22"/>
  <c r="G86" i="21"/>
  <c r="H9" i="22"/>
  <c r="G9" i="21"/>
  <c r="G36" i="21"/>
  <c r="H36" i="22"/>
  <c r="G34" i="21"/>
  <c r="H34" i="22"/>
  <c r="G43" i="21"/>
  <c r="H43" i="22"/>
  <c r="H37" i="22"/>
  <c r="G37" i="21"/>
  <c r="G94" i="21"/>
  <c r="G74" i="21"/>
  <c r="H74" i="22"/>
  <c r="H76" i="22"/>
  <c r="G76" i="21"/>
  <c r="H77" i="22"/>
  <c r="G77" i="21"/>
  <c r="H8" i="22"/>
  <c r="G8" i="21"/>
  <c r="H80" i="22"/>
  <c r="G80" i="21"/>
  <c r="G52" i="21"/>
  <c r="H52" i="22"/>
  <c r="G35" i="21"/>
  <c r="H35" i="22"/>
  <c r="H27" i="22"/>
  <c r="G27" i="21"/>
  <c r="G6" i="21"/>
  <c r="H6" i="22"/>
  <c r="H78" i="22"/>
  <c r="G78" i="21"/>
  <c r="H88" i="22"/>
  <c r="G88" i="21"/>
  <c r="H70" i="22"/>
  <c r="G70" i="21"/>
  <c r="H10" i="22"/>
  <c r="G10" i="21"/>
  <c r="G11" i="21"/>
  <c r="H11" i="22"/>
  <c r="H31" i="22"/>
  <c r="G31" i="21"/>
  <c r="G29" i="21"/>
  <c r="H29" i="22"/>
  <c r="G33" i="21"/>
  <c r="G63" i="21"/>
  <c r="H18" i="22"/>
  <c r="G18" i="21"/>
  <c r="G12" i="21"/>
  <c r="H12" i="22"/>
  <c r="H7" i="22"/>
  <c r="G7" i="21"/>
  <c r="H47" i="22"/>
  <c r="G47" i="21"/>
  <c r="G53" i="21"/>
  <c r="H53" i="22"/>
  <c r="G65" i="21"/>
  <c r="H65" i="22"/>
  <c r="H45" i="22"/>
  <c r="G45" i="21"/>
  <c r="G62" i="21"/>
  <c r="H62" i="22"/>
  <c r="H46" i="22"/>
  <c r="G46" i="21"/>
  <c r="H38" i="22"/>
  <c r="G38" i="21"/>
  <c r="H59" i="22"/>
  <c r="G59" i="21"/>
  <c r="G83" i="21"/>
  <c r="H83" i="22"/>
  <c r="H64" i="22"/>
  <c r="G64" i="21"/>
  <c r="H21" i="22"/>
  <c r="G21" i="21"/>
  <c r="H49" i="22"/>
  <c r="G49" i="21"/>
  <c r="V20" i="22"/>
  <c r="U20" i="21"/>
  <c r="V9" i="22"/>
  <c r="U9" i="21"/>
  <c r="R60" i="22"/>
  <c r="Q60" i="21"/>
  <c r="R52" i="22"/>
  <c r="Q52" i="21"/>
  <c r="R46" i="22"/>
  <c r="Q46" i="21"/>
  <c r="Q88" i="21"/>
  <c r="R48" i="22"/>
  <c r="Q48" i="21"/>
  <c r="U59" i="21"/>
  <c r="V59" i="22"/>
  <c r="R21" i="22"/>
  <c r="Q21" i="21"/>
  <c r="R10" i="22"/>
  <c r="Q10" i="21"/>
  <c r="V10" i="22"/>
  <c r="U10" i="21"/>
  <c r="R15" i="22"/>
  <c r="Q15" i="21"/>
  <c r="Q13" i="21"/>
  <c r="R13" i="22"/>
  <c r="R45" i="22"/>
  <c r="Q45" i="21"/>
  <c r="R64" i="22"/>
  <c r="Q64" i="21"/>
  <c r="U28" i="21"/>
  <c r="V28" i="22"/>
  <c r="U49" i="21"/>
  <c r="V49" i="22"/>
  <c r="R32" i="22"/>
  <c r="Q32" i="21"/>
  <c r="Q33" i="21"/>
  <c r="J18" i="20"/>
  <c r="I18" i="21" s="1"/>
  <c r="G6" i="20"/>
  <c r="L22" i="20"/>
  <c r="L22" i="22" s="1"/>
  <c r="F12" i="20"/>
  <c r="F8" i="20"/>
  <c r="F10" i="20"/>
  <c r="F10" i="22" s="1"/>
  <c r="F14" i="20"/>
  <c r="F18" i="20"/>
  <c r="F16" i="20"/>
  <c r="F25" i="20"/>
  <c r="F6" i="20"/>
  <c r="F26" i="20"/>
  <c r="F24" i="20"/>
  <c r="F19" i="20"/>
  <c r="F22" i="20"/>
  <c r="F23" i="20"/>
  <c r="F11" i="20"/>
  <c r="F17" i="20"/>
  <c r="F9" i="20"/>
  <c r="F7" i="20"/>
  <c r="F13" i="20"/>
  <c r="F27" i="20"/>
  <c r="F21" i="20"/>
  <c r="F15" i="20"/>
  <c r="F20" i="20"/>
  <c r="E9" i="20"/>
  <c r="E23" i="20"/>
  <c r="E13" i="20"/>
  <c r="E25" i="20"/>
  <c r="E27" i="20"/>
  <c r="E17" i="20"/>
  <c r="E6" i="20"/>
  <c r="E21" i="20"/>
  <c r="E26" i="20"/>
  <c r="E22" i="20"/>
  <c r="E11" i="20"/>
  <c r="E18" i="20"/>
  <c r="E10" i="20"/>
  <c r="E24" i="20"/>
  <c r="E20" i="20"/>
  <c r="E8" i="20"/>
  <c r="E12" i="20"/>
  <c r="E15" i="20"/>
  <c r="E19" i="20"/>
  <c r="E7" i="20"/>
  <c r="E16" i="20"/>
  <c r="E14" i="20"/>
  <c r="D11" i="20"/>
  <c r="D23" i="20"/>
  <c r="D7" i="20"/>
  <c r="D18" i="20"/>
  <c r="D27" i="20"/>
  <c r="D25" i="20"/>
  <c r="D9" i="20"/>
  <c r="D22" i="20"/>
  <c r="D10" i="20"/>
  <c r="D26" i="20"/>
  <c r="D21" i="20"/>
  <c r="D14" i="20"/>
  <c r="D20" i="20"/>
  <c r="D12" i="20"/>
  <c r="D6" i="20"/>
  <c r="D13" i="20"/>
  <c r="D19" i="20"/>
  <c r="D8" i="20"/>
  <c r="D17" i="20"/>
  <c r="D24" i="20"/>
  <c r="D15" i="20"/>
  <c r="D16" i="20"/>
  <c r="O8" i="20"/>
  <c r="O26" i="20"/>
  <c r="O14" i="20"/>
  <c r="O19" i="20"/>
  <c r="O22" i="20"/>
  <c r="O11" i="20"/>
  <c r="O6" i="20"/>
  <c r="O28" i="20"/>
  <c r="O21" i="20"/>
  <c r="O10" i="20"/>
  <c r="O13" i="20"/>
  <c r="O7" i="20"/>
  <c r="O20" i="20"/>
  <c r="O25" i="20"/>
  <c r="O27" i="20"/>
  <c r="O15" i="20"/>
  <c r="O23" i="20"/>
  <c r="O17" i="20"/>
  <c r="O18" i="20"/>
  <c r="O9" i="20"/>
  <c r="O16" i="20"/>
  <c r="I7" i="20"/>
  <c r="I17" i="20"/>
  <c r="I9" i="20"/>
  <c r="I19" i="20"/>
  <c r="I13" i="20"/>
  <c r="I24" i="20"/>
  <c r="I15" i="20"/>
  <c r="I28" i="20"/>
  <c r="I6" i="20"/>
  <c r="I20" i="20"/>
  <c r="I26" i="20"/>
  <c r="I21" i="20"/>
  <c r="I8" i="20"/>
  <c r="I12" i="20"/>
  <c r="I11" i="20"/>
  <c r="I18" i="20"/>
  <c r="I25" i="20"/>
  <c r="I10" i="20"/>
  <c r="I27" i="20"/>
  <c r="I14" i="20"/>
  <c r="I22" i="20"/>
  <c r="I23" i="20"/>
  <c r="I16" i="20"/>
  <c r="I11" i="21"/>
  <c r="J11" i="22"/>
  <c r="J27" i="20"/>
  <c r="J6" i="20"/>
  <c r="J13" i="20"/>
  <c r="J21" i="20"/>
  <c r="J8" i="20"/>
  <c r="J14" i="20"/>
  <c r="J23" i="20"/>
  <c r="J9" i="20"/>
  <c r="J15" i="20"/>
  <c r="J25" i="20"/>
  <c r="J20" i="20"/>
  <c r="J26" i="20"/>
  <c r="J10" i="20"/>
  <c r="J7" i="20"/>
  <c r="J16" i="20"/>
  <c r="J22" i="20"/>
  <c r="J28" i="20"/>
  <c r="J19" i="20"/>
  <c r="J17" i="20"/>
  <c r="J24" i="20"/>
  <c r="K6" i="20"/>
  <c r="L26" i="20"/>
  <c r="L21" i="20"/>
  <c r="L7" i="20"/>
  <c r="L8" i="20"/>
  <c r="L9" i="20"/>
  <c r="L17" i="20"/>
  <c r="L16" i="20"/>
  <c r="L28" i="20"/>
  <c r="L6" i="20"/>
  <c r="L27" i="20"/>
  <c r="L13" i="20"/>
  <c r="L18" i="20"/>
  <c r="L10" i="20"/>
  <c r="L20" i="20"/>
  <c r="L24" i="20"/>
  <c r="L25" i="20"/>
  <c r="L14" i="20"/>
  <c r="L23" i="20"/>
  <c r="L15" i="20"/>
  <c r="L19" i="20"/>
  <c r="L11" i="20"/>
  <c r="N8" i="20"/>
  <c r="N16" i="20"/>
  <c r="N20" i="20"/>
  <c r="N9" i="20"/>
  <c r="N13" i="20"/>
  <c r="N17" i="20"/>
  <c r="N21" i="20"/>
  <c r="N25" i="20"/>
  <c r="N6" i="20"/>
  <c r="N10" i="20"/>
  <c r="N14" i="20"/>
  <c r="N18" i="20"/>
  <c r="N22" i="20"/>
  <c r="N15" i="20"/>
  <c r="N26" i="20"/>
  <c r="N19" i="20"/>
  <c r="N27" i="20"/>
  <c r="N23" i="20"/>
  <c r="N28" i="20"/>
  <c r="N11" i="20"/>
  <c r="N24" i="20"/>
  <c r="T33" i="21"/>
  <c r="S33" i="21"/>
  <c r="P66" i="21"/>
  <c r="U66" i="21"/>
  <c r="T14" i="22"/>
  <c r="S14" i="21"/>
  <c r="S14" i="22"/>
  <c r="R14" i="21"/>
  <c r="V33" i="22"/>
  <c r="U33" i="21"/>
  <c r="R84" i="21"/>
  <c r="R82" i="21"/>
  <c r="T55" i="22"/>
  <c r="S55" i="21"/>
  <c r="R55" i="22"/>
  <c r="Q55" i="21"/>
  <c r="S79" i="21"/>
  <c r="R51" i="21"/>
  <c r="S51" i="22"/>
  <c r="R76" i="21"/>
  <c r="Q43" i="22"/>
  <c r="P43" i="21"/>
  <c r="P74" i="21"/>
  <c r="Q30" i="21"/>
  <c r="R30" i="22"/>
  <c r="Q30" i="22"/>
  <c r="P30" i="21"/>
  <c r="P93" i="21"/>
  <c r="S71" i="21"/>
  <c r="R31" i="22"/>
  <c r="Q31" i="21"/>
  <c r="R90" i="21"/>
  <c r="R68" i="21"/>
  <c r="R66" i="21"/>
  <c r="S66" i="21"/>
  <c r="Q14" i="21"/>
  <c r="R14" i="22"/>
  <c r="Q14" i="22"/>
  <c r="P14" i="21"/>
  <c r="Q33" i="22"/>
  <c r="P33" i="21"/>
  <c r="T61" i="22"/>
  <c r="S61" i="21"/>
  <c r="V61" i="22"/>
  <c r="U61" i="21"/>
  <c r="Q82" i="21"/>
  <c r="P55" i="21"/>
  <c r="Q55" i="22"/>
  <c r="R7" i="22"/>
  <c r="Q7" i="21"/>
  <c r="Q79" i="21"/>
  <c r="R51" i="22"/>
  <c r="Q51" i="21"/>
  <c r="Q51" i="22"/>
  <c r="P51" i="21"/>
  <c r="T76" i="21"/>
  <c r="T43" i="22"/>
  <c r="S43" i="21"/>
  <c r="V43" i="22"/>
  <c r="U43" i="21"/>
  <c r="Q96" i="21"/>
  <c r="T74" i="21"/>
  <c r="T30" i="22"/>
  <c r="S30" i="21"/>
  <c r="V30" i="22"/>
  <c r="U30" i="21"/>
  <c r="Q93" i="21"/>
  <c r="R71" i="21"/>
  <c r="Q31" i="22"/>
  <c r="P31" i="21"/>
  <c r="T31" i="22"/>
  <c r="S31" i="21"/>
  <c r="Q90" i="21"/>
  <c r="R87" i="21"/>
  <c r="Q87" i="21"/>
  <c r="Q66" i="21"/>
  <c r="R33" i="21"/>
  <c r="S33" i="22"/>
  <c r="Q84" i="21"/>
  <c r="S61" i="22"/>
  <c r="R61" i="21"/>
  <c r="U61" i="22"/>
  <c r="T61" i="21"/>
  <c r="P82" i="21"/>
  <c r="V55" i="22"/>
  <c r="U55" i="21"/>
  <c r="S7" i="21"/>
  <c r="T7" i="22"/>
  <c r="P79" i="21"/>
  <c r="T51" i="22"/>
  <c r="S51" i="21"/>
  <c r="L3" i="23"/>
  <c r="P76" i="21"/>
  <c r="Q76" i="21"/>
  <c r="U43" i="22"/>
  <c r="T43" i="21"/>
  <c r="R43" i="21"/>
  <c r="S43" i="22"/>
  <c r="P96" i="21"/>
  <c r="R74" i="21"/>
  <c r="U30" i="22"/>
  <c r="T30" i="21"/>
  <c r="S30" i="22"/>
  <c r="R30" i="21"/>
  <c r="T71" i="21"/>
  <c r="P71" i="21"/>
  <c r="V31" i="22"/>
  <c r="U31" i="21"/>
  <c r="T31" i="21"/>
  <c r="U31" i="22"/>
  <c r="S68" i="21"/>
  <c r="Q68" i="21"/>
  <c r="P87" i="21"/>
  <c r="T66" i="21"/>
  <c r="V14" i="22"/>
  <c r="U14" i="21"/>
  <c r="T14" i="21"/>
  <c r="U14" i="22"/>
  <c r="P84" i="21"/>
  <c r="Q61" i="22"/>
  <c r="P61" i="21"/>
  <c r="R61" i="22"/>
  <c r="Q61" i="21"/>
  <c r="U55" i="22"/>
  <c r="T55" i="21"/>
  <c r="S55" i="22"/>
  <c r="R55" i="21"/>
  <c r="P101" i="21"/>
  <c r="R79" i="21"/>
  <c r="V51" i="22"/>
  <c r="U51" i="21"/>
  <c r="U51" i="22"/>
  <c r="T51" i="21"/>
  <c r="Q99" i="22"/>
  <c r="P99" i="21"/>
  <c r="S76" i="21"/>
  <c r="R43" i="22"/>
  <c r="Q43" i="21"/>
  <c r="S74" i="21"/>
  <c r="Q74" i="21"/>
  <c r="Q71" i="21"/>
  <c r="S31" i="22"/>
  <c r="R31" i="21"/>
  <c r="P90" i="21"/>
  <c r="P68" i="21"/>
  <c r="T68" i="21"/>
  <c r="P8" i="20"/>
  <c r="P12" i="20"/>
  <c r="P17" i="20"/>
  <c r="P25" i="20"/>
  <c r="P41" i="20"/>
  <c r="P57" i="20"/>
  <c r="P73" i="20"/>
  <c r="P73" i="22" s="1"/>
  <c r="P89" i="20"/>
  <c r="P89" i="22" s="1"/>
  <c r="P32" i="20"/>
  <c r="P48" i="20"/>
  <c r="P64" i="20"/>
  <c r="P80" i="20"/>
  <c r="P80" i="22" s="1"/>
  <c r="P96" i="20"/>
  <c r="P96" i="22" s="1"/>
  <c r="P22" i="20"/>
  <c r="P35" i="20"/>
  <c r="P51" i="20"/>
  <c r="P67" i="20"/>
  <c r="P67" i="22" s="1"/>
  <c r="P83" i="20"/>
  <c r="P83" i="22" s="1"/>
  <c r="P98" i="20"/>
  <c r="P26" i="20"/>
  <c r="P42" i="20"/>
  <c r="P58" i="20"/>
  <c r="P74" i="20"/>
  <c r="P74" i="22" s="1"/>
  <c r="P90" i="20"/>
  <c r="P90" i="22" s="1"/>
  <c r="P9" i="20"/>
  <c r="P13" i="20"/>
  <c r="P19" i="20"/>
  <c r="P29" i="20"/>
  <c r="P45" i="20"/>
  <c r="P61" i="20"/>
  <c r="P77" i="20"/>
  <c r="P77" i="22" s="1"/>
  <c r="P93" i="20"/>
  <c r="P93" i="22" s="1"/>
  <c r="P36" i="20"/>
  <c r="P52" i="20"/>
  <c r="P68" i="20"/>
  <c r="P68" i="22" s="1"/>
  <c r="P84" i="20"/>
  <c r="P84" i="22" s="1"/>
  <c r="P16" i="20"/>
  <c r="P24" i="20"/>
  <c r="P39" i="20"/>
  <c r="P55" i="20"/>
  <c r="P71" i="20"/>
  <c r="P71" i="22" s="1"/>
  <c r="P87" i="20"/>
  <c r="P87" i="22" s="1"/>
  <c r="P99" i="20"/>
  <c r="P30" i="20"/>
  <c r="P46" i="20"/>
  <c r="P62" i="20"/>
  <c r="P78" i="20"/>
  <c r="P78" i="22" s="1"/>
  <c r="P94" i="20"/>
  <c r="P94" i="22" s="1"/>
  <c r="P10" i="20"/>
  <c r="P14" i="20"/>
  <c r="P21" i="20"/>
  <c r="P33" i="20"/>
  <c r="P49" i="20"/>
  <c r="P65" i="20"/>
  <c r="P81" i="20"/>
  <c r="P81" i="22" s="1"/>
  <c r="P97" i="20"/>
  <c r="P40" i="20"/>
  <c r="P56" i="20"/>
  <c r="P72" i="20"/>
  <c r="P72" i="22" s="1"/>
  <c r="P88" i="20"/>
  <c r="P88" i="22" s="1"/>
  <c r="P18" i="20"/>
  <c r="P27" i="20"/>
  <c r="P43" i="20"/>
  <c r="P59" i="20"/>
  <c r="P75" i="20"/>
  <c r="P75" i="22" s="1"/>
  <c r="P91" i="20"/>
  <c r="P91" i="22" s="1"/>
  <c r="P100" i="20"/>
  <c r="P34" i="20"/>
  <c r="P50" i="20"/>
  <c r="P66" i="20"/>
  <c r="P66" i="22" s="1"/>
  <c r="P82" i="20"/>
  <c r="P82" i="22" s="1"/>
  <c r="P23" i="20"/>
  <c r="P85" i="20"/>
  <c r="P85" i="22" s="1"/>
  <c r="P76" i="20"/>
  <c r="P76" i="22" s="1"/>
  <c r="P47" i="20"/>
  <c r="P101" i="20"/>
  <c r="P86" i="20"/>
  <c r="P86" i="22" s="1"/>
  <c r="P7" i="20"/>
  <c r="P37" i="20"/>
  <c r="P28" i="20"/>
  <c r="P92" i="20"/>
  <c r="P92" i="22" s="1"/>
  <c r="P63" i="20"/>
  <c r="P38" i="20"/>
  <c r="P6" i="20"/>
  <c r="P11" i="20"/>
  <c r="P53" i="20"/>
  <c r="P44" i="20"/>
  <c r="P20" i="20"/>
  <c r="P79" i="20"/>
  <c r="P79" i="22" s="1"/>
  <c r="P54" i="20"/>
  <c r="P15" i="20"/>
  <c r="P69" i="20"/>
  <c r="P69" i="22" s="1"/>
  <c r="P60" i="20"/>
  <c r="P31" i="20"/>
  <c r="P95" i="20"/>
  <c r="P95" i="22" s="1"/>
  <c r="P70" i="20"/>
  <c r="P70" i="22" s="1"/>
  <c r="P81" i="21"/>
  <c r="S81" i="21"/>
  <c r="T65" i="22"/>
  <c r="S65" i="21"/>
  <c r="T24" i="22"/>
  <c r="S24" i="21"/>
  <c r="U24" i="21"/>
  <c r="V24" i="22"/>
  <c r="P77" i="21"/>
  <c r="R57" i="21"/>
  <c r="S57" i="22"/>
  <c r="R89" i="21"/>
  <c r="Q89" i="21"/>
  <c r="Q73" i="21"/>
  <c r="T73" i="21"/>
  <c r="P50" i="21"/>
  <c r="Q50" i="22"/>
  <c r="T50" i="22"/>
  <c r="S50" i="21"/>
  <c r="P69" i="21"/>
  <c r="V39" i="22"/>
  <c r="U39" i="21"/>
  <c r="T39" i="21"/>
  <c r="U39" i="22"/>
  <c r="Q81" i="21"/>
  <c r="R81" i="21"/>
  <c r="R65" i="22"/>
  <c r="Q65" i="21"/>
  <c r="U24" i="22"/>
  <c r="T24" i="21"/>
  <c r="R24" i="21"/>
  <c r="S24" i="22"/>
  <c r="P94" i="21"/>
  <c r="Q77" i="21"/>
  <c r="R57" i="22"/>
  <c r="Q57" i="21"/>
  <c r="S57" i="21"/>
  <c r="T57" i="22"/>
  <c r="P89" i="21"/>
  <c r="P73" i="21"/>
  <c r="U50" i="21"/>
  <c r="V50" i="22"/>
  <c r="U50" i="22"/>
  <c r="T50" i="21"/>
  <c r="P85" i="21"/>
  <c r="Q69" i="21"/>
  <c r="S39" i="22"/>
  <c r="R39" i="21"/>
  <c r="P98" i="21"/>
  <c r="Q98" i="22"/>
  <c r="P65" i="21"/>
  <c r="Q65" i="22"/>
  <c r="U65" i="22"/>
  <c r="T65" i="21"/>
  <c r="Q24" i="21"/>
  <c r="R24" i="22"/>
  <c r="Q94" i="21"/>
  <c r="S77" i="21"/>
  <c r="Q57" i="22"/>
  <c r="P57" i="21"/>
  <c r="R73" i="21"/>
  <c r="S50" i="22"/>
  <c r="R50" i="21"/>
  <c r="S69" i="21"/>
  <c r="T69" i="21"/>
  <c r="R39" i="22"/>
  <c r="Q39" i="21"/>
  <c r="L78" i="23"/>
  <c r="R65" i="21"/>
  <c r="S65" i="22"/>
  <c r="V65" i="22"/>
  <c r="U65" i="21"/>
  <c r="Q24" i="22"/>
  <c r="P24" i="21"/>
  <c r="T77" i="21"/>
  <c r="R77" i="21"/>
  <c r="U57" i="22"/>
  <c r="T57" i="21"/>
  <c r="V57" i="22"/>
  <c r="U57" i="21"/>
  <c r="S73" i="21"/>
  <c r="R50" i="22"/>
  <c r="Q50" i="21"/>
  <c r="Q85" i="21"/>
  <c r="R85" i="21"/>
  <c r="R69" i="21"/>
  <c r="S39" i="21"/>
  <c r="T39" i="22"/>
  <c r="P39" i="21"/>
  <c r="Q39" i="22"/>
  <c r="D36" i="28" l="1"/>
  <c r="H36" i="28" s="1"/>
  <c r="M14" i="22"/>
  <c r="M16" i="22"/>
  <c r="L13" i="21"/>
  <c r="K17" i="19"/>
  <c r="K17" i="20" s="1"/>
  <c r="D22" i="10"/>
  <c r="F22" i="10" s="1"/>
  <c r="G14" i="19"/>
  <c r="G14" i="20" s="1"/>
  <c r="G14" i="22" s="1"/>
  <c r="D19" i="6"/>
  <c r="K9" i="19"/>
  <c r="K9" i="20" s="1"/>
  <c r="K9" i="22" s="1"/>
  <c r="D14" i="10"/>
  <c r="F14" i="10" s="1"/>
  <c r="K7" i="19"/>
  <c r="K7" i="20" s="1"/>
  <c r="J7" i="21" s="1"/>
  <c r="D12" i="10"/>
  <c r="G16" i="19"/>
  <c r="G16" i="20" s="1"/>
  <c r="F16" i="21" s="1"/>
  <c r="D21" i="6"/>
  <c r="K19" i="19"/>
  <c r="K19" i="20" s="1"/>
  <c r="J19" i="21" s="1"/>
  <c r="D24" i="10"/>
  <c r="F24" i="10" s="1"/>
  <c r="G48" i="19"/>
  <c r="K28" i="19"/>
  <c r="K28" i="20" s="1"/>
  <c r="K28" i="22" s="1"/>
  <c r="D33" i="10"/>
  <c r="F33" i="10" s="1"/>
  <c r="G9" i="19"/>
  <c r="G9" i="20" s="1"/>
  <c r="F9" i="21" s="1"/>
  <c r="D14" i="6"/>
  <c r="G20" i="19"/>
  <c r="G20" i="20" s="1"/>
  <c r="D25" i="6"/>
  <c r="G17" i="19"/>
  <c r="G17" i="20" s="1"/>
  <c r="F17" i="21" s="1"/>
  <c r="D22" i="6"/>
  <c r="K23" i="19"/>
  <c r="K23" i="20" s="1"/>
  <c r="J23" i="21" s="1"/>
  <c r="D28" i="10"/>
  <c r="F28" i="10" s="1"/>
  <c r="G19" i="19"/>
  <c r="G19" i="20" s="1"/>
  <c r="F19" i="21" s="1"/>
  <c r="D24" i="6"/>
  <c r="K16" i="19"/>
  <c r="K16" i="20" s="1"/>
  <c r="K16" i="22" s="1"/>
  <c r="D21" i="10"/>
  <c r="F21" i="10" s="1"/>
  <c r="G18" i="19"/>
  <c r="G18" i="20" s="1"/>
  <c r="F18" i="21" s="1"/>
  <c r="D23" i="6"/>
  <c r="G22" i="19"/>
  <c r="G22" i="20" s="1"/>
  <c r="F22" i="21" s="1"/>
  <c r="D27" i="6"/>
  <c r="K27" i="19"/>
  <c r="K27" i="20" s="1"/>
  <c r="K27" i="22" s="1"/>
  <c r="D32" i="10"/>
  <c r="F32" i="10" s="1"/>
  <c r="K26" i="19"/>
  <c r="K26" i="20" s="1"/>
  <c r="K26" i="22" s="1"/>
  <c r="D31" i="10"/>
  <c r="F31" i="10" s="1"/>
  <c r="G12" i="19"/>
  <c r="G12" i="20" s="1"/>
  <c r="F12" i="21" s="1"/>
  <c r="D17" i="6"/>
  <c r="K13" i="19"/>
  <c r="K13" i="20" s="1"/>
  <c r="J13" i="21" s="1"/>
  <c r="D18" i="10"/>
  <c r="F18" i="10" s="1"/>
  <c r="G7" i="19"/>
  <c r="G7" i="20" s="1"/>
  <c r="F7" i="21" s="1"/>
  <c r="D12" i="6"/>
  <c r="G13" i="19"/>
  <c r="G13" i="20" s="1"/>
  <c r="G13" i="22" s="1"/>
  <c r="D18" i="6"/>
  <c r="G10" i="19"/>
  <c r="G10" i="20" s="1"/>
  <c r="G10" i="22" s="1"/>
  <c r="D15" i="6"/>
  <c r="K15" i="19"/>
  <c r="K15" i="20" s="1"/>
  <c r="K15" i="22" s="1"/>
  <c r="D20" i="10"/>
  <c r="F20" i="10" s="1"/>
  <c r="K25" i="19"/>
  <c r="K25" i="20" s="1"/>
  <c r="K25" i="22" s="1"/>
  <c r="D30" i="10"/>
  <c r="F30" i="10" s="1"/>
  <c r="G8" i="19"/>
  <c r="G8" i="20" s="1"/>
  <c r="F8" i="21" s="1"/>
  <c r="D13" i="6"/>
  <c r="G11" i="19"/>
  <c r="G11" i="20" s="1"/>
  <c r="F11" i="21" s="1"/>
  <c r="D16" i="6"/>
  <c r="G26" i="19"/>
  <c r="G26" i="20" s="1"/>
  <c r="G26" i="22" s="1"/>
  <c r="D31" i="6"/>
  <c r="K21" i="19"/>
  <c r="K21" i="20" s="1"/>
  <c r="K21" i="22" s="1"/>
  <c r="D26" i="10"/>
  <c r="F26" i="10" s="1"/>
  <c r="K18" i="19"/>
  <c r="K18" i="20" s="1"/>
  <c r="J18" i="21" s="1"/>
  <c r="D23" i="10"/>
  <c r="F23" i="10" s="1"/>
  <c r="K11" i="19"/>
  <c r="K11" i="20" s="1"/>
  <c r="J11" i="21" s="1"/>
  <c r="D16" i="10"/>
  <c r="K8" i="19"/>
  <c r="K8" i="20" s="1"/>
  <c r="K8" i="22" s="1"/>
  <c r="D13" i="10"/>
  <c r="F13" i="10" s="1"/>
  <c r="G25" i="19"/>
  <c r="G25" i="20" s="1"/>
  <c r="G25" i="22" s="1"/>
  <c r="D30" i="6"/>
  <c r="G24" i="19"/>
  <c r="G24" i="20" s="1"/>
  <c r="G24" i="22" s="1"/>
  <c r="D29" i="6"/>
  <c r="K10" i="19"/>
  <c r="K10" i="20" s="1"/>
  <c r="K10" i="22" s="1"/>
  <c r="D15" i="10"/>
  <c r="F15" i="10" s="1"/>
  <c r="K22" i="19"/>
  <c r="K22" i="20" s="1"/>
  <c r="J22" i="21" s="1"/>
  <c r="D27" i="10"/>
  <c r="F27" i="10" s="1"/>
  <c r="G27" i="19"/>
  <c r="G27" i="20" s="1"/>
  <c r="G27" i="22" s="1"/>
  <c r="D32" i="6"/>
  <c r="D86" i="6"/>
  <c r="G23" i="19"/>
  <c r="G23" i="20" s="1"/>
  <c r="G23" i="22" s="1"/>
  <c r="D28" i="6"/>
  <c r="K24" i="19"/>
  <c r="K24" i="20" s="1"/>
  <c r="J24" i="21" s="1"/>
  <c r="D29" i="10"/>
  <c r="F29" i="10" s="1"/>
  <c r="K20" i="19"/>
  <c r="K20" i="20" s="1"/>
  <c r="K20" i="22" s="1"/>
  <c r="D25" i="10"/>
  <c r="F25" i="10" s="1"/>
  <c r="G6" i="19"/>
  <c r="D11" i="6"/>
  <c r="G21" i="19"/>
  <c r="G21" i="20" s="1"/>
  <c r="F21" i="21" s="1"/>
  <c r="D26" i="6"/>
  <c r="K14" i="19"/>
  <c r="K14" i="20" s="1"/>
  <c r="J14" i="21" s="1"/>
  <c r="D19" i="10"/>
  <c r="F19" i="10" s="1"/>
  <c r="G15" i="19"/>
  <c r="G15" i="20" s="1"/>
  <c r="G15" i="22" s="1"/>
  <c r="D20" i="6"/>
  <c r="L21" i="21"/>
  <c r="M24" i="22"/>
  <c r="L7" i="21"/>
  <c r="L11" i="21"/>
  <c r="L19" i="21"/>
  <c r="L15" i="21"/>
  <c r="M28" i="22"/>
  <c r="L23" i="21"/>
  <c r="L10" i="21"/>
  <c r="D29" i="19"/>
  <c r="D29" i="20" s="1"/>
  <c r="D34" i="3"/>
  <c r="M9" i="22"/>
  <c r="L20" i="21"/>
  <c r="M6" i="22"/>
  <c r="L22" i="21"/>
  <c r="L25" i="21"/>
  <c r="L27" i="21"/>
  <c r="L17" i="21"/>
  <c r="L12" i="21"/>
  <c r="M8" i="22"/>
  <c r="L26" i="21"/>
  <c r="F53" i="19"/>
  <c r="F53" i="20" s="1"/>
  <c r="G28" i="19"/>
  <c r="G28" i="20" s="1"/>
  <c r="G53" i="19"/>
  <c r="G53" i="20" s="1"/>
  <c r="F53" i="21" s="1"/>
  <c r="F101" i="19"/>
  <c r="F101" i="20" s="1"/>
  <c r="E101" i="21" s="1"/>
  <c r="D80" i="20"/>
  <c r="C80" i="21" s="1"/>
  <c r="D56" i="20"/>
  <c r="C56" i="21" s="1"/>
  <c r="D65" i="3"/>
  <c r="D64" i="20"/>
  <c r="E82" i="20"/>
  <c r="D90" i="4"/>
  <c r="E85" i="20"/>
  <c r="D85" i="21" s="1"/>
  <c r="E61" i="20"/>
  <c r="E100" i="20"/>
  <c r="E90" i="20"/>
  <c r="D46" i="20"/>
  <c r="D46" i="22" s="1"/>
  <c r="E51" i="20"/>
  <c r="D98" i="20"/>
  <c r="D65" i="20"/>
  <c r="C65" i="21" s="1"/>
  <c r="D87" i="20"/>
  <c r="D88" i="20"/>
  <c r="D84" i="20"/>
  <c r="D84" i="22" s="1"/>
  <c r="D90" i="20"/>
  <c r="C90" i="21" s="1"/>
  <c r="D53" i="20"/>
  <c r="C53" i="21" s="1"/>
  <c r="D94" i="20"/>
  <c r="D94" i="22" s="1"/>
  <c r="D76" i="20"/>
  <c r="D76" i="22" s="1"/>
  <c r="D66" i="20"/>
  <c r="C66" i="21" s="1"/>
  <c r="D51" i="20"/>
  <c r="D51" i="22" s="1"/>
  <c r="E55" i="20"/>
  <c r="E50" i="20"/>
  <c r="D50" i="21" s="1"/>
  <c r="E56" i="20"/>
  <c r="D56" i="21" s="1"/>
  <c r="E63" i="20"/>
  <c r="D63" i="21" s="1"/>
  <c r="E59" i="20"/>
  <c r="E59" i="22" s="1"/>
  <c r="E54" i="20"/>
  <c r="D54" i="21" s="1"/>
  <c r="D98" i="4"/>
  <c r="E93" i="20"/>
  <c r="E93" i="22" s="1"/>
  <c r="D71" i="4"/>
  <c r="E66" i="20"/>
  <c r="E66" i="22" s="1"/>
  <c r="D77" i="4"/>
  <c r="D68" i="3"/>
  <c r="D63" i="20"/>
  <c r="C63" i="21" s="1"/>
  <c r="D47" i="20"/>
  <c r="C47" i="21" s="1"/>
  <c r="D101" i="4"/>
  <c r="E96" i="20"/>
  <c r="D96" i="21" s="1"/>
  <c r="D54" i="3"/>
  <c r="D49" i="20"/>
  <c r="C49" i="21" s="1"/>
  <c r="D32" i="20"/>
  <c r="D32" i="22" s="1"/>
  <c r="D78" i="3"/>
  <c r="D73" i="20"/>
  <c r="C73" i="21" s="1"/>
  <c r="D47" i="3"/>
  <c r="D42" i="20"/>
  <c r="C42" i="21" s="1"/>
  <c r="E86" i="20"/>
  <c r="E78" i="20"/>
  <c r="D63" i="4"/>
  <c r="E58" i="20"/>
  <c r="D58" i="21" s="1"/>
  <c r="D67" i="20"/>
  <c r="D67" i="22" s="1"/>
  <c r="D78" i="20"/>
  <c r="D78" i="22" s="1"/>
  <c r="D58" i="20"/>
  <c r="D58" i="22" s="1"/>
  <c r="D60" i="3"/>
  <c r="E88" i="20"/>
  <c r="D88" i="21" s="1"/>
  <c r="E57" i="20"/>
  <c r="E57" i="22" s="1"/>
  <c r="D103" i="4"/>
  <c r="E98" i="20"/>
  <c r="D98" i="21" s="1"/>
  <c r="D50" i="20"/>
  <c r="C50" i="21" s="1"/>
  <c r="D40" i="3"/>
  <c r="D35" i="20"/>
  <c r="C35" i="21" s="1"/>
  <c r="D38" i="20"/>
  <c r="C38" i="21" s="1"/>
  <c r="D84" i="4"/>
  <c r="E79" i="20"/>
  <c r="E79" i="22" s="1"/>
  <c r="D101" i="20"/>
  <c r="C101" i="21" s="1"/>
  <c r="D95" i="20"/>
  <c r="C95" i="21" s="1"/>
  <c r="D75" i="20"/>
  <c r="D75" i="22" s="1"/>
  <c r="D82" i="3"/>
  <c r="D77" i="20"/>
  <c r="D77" i="22" s="1"/>
  <c r="D87" i="3"/>
  <c r="D82" i="20"/>
  <c r="D82" i="22" s="1"/>
  <c r="D86" i="3"/>
  <c r="D81" i="20"/>
  <c r="D81" i="22" s="1"/>
  <c r="D94" i="3"/>
  <c r="D89" i="20"/>
  <c r="D89" i="22" s="1"/>
  <c r="D70" i="20"/>
  <c r="D68" i="20"/>
  <c r="D38" i="3"/>
  <c r="D33" i="20"/>
  <c r="C33" i="21" s="1"/>
  <c r="D71" i="20"/>
  <c r="D71" i="22" s="1"/>
  <c r="D83" i="20"/>
  <c r="C83" i="21" s="1"/>
  <c r="E87" i="20"/>
  <c r="E87" i="22" s="1"/>
  <c r="E62" i="20"/>
  <c r="D62" i="21" s="1"/>
  <c r="E70" i="20"/>
  <c r="D70" i="21" s="1"/>
  <c r="D100" i="4"/>
  <c r="E95" i="20"/>
  <c r="E95" i="22" s="1"/>
  <c r="E83" i="20"/>
  <c r="D83" i="21" s="1"/>
  <c r="D57" i="4"/>
  <c r="E52" i="20"/>
  <c r="D52" i="21" s="1"/>
  <c r="E71" i="20"/>
  <c r="D94" i="4"/>
  <c r="E94" i="20"/>
  <c r="D94" i="21" s="1"/>
  <c r="D72" i="20"/>
  <c r="D72" i="22" s="1"/>
  <c r="D42" i="3"/>
  <c r="D37" i="20"/>
  <c r="D37" i="22" s="1"/>
  <c r="E68" i="20"/>
  <c r="D68" i="21" s="1"/>
  <c r="D45" i="3"/>
  <c r="D40" i="20"/>
  <c r="C40" i="21" s="1"/>
  <c r="D50" i="3"/>
  <c r="D48" i="20"/>
  <c r="C48" i="21" s="1"/>
  <c r="D36" i="20"/>
  <c r="D57" i="3"/>
  <c r="D52" i="20"/>
  <c r="C52" i="21" s="1"/>
  <c r="D91" i="20"/>
  <c r="D54" i="20"/>
  <c r="C54" i="21" s="1"/>
  <c r="E92" i="20"/>
  <c r="E73" i="20"/>
  <c r="E99" i="20"/>
  <c r="D93" i="20"/>
  <c r="D41" i="20"/>
  <c r="C41" i="21" s="1"/>
  <c r="D81" i="4"/>
  <c r="E76" i="20"/>
  <c r="E76" i="22" s="1"/>
  <c r="D35" i="4"/>
  <c r="E30" i="20"/>
  <c r="D30" i="21" s="1"/>
  <c r="D99" i="20"/>
  <c r="C99" i="21" s="1"/>
  <c r="D92" i="20"/>
  <c r="D62" i="20"/>
  <c r="D86" i="20"/>
  <c r="C86" i="21" s="1"/>
  <c r="D79" i="20"/>
  <c r="C79" i="21" s="1"/>
  <c r="D64" i="3"/>
  <c r="D59" i="20"/>
  <c r="D59" i="22" s="1"/>
  <c r="D96" i="20"/>
  <c r="D96" i="22" s="1"/>
  <c r="D62" i="3"/>
  <c r="D57" i="20"/>
  <c r="C57" i="21" s="1"/>
  <c r="D61" i="20"/>
  <c r="D61" i="22" s="1"/>
  <c r="D100" i="20"/>
  <c r="D100" i="22" s="1"/>
  <c r="D90" i="3"/>
  <c r="D85" i="20"/>
  <c r="D85" i="22" s="1"/>
  <c r="D102" i="3"/>
  <c r="D97" i="20"/>
  <c r="C97" i="21" s="1"/>
  <c r="E97" i="20"/>
  <c r="E67" i="20"/>
  <c r="E60" i="20"/>
  <c r="D60" i="21" s="1"/>
  <c r="E53" i="20"/>
  <c r="D53" i="21" s="1"/>
  <c r="D79" i="4"/>
  <c r="E74" i="20"/>
  <c r="D74" i="21" s="1"/>
  <c r="E80" i="20"/>
  <c r="E80" i="22" s="1"/>
  <c r="E84" i="20"/>
  <c r="E65" i="20"/>
  <c r="E65" i="22" s="1"/>
  <c r="E91" i="20"/>
  <c r="E91" i="22" s="1"/>
  <c r="E75" i="20"/>
  <c r="D79" i="3"/>
  <c r="D74" i="20"/>
  <c r="C74" i="21" s="1"/>
  <c r="E101" i="20"/>
  <c r="D34" i="20"/>
  <c r="C34" i="21" s="1"/>
  <c r="D44" i="20"/>
  <c r="C44" i="21" s="1"/>
  <c r="F96" i="20"/>
  <c r="F96" i="22" s="1"/>
  <c r="D69" i="4"/>
  <c r="E64" i="20"/>
  <c r="E64" i="22" s="1"/>
  <c r="E81" i="20"/>
  <c r="D81" i="21" s="1"/>
  <c r="D74" i="4"/>
  <c r="E69" i="20"/>
  <c r="E69" i="22" s="1"/>
  <c r="G48" i="20"/>
  <c r="F48" i="21" s="1"/>
  <c r="E39" i="28"/>
  <c r="B34" i="19" s="1"/>
  <c r="E37" i="28"/>
  <c r="B32" i="19" s="1"/>
  <c r="E38" i="28"/>
  <c r="B33" i="19" s="1"/>
  <c r="F29" i="19"/>
  <c r="G29" i="19"/>
  <c r="G46" i="19"/>
  <c r="G32" i="19"/>
  <c r="G43" i="19"/>
  <c r="G49" i="19"/>
  <c r="G40" i="19"/>
  <c r="D53" i="6"/>
  <c r="G45" i="19"/>
  <c r="G42" i="19"/>
  <c r="G37" i="19"/>
  <c r="G44" i="19"/>
  <c r="G36" i="19"/>
  <c r="G39" i="19"/>
  <c r="G33" i="19"/>
  <c r="G31" i="19"/>
  <c r="G41" i="19"/>
  <c r="G38" i="19"/>
  <c r="G47" i="19"/>
  <c r="G34" i="19"/>
  <c r="G35" i="19"/>
  <c r="D91" i="4"/>
  <c r="D83" i="4"/>
  <c r="D68" i="4"/>
  <c r="D66" i="3"/>
  <c r="F52" i="19"/>
  <c r="F66" i="19"/>
  <c r="D101" i="5"/>
  <c r="D56" i="4"/>
  <c r="F47" i="19"/>
  <c r="F81" i="19"/>
  <c r="F84" i="19"/>
  <c r="F83" i="19"/>
  <c r="D86" i="4"/>
  <c r="G61" i="19"/>
  <c r="F44" i="19"/>
  <c r="F34" i="19"/>
  <c r="D46" i="3"/>
  <c r="F82" i="19"/>
  <c r="F69" i="19"/>
  <c r="D95" i="3"/>
  <c r="D66" i="4"/>
  <c r="D41" i="3"/>
  <c r="F36" i="19"/>
  <c r="F72" i="19"/>
  <c r="F56" i="19"/>
  <c r="F31" i="19"/>
  <c r="F79" i="19"/>
  <c r="F99" i="19"/>
  <c r="F94" i="19"/>
  <c r="D95" i="4"/>
  <c r="D64" i="4"/>
  <c r="D58" i="5"/>
  <c r="F58" i="5" s="1"/>
  <c r="C50" i="23" s="1"/>
  <c r="D76" i="3"/>
  <c r="E72" i="20"/>
  <c r="E72" i="22" s="1"/>
  <c r="F33" i="19"/>
  <c r="D53" i="3"/>
  <c r="F45" i="19"/>
  <c r="D52" i="3"/>
  <c r="F39" i="19"/>
  <c r="F51" i="19"/>
  <c r="F68" i="19"/>
  <c r="F80" i="19"/>
  <c r="F71" i="19"/>
  <c r="F59" i="19"/>
  <c r="G91" i="19"/>
  <c r="D59" i="4"/>
  <c r="F43" i="19"/>
  <c r="D49" i="3"/>
  <c r="F78" i="19"/>
  <c r="F55" i="19"/>
  <c r="F62" i="19"/>
  <c r="F63" i="19"/>
  <c r="F73" i="19"/>
  <c r="F92" i="19"/>
  <c r="D106" i="3"/>
  <c r="D51" i="3"/>
  <c r="D45" i="20"/>
  <c r="C45" i="21" s="1"/>
  <c r="D58" i="3"/>
  <c r="G85" i="19"/>
  <c r="G90" i="19"/>
  <c r="F37" i="19"/>
  <c r="F49" i="19"/>
  <c r="F30" i="19"/>
  <c r="F40" i="19"/>
  <c r="F41" i="19"/>
  <c r="F76" i="19"/>
  <c r="F91" i="19"/>
  <c r="F89" i="19"/>
  <c r="F54" i="19"/>
  <c r="F87" i="19"/>
  <c r="F93" i="19"/>
  <c r="F88" i="19"/>
  <c r="F86" i="19"/>
  <c r="F58" i="19"/>
  <c r="F61" i="19"/>
  <c r="F64" i="19"/>
  <c r="F90" i="19"/>
  <c r="F77" i="19"/>
  <c r="D65" i="4"/>
  <c r="G88" i="19"/>
  <c r="F35" i="19"/>
  <c r="F46" i="19"/>
  <c r="F48" i="19"/>
  <c r="F38" i="19"/>
  <c r="F32" i="19"/>
  <c r="D39" i="3"/>
  <c r="F50" i="19"/>
  <c r="F67" i="19"/>
  <c r="F75" i="19"/>
  <c r="F85" i="19"/>
  <c r="F74" i="19"/>
  <c r="F98" i="19"/>
  <c r="F95" i="19"/>
  <c r="F100" i="19"/>
  <c r="F57" i="19"/>
  <c r="F70" i="19"/>
  <c r="F60" i="19"/>
  <c r="F97" i="19"/>
  <c r="F65" i="19"/>
  <c r="D43" i="3"/>
  <c r="D106" i="5"/>
  <c r="D98" i="3"/>
  <c r="D106" i="4"/>
  <c r="G73" i="19"/>
  <c r="G86" i="19"/>
  <c r="D55" i="20"/>
  <c r="D55" i="22" s="1"/>
  <c r="D92" i="3"/>
  <c r="G82" i="19"/>
  <c r="G92" i="19"/>
  <c r="G81" i="19"/>
  <c r="D37" i="3"/>
  <c r="D77" i="3"/>
  <c r="D93" i="3"/>
  <c r="D73" i="4"/>
  <c r="D89" i="4"/>
  <c r="D55" i="3"/>
  <c r="D84" i="3"/>
  <c r="D93" i="4"/>
  <c r="G94" i="19"/>
  <c r="G64" i="19"/>
  <c r="G74" i="19"/>
  <c r="D78" i="4"/>
  <c r="D69" i="3"/>
  <c r="D105" i="4"/>
  <c r="D100" i="3"/>
  <c r="G101" i="19"/>
  <c r="G71" i="19"/>
  <c r="G83" i="19"/>
  <c r="G89" i="19"/>
  <c r="G98" i="19"/>
  <c r="G96" i="19"/>
  <c r="G93" i="19"/>
  <c r="G59" i="19"/>
  <c r="G72" i="19"/>
  <c r="G63" i="19"/>
  <c r="G77" i="19"/>
  <c r="G95" i="19"/>
  <c r="G58" i="19"/>
  <c r="G80" i="19"/>
  <c r="G60" i="19"/>
  <c r="D62" i="4"/>
  <c r="D104" i="4"/>
  <c r="D80" i="3"/>
  <c r="D87" i="4"/>
  <c r="D97" i="4"/>
  <c r="D99" i="3"/>
  <c r="G62" i="19"/>
  <c r="G51" i="19"/>
  <c r="G76" i="19"/>
  <c r="G50" i="19"/>
  <c r="G79" i="19"/>
  <c r="G68" i="19"/>
  <c r="G70" i="19"/>
  <c r="G84" i="19"/>
  <c r="G65" i="19"/>
  <c r="G99" i="19"/>
  <c r="G87" i="19"/>
  <c r="G69" i="19"/>
  <c r="G78" i="19"/>
  <c r="G56" i="19"/>
  <c r="G57" i="19"/>
  <c r="G66" i="19"/>
  <c r="G75" i="19"/>
  <c r="G52" i="19"/>
  <c r="G55" i="19"/>
  <c r="G54" i="19"/>
  <c r="G97" i="19"/>
  <c r="G67" i="19"/>
  <c r="G100" i="19"/>
  <c r="D76" i="4"/>
  <c r="E89" i="20"/>
  <c r="E89" i="22" s="1"/>
  <c r="D75" i="4"/>
  <c r="D58" i="4"/>
  <c r="D81" i="3"/>
  <c r="D102" i="4"/>
  <c r="D96" i="4"/>
  <c r="D80" i="4"/>
  <c r="D67" i="4"/>
  <c r="D60" i="20"/>
  <c r="C60" i="21" s="1"/>
  <c r="D85" i="3"/>
  <c r="D88" i="4"/>
  <c r="D92" i="4"/>
  <c r="D85" i="4"/>
  <c r="D59" i="3"/>
  <c r="D63" i="3"/>
  <c r="D72" i="4"/>
  <c r="D88" i="3"/>
  <c r="D70" i="4"/>
  <c r="D99" i="4"/>
  <c r="D72" i="3"/>
  <c r="D101" i="3"/>
  <c r="D60" i="4"/>
  <c r="D55" i="4"/>
  <c r="D61" i="4"/>
  <c r="D56" i="3"/>
  <c r="D73" i="3"/>
  <c r="E52" i="28"/>
  <c r="B47" i="19" s="1"/>
  <c r="E48" i="28"/>
  <c r="B43" i="19" s="1"/>
  <c r="E44" i="28"/>
  <c r="B39" i="19" s="1"/>
  <c r="E40" i="28"/>
  <c r="B35" i="19" s="1"/>
  <c r="E49" i="28"/>
  <c r="B44" i="19" s="1"/>
  <c r="E51" i="28"/>
  <c r="B46" i="19" s="1"/>
  <c r="E47" i="28"/>
  <c r="B42" i="19" s="1"/>
  <c r="E43" i="28"/>
  <c r="B38" i="19" s="1"/>
  <c r="E45" i="28"/>
  <c r="B40" i="19" s="1"/>
  <c r="E50" i="28"/>
  <c r="B45" i="19" s="1"/>
  <c r="E46" i="28"/>
  <c r="B41" i="19" s="1"/>
  <c r="E42" i="28"/>
  <c r="B37" i="19" s="1"/>
  <c r="E41" i="28"/>
  <c r="B36" i="19" s="1"/>
  <c r="E104" i="28"/>
  <c r="B99" i="19" s="1"/>
  <c r="E100" i="28"/>
  <c r="B95" i="19" s="1"/>
  <c r="E96" i="28"/>
  <c r="B91" i="19" s="1"/>
  <c r="E92" i="28"/>
  <c r="B87" i="19" s="1"/>
  <c r="E88" i="28"/>
  <c r="B83" i="19" s="1"/>
  <c r="E84" i="28"/>
  <c r="B79" i="19" s="1"/>
  <c r="E80" i="28"/>
  <c r="B75" i="19" s="1"/>
  <c r="E76" i="28"/>
  <c r="B71" i="19" s="1"/>
  <c r="E72" i="28"/>
  <c r="B67" i="19" s="1"/>
  <c r="E68" i="28"/>
  <c r="B63" i="19" s="1"/>
  <c r="E64" i="28"/>
  <c r="B59" i="19" s="1"/>
  <c r="E60" i="28"/>
  <c r="B55" i="19" s="1"/>
  <c r="E56" i="28"/>
  <c r="B51" i="19" s="1"/>
  <c r="E97" i="28"/>
  <c r="B92" i="19" s="1"/>
  <c r="E85" i="28"/>
  <c r="B80" i="19" s="1"/>
  <c r="E73" i="28"/>
  <c r="B68" i="19" s="1"/>
  <c r="E61" i="28"/>
  <c r="B56" i="19" s="1"/>
  <c r="E103" i="28"/>
  <c r="B98" i="19" s="1"/>
  <c r="E99" i="28"/>
  <c r="B94" i="19" s="1"/>
  <c r="E95" i="28"/>
  <c r="B90" i="19" s="1"/>
  <c r="E91" i="28"/>
  <c r="B86" i="19" s="1"/>
  <c r="E87" i="28"/>
  <c r="B82" i="19" s="1"/>
  <c r="E83" i="28"/>
  <c r="B78" i="19" s="1"/>
  <c r="E79" i="28"/>
  <c r="B74" i="19" s="1"/>
  <c r="E75" i="28"/>
  <c r="B70" i="19" s="1"/>
  <c r="E71" i="28"/>
  <c r="B66" i="19" s="1"/>
  <c r="E67" i="28"/>
  <c r="B62" i="19" s="1"/>
  <c r="E63" i="28"/>
  <c r="B58" i="19" s="1"/>
  <c r="E59" i="28"/>
  <c r="B54" i="19" s="1"/>
  <c r="E55" i="28"/>
  <c r="B50" i="19" s="1"/>
  <c r="E105" i="28"/>
  <c r="B100" i="19" s="1"/>
  <c r="E93" i="28"/>
  <c r="B88" i="19" s="1"/>
  <c r="E81" i="28"/>
  <c r="B76" i="19" s="1"/>
  <c r="E69" i="28"/>
  <c r="B64" i="19" s="1"/>
  <c r="E57" i="28"/>
  <c r="B52" i="19" s="1"/>
  <c r="E106" i="28"/>
  <c r="B101" i="19" s="1"/>
  <c r="E102" i="28"/>
  <c r="B97" i="19" s="1"/>
  <c r="E98" i="28"/>
  <c r="B93" i="19" s="1"/>
  <c r="E94" i="28"/>
  <c r="B89" i="19" s="1"/>
  <c r="E90" i="28"/>
  <c r="B85" i="19" s="1"/>
  <c r="E86" i="28"/>
  <c r="B81" i="19" s="1"/>
  <c r="E82" i="28"/>
  <c r="B77" i="19" s="1"/>
  <c r="E78" i="28"/>
  <c r="B73" i="19" s="1"/>
  <c r="E74" i="28"/>
  <c r="B69" i="19" s="1"/>
  <c r="E70" i="28"/>
  <c r="B65" i="19" s="1"/>
  <c r="E66" i="28"/>
  <c r="B61" i="19" s="1"/>
  <c r="E62" i="28"/>
  <c r="B57" i="19" s="1"/>
  <c r="E58" i="28"/>
  <c r="B53" i="19" s="1"/>
  <c r="E54" i="28"/>
  <c r="B49" i="19" s="1"/>
  <c r="E101" i="28"/>
  <c r="B96" i="19" s="1"/>
  <c r="E89" i="28"/>
  <c r="B84" i="19" s="1"/>
  <c r="E77" i="28"/>
  <c r="B72" i="19" s="1"/>
  <c r="E65" i="28"/>
  <c r="B60" i="19" s="1"/>
  <c r="E53" i="28"/>
  <c r="B48" i="19" s="1"/>
  <c r="D105" i="3"/>
  <c r="D89" i="3"/>
  <c r="D71" i="3"/>
  <c r="D75" i="3"/>
  <c r="D91" i="3"/>
  <c r="D103" i="3"/>
  <c r="D70" i="3"/>
  <c r="D104" i="3"/>
  <c r="D97" i="3"/>
  <c r="D67" i="3"/>
  <c r="D61" i="3"/>
  <c r="D83" i="3"/>
  <c r="D96" i="3"/>
  <c r="D39" i="20"/>
  <c r="D39" i="22" s="1"/>
  <c r="D44" i="3"/>
  <c r="E35" i="20"/>
  <c r="E35" i="22" s="1"/>
  <c r="D40" i="4"/>
  <c r="E49" i="20"/>
  <c r="E49" i="22" s="1"/>
  <c r="D54" i="4"/>
  <c r="E46" i="20"/>
  <c r="D46" i="21" s="1"/>
  <c r="D51" i="4"/>
  <c r="E39" i="20"/>
  <c r="E39" i="22" s="1"/>
  <c r="D44" i="4"/>
  <c r="E37" i="20"/>
  <c r="E37" i="22" s="1"/>
  <c r="D42" i="4"/>
  <c r="E45" i="20"/>
  <c r="D45" i="21" s="1"/>
  <c r="D50" i="4"/>
  <c r="D43" i="20"/>
  <c r="C43" i="21" s="1"/>
  <c r="D48" i="3"/>
  <c r="E34" i="20"/>
  <c r="E34" i="22" s="1"/>
  <c r="D39" i="4"/>
  <c r="E41" i="20"/>
  <c r="E41" i="22" s="1"/>
  <c r="D46" i="4"/>
  <c r="E43" i="20"/>
  <c r="E43" i="22" s="1"/>
  <c r="D48" i="4"/>
  <c r="E31" i="20"/>
  <c r="D31" i="21" s="1"/>
  <c r="D36" i="4"/>
  <c r="E48" i="20"/>
  <c r="E48" i="22" s="1"/>
  <c r="D53" i="4"/>
  <c r="E33" i="20"/>
  <c r="D33" i="21" s="1"/>
  <c r="D38" i="4"/>
  <c r="E38" i="20"/>
  <c r="D38" i="21" s="1"/>
  <c r="D43" i="4"/>
  <c r="E32" i="20"/>
  <c r="D32" i="21" s="1"/>
  <c r="D37" i="4"/>
  <c r="E44" i="20"/>
  <c r="E44" i="22" s="1"/>
  <c r="D49" i="4"/>
  <c r="E42" i="20"/>
  <c r="E42" i="22" s="1"/>
  <c r="D47" i="4"/>
  <c r="E36" i="20"/>
  <c r="E36" i="22" s="1"/>
  <c r="D41" i="4"/>
  <c r="E40" i="20"/>
  <c r="E40" i="22" s="1"/>
  <c r="D45" i="4"/>
  <c r="J18" i="22"/>
  <c r="E10" i="21"/>
  <c r="K22" i="21"/>
  <c r="G20" i="22"/>
  <c r="F20" i="21"/>
  <c r="F6" i="21"/>
  <c r="G6" i="22"/>
  <c r="F8" i="22"/>
  <c r="E8" i="21"/>
  <c r="F12" i="22"/>
  <c r="E12" i="21"/>
  <c r="F20" i="22"/>
  <c r="E20" i="21"/>
  <c r="E13" i="21"/>
  <c r="F13" i="22"/>
  <c r="E7" i="21"/>
  <c r="F7" i="22"/>
  <c r="F11" i="22"/>
  <c r="E11" i="21"/>
  <c r="E19" i="21"/>
  <c r="F19" i="22"/>
  <c r="E24" i="21"/>
  <c r="F24" i="22"/>
  <c r="E6" i="21"/>
  <c r="F6" i="22"/>
  <c r="E16" i="21"/>
  <c r="F16" i="22"/>
  <c r="F14" i="22"/>
  <c r="E14" i="21"/>
  <c r="F26" i="22"/>
  <c r="E26" i="21"/>
  <c r="E27" i="21"/>
  <c r="F27" i="22"/>
  <c r="E9" i="21"/>
  <c r="F9" i="22"/>
  <c r="E23" i="21"/>
  <c r="F23" i="22"/>
  <c r="F22" i="22"/>
  <c r="E22" i="21"/>
  <c r="F25" i="22"/>
  <c r="E25" i="21"/>
  <c r="E21" i="21"/>
  <c r="F21" i="22"/>
  <c r="E15" i="21"/>
  <c r="F15" i="22"/>
  <c r="E17" i="21"/>
  <c r="F17" i="22"/>
  <c r="F18" i="22"/>
  <c r="E18" i="21"/>
  <c r="E16" i="22"/>
  <c r="D16" i="21"/>
  <c r="E24" i="22"/>
  <c r="D24" i="21"/>
  <c r="D11" i="21"/>
  <c r="E11" i="22"/>
  <c r="D26" i="21"/>
  <c r="E26" i="22"/>
  <c r="E15" i="22"/>
  <c r="D15" i="21"/>
  <c r="E20" i="22"/>
  <c r="D20" i="21"/>
  <c r="E18" i="22"/>
  <c r="D18" i="21"/>
  <c r="E29" i="22"/>
  <c r="D29" i="21"/>
  <c r="D27" i="21"/>
  <c r="E27" i="22"/>
  <c r="E28" i="22"/>
  <c r="D28" i="21"/>
  <c r="E19" i="22"/>
  <c r="D19" i="21"/>
  <c r="E8" i="22"/>
  <c r="D8" i="21"/>
  <c r="E21" i="22"/>
  <c r="D21" i="21"/>
  <c r="D77" i="21"/>
  <c r="E77" i="22"/>
  <c r="E17" i="22"/>
  <c r="D17" i="21"/>
  <c r="E25" i="22"/>
  <c r="D25" i="21"/>
  <c r="D23" i="21"/>
  <c r="E23" i="22"/>
  <c r="D14" i="21"/>
  <c r="E14" i="22"/>
  <c r="E7" i="22"/>
  <c r="D7" i="21"/>
  <c r="E12" i="22"/>
  <c r="D12" i="21"/>
  <c r="D10" i="21"/>
  <c r="E10" i="22"/>
  <c r="E22" i="22"/>
  <c r="D22" i="21"/>
  <c r="D6" i="21"/>
  <c r="E6" i="22"/>
  <c r="D47" i="21"/>
  <c r="E47" i="22"/>
  <c r="E13" i="22"/>
  <c r="D13" i="21"/>
  <c r="E9" i="22"/>
  <c r="D9" i="21"/>
  <c r="C8" i="21"/>
  <c r="D8" i="22"/>
  <c r="D6" i="22"/>
  <c r="C6" i="21"/>
  <c r="C29" i="21"/>
  <c r="D29" i="22"/>
  <c r="D10" i="22"/>
  <c r="C10" i="21"/>
  <c r="D22" i="22"/>
  <c r="C22" i="21"/>
  <c r="C69" i="21"/>
  <c r="D69" i="22"/>
  <c r="C15" i="21"/>
  <c r="D15" i="22"/>
  <c r="C30" i="21"/>
  <c r="D30" i="22"/>
  <c r="D17" i="22"/>
  <c r="C17" i="21"/>
  <c r="C28" i="21"/>
  <c r="D28" i="22"/>
  <c r="D14" i="22"/>
  <c r="C14" i="21"/>
  <c r="D21" i="22"/>
  <c r="C21" i="21"/>
  <c r="C9" i="21"/>
  <c r="D9" i="22"/>
  <c r="C18" i="21"/>
  <c r="D18" i="22"/>
  <c r="D13" i="22"/>
  <c r="C13" i="21"/>
  <c r="D20" i="22"/>
  <c r="C20" i="21"/>
  <c r="C31" i="21"/>
  <c r="D31" i="22"/>
  <c r="C25" i="21"/>
  <c r="D25" i="22"/>
  <c r="D7" i="22"/>
  <c r="C7" i="21"/>
  <c r="D11" i="22"/>
  <c r="C11" i="21"/>
  <c r="C16" i="21"/>
  <c r="D16" i="22"/>
  <c r="C24" i="21"/>
  <c r="D24" i="22"/>
  <c r="D19" i="22"/>
  <c r="C19" i="21"/>
  <c r="C12" i="21"/>
  <c r="D12" i="22"/>
  <c r="D26" i="22"/>
  <c r="C26" i="21"/>
  <c r="D27" i="22"/>
  <c r="C27" i="21"/>
  <c r="D23" i="22"/>
  <c r="C23" i="21"/>
  <c r="O16" i="22"/>
  <c r="N16" i="21"/>
  <c r="N23" i="21"/>
  <c r="O23" i="22"/>
  <c r="O11" i="22"/>
  <c r="N11" i="21"/>
  <c r="O9" i="22"/>
  <c r="N9" i="21"/>
  <c r="N15" i="21"/>
  <c r="O15" i="22"/>
  <c r="O24" i="22"/>
  <c r="N24" i="21"/>
  <c r="O10" i="22"/>
  <c r="N10" i="21"/>
  <c r="N18" i="21"/>
  <c r="O18" i="22"/>
  <c r="N27" i="21"/>
  <c r="O27" i="22"/>
  <c r="N7" i="21"/>
  <c r="O7" i="22"/>
  <c r="N21" i="21"/>
  <c r="O21" i="22"/>
  <c r="O22" i="22"/>
  <c r="N22" i="21"/>
  <c r="O26" i="22"/>
  <c r="N26" i="21"/>
  <c r="O12" i="22"/>
  <c r="N12" i="21"/>
  <c r="O17" i="22"/>
  <c r="N17" i="21"/>
  <c r="N25" i="21"/>
  <c r="O25" i="22"/>
  <c r="O20" i="22"/>
  <c r="N20" i="21"/>
  <c r="O13" i="22"/>
  <c r="N13" i="21"/>
  <c r="O28" i="22"/>
  <c r="N28" i="21"/>
  <c r="N6" i="21"/>
  <c r="O6" i="22"/>
  <c r="O19" i="22"/>
  <c r="N19" i="21"/>
  <c r="O14" i="22"/>
  <c r="N14" i="21"/>
  <c r="N8" i="21"/>
  <c r="O8" i="22"/>
  <c r="H16" i="21"/>
  <c r="I16" i="22"/>
  <c r="H27" i="21"/>
  <c r="I27" i="22"/>
  <c r="I10" i="22"/>
  <c r="H10" i="21"/>
  <c r="I11" i="22"/>
  <c r="H11" i="21"/>
  <c r="I26" i="22"/>
  <c r="H26" i="21"/>
  <c r="I12" i="22"/>
  <c r="H12" i="21"/>
  <c r="I20" i="22"/>
  <c r="H20" i="21"/>
  <c r="I28" i="22"/>
  <c r="H28" i="21"/>
  <c r="I22" i="22"/>
  <c r="H22" i="21"/>
  <c r="H18" i="21"/>
  <c r="I18" i="22"/>
  <c r="H8" i="21"/>
  <c r="I8" i="22"/>
  <c r="H21" i="21"/>
  <c r="I21" i="22"/>
  <c r="I15" i="22"/>
  <c r="H15" i="21"/>
  <c r="H24" i="21"/>
  <c r="I24" i="22"/>
  <c r="I19" i="22"/>
  <c r="H19" i="21"/>
  <c r="I17" i="22"/>
  <c r="H17" i="21"/>
  <c r="I23" i="22"/>
  <c r="H23" i="21"/>
  <c r="I14" i="22"/>
  <c r="H14" i="21"/>
  <c r="I25" i="22"/>
  <c r="H25" i="21"/>
  <c r="H6" i="21"/>
  <c r="I6" i="22"/>
  <c r="I13" i="22"/>
  <c r="H13" i="21"/>
  <c r="I9" i="22"/>
  <c r="H9" i="21"/>
  <c r="I7" i="22"/>
  <c r="H7" i="21"/>
  <c r="J19" i="22"/>
  <c r="I19" i="21"/>
  <c r="I17" i="21"/>
  <c r="J17" i="22"/>
  <c r="I22" i="21"/>
  <c r="J22" i="22"/>
  <c r="I20" i="21"/>
  <c r="J20" i="22"/>
  <c r="J8" i="22"/>
  <c r="I8" i="21"/>
  <c r="I13" i="21"/>
  <c r="J13" i="22"/>
  <c r="I28" i="21"/>
  <c r="J28" i="22"/>
  <c r="J16" i="22"/>
  <c r="I16" i="21"/>
  <c r="J10" i="22"/>
  <c r="I10" i="21"/>
  <c r="I26" i="21"/>
  <c r="J26" i="22"/>
  <c r="J12" i="22"/>
  <c r="I12" i="21"/>
  <c r="J25" i="22"/>
  <c r="I25" i="21"/>
  <c r="I6" i="21"/>
  <c r="J6" i="22"/>
  <c r="J15" i="22"/>
  <c r="I15" i="21"/>
  <c r="I23" i="21"/>
  <c r="J23" i="22"/>
  <c r="J27" i="22"/>
  <c r="I27" i="21"/>
  <c r="J24" i="22"/>
  <c r="I24" i="21"/>
  <c r="J7" i="22"/>
  <c r="I7" i="21"/>
  <c r="J9" i="22"/>
  <c r="I9" i="21"/>
  <c r="I14" i="21"/>
  <c r="J14" i="22"/>
  <c r="J21" i="22"/>
  <c r="I21" i="21"/>
  <c r="K17" i="22"/>
  <c r="J17" i="21"/>
  <c r="J12" i="21"/>
  <c r="K12" i="22"/>
  <c r="J6" i="21"/>
  <c r="K6" i="22"/>
  <c r="L15" i="22"/>
  <c r="K15" i="21"/>
  <c r="L11" i="22"/>
  <c r="K11" i="21"/>
  <c r="L19" i="22"/>
  <c r="K19" i="21"/>
  <c r="L24" i="22"/>
  <c r="K24" i="21"/>
  <c r="K13" i="21"/>
  <c r="L13" i="22"/>
  <c r="K7" i="21"/>
  <c r="L7" i="22"/>
  <c r="K23" i="21"/>
  <c r="L23" i="22"/>
  <c r="L20" i="22"/>
  <c r="K20" i="21"/>
  <c r="K28" i="21"/>
  <c r="L28" i="22"/>
  <c r="K9" i="21"/>
  <c r="L9" i="22"/>
  <c r="L21" i="22"/>
  <c r="K21" i="21"/>
  <c r="K14" i="21"/>
  <c r="L14" i="22"/>
  <c r="L10" i="22"/>
  <c r="K10" i="21"/>
  <c r="L16" i="22"/>
  <c r="K16" i="21"/>
  <c r="L17" i="22"/>
  <c r="K17" i="21"/>
  <c r="K12" i="21"/>
  <c r="L12" i="22"/>
  <c r="L26" i="22"/>
  <c r="K26" i="21"/>
  <c r="K25" i="21"/>
  <c r="L25" i="22"/>
  <c r="L18" i="22"/>
  <c r="K18" i="21"/>
  <c r="L27" i="22"/>
  <c r="K27" i="21"/>
  <c r="L6" i="22"/>
  <c r="K6" i="21"/>
  <c r="L8" i="22"/>
  <c r="K8" i="21"/>
  <c r="M19" i="21"/>
  <c r="N19" i="22"/>
  <c r="M17" i="21"/>
  <c r="N17" i="22"/>
  <c r="N23" i="22"/>
  <c r="M23" i="21"/>
  <c r="N26" i="22"/>
  <c r="M26" i="21"/>
  <c r="M14" i="21"/>
  <c r="N14" i="22"/>
  <c r="N13" i="22"/>
  <c r="M13" i="21"/>
  <c r="M16" i="21"/>
  <c r="N16" i="22"/>
  <c r="N7" i="22"/>
  <c r="M7" i="21"/>
  <c r="N15" i="22"/>
  <c r="M15" i="21"/>
  <c r="N10" i="22"/>
  <c r="M10" i="21"/>
  <c r="M25" i="21"/>
  <c r="N25" i="22"/>
  <c r="M9" i="21"/>
  <c r="N9" i="22"/>
  <c r="N12" i="22"/>
  <c r="M12" i="21"/>
  <c r="M11" i="21"/>
  <c r="N11" i="22"/>
  <c r="N28" i="22"/>
  <c r="M28" i="21"/>
  <c r="N18" i="22"/>
  <c r="M18" i="21"/>
  <c r="N20" i="22"/>
  <c r="M20" i="21"/>
  <c r="M24" i="21"/>
  <c r="N24" i="22"/>
  <c r="M27" i="21"/>
  <c r="N27" i="22"/>
  <c r="M22" i="21"/>
  <c r="N22" i="22"/>
  <c r="N6" i="22"/>
  <c r="M6" i="21"/>
  <c r="N21" i="22"/>
  <c r="M21" i="21"/>
  <c r="M8" i="21"/>
  <c r="N8" i="22"/>
  <c r="P31" i="22"/>
  <c r="O31" i="21"/>
  <c r="O53" i="21"/>
  <c r="P53" i="22"/>
  <c r="P7" i="22"/>
  <c r="O7" i="21"/>
  <c r="O76" i="21"/>
  <c r="O91" i="21"/>
  <c r="P56" i="22"/>
  <c r="O56" i="21"/>
  <c r="P14" i="22"/>
  <c r="O14" i="21"/>
  <c r="O99" i="21"/>
  <c r="P99" i="22"/>
  <c r="O68" i="21"/>
  <c r="O74" i="21"/>
  <c r="P60" i="22"/>
  <c r="O60" i="21"/>
  <c r="O79" i="21"/>
  <c r="O11" i="21"/>
  <c r="P11" i="22"/>
  <c r="O92" i="21"/>
  <c r="O86" i="21"/>
  <c r="O85" i="21"/>
  <c r="P50" i="22"/>
  <c r="O50" i="21"/>
  <c r="O75" i="21"/>
  <c r="P18" i="22"/>
  <c r="O18" i="21"/>
  <c r="P40" i="22"/>
  <c r="O40" i="21"/>
  <c r="P49" i="22"/>
  <c r="O49" i="21"/>
  <c r="P10" i="22"/>
  <c r="O10" i="21"/>
  <c r="P62" i="22"/>
  <c r="O62" i="21"/>
  <c r="O87" i="21"/>
  <c r="P24" i="22"/>
  <c r="O24" i="21"/>
  <c r="P52" i="22"/>
  <c r="O52" i="21"/>
  <c r="P61" i="22"/>
  <c r="O61" i="21"/>
  <c r="P13" i="22"/>
  <c r="O13" i="21"/>
  <c r="P58" i="22"/>
  <c r="O58" i="21"/>
  <c r="O83" i="21"/>
  <c r="P22" i="22"/>
  <c r="O22" i="21"/>
  <c r="P48" i="22"/>
  <c r="O48" i="21"/>
  <c r="P57" i="22"/>
  <c r="O57" i="21"/>
  <c r="P12" i="22"/>
  <c r="O12" i="21"/>
  <c r="O70" i="21"/>
  <c r="O69" i="21"/>
  <c r="O20" i="21"/>
  <c r="P20" i="22"/>
  <c r="O6" i="21"/>
  <c r="P6" i="22"/>
  <c r="P28" i="22"/>
  <c r="O28" i="21"/>
  <c r="O101" i="21"/>
  <c r="O23" i="21"/>
  <c r="P23" i="22"/>
  <c r="P34" i="22"/>
  <c r="O34" i="21"/>
  <c r="P59" i="22"/>
  <c r="O59" i="21"/>
  <c r="O88" i="21"/>
  <c r="P97" i="22"/>
  <c r="O97" i="21"/>
  <c r="P33" i="22"/>
  <c r="O33" i="21"/>
  <c r="O46" i="21"/>
  <c r="P46" i="22"/>
  <c r="O71" i="21"/>
  <c r="O16" i="21"/>
  <c r="P16" i="22"/>
  <c r="O36" i="21"/>
  <c r="P36" i="22"/>
  <c r="O45" i="21"/>
  <c r="P45" i="22"/>
  <c r="O9" i="21"/>
  <c r="P9" i="22"/>
  <c r="P42" i="22"/>
  <c r="O42" i="21"/>
  <c r="O67" i="21"/>
  <c r="O96" i="21"/>
  <c r="P32" i="22"/>
  <c r="O32" i="21"/>
  <c r="P41" i="22"/>
  <c r="O41" i="21"/>
  <c r="P8" i="22"/>
  <c r="O8" i="21"/>
  <c r="O95" i="21"/>
  <c r="P15" i="22"/>
  <c r="O15" i="21"/>
  <c r="O44" i="21"/>
  <c r="P44" i="22"/>
  <c r="P38" i="22"/>
  <c r="O38" i="21"/>
  <c r="P37" i="22"/>
  <c r="O37" i="21"/>
  <c r="O47" i="21"/>
  <c r="P47" i="22"/>
  <c r="O82" i="21"/>
  <c r="O100" i="21"/>
  <c r="P43" i="22"/>
  <c r="O43" i="21"/>
  <c r="O72" i="21"/>
  <c r="O81" i="21"/>
  <c r="P21" i="22"/>
  <c r="O21" i="21"/>
  <c r="O94" i="21"/>
  <c r="P30" i="22"/>
  <c r="O30" i="21"/>
  <c r="P55" i="22"/>
  <c r="O55" i="21"/>
  <c r="O84" i="21"/>
  <c r="O93" i="21"/>
  <c r="P29" i="22"/>
  <c r="O29" i="21"/>
  <c r="O90" i="21"/>
  <c r="P26" i="22"/>
  <c r="O26" i="21"/>
  <c r="P51" i="22"/>
  <c r="O51" i="21"/>
  <c r="O80" i="21"/>
  <c r="O89" i="21"/>
  <c r="P25" i="22"/>
  <c r="O25" i="21"/>
  <c r="O54" i="21"/>
  <c r="P54" i="22"/>
  <c r="P63" i="22"/>
  <c r="O63" i="21"/>
  <c r="O66" i="21"/>
  <c r="P27" i="22"/>
  <c r="O27" i="21"/>
  <c r="P65" i="22"/>
  <c r="O65" i="21"/>
  <c r="O78" i="21"/>
  <c r="O39" i="21"/>
  <c r="P39" i="22"/>
  <c r="O77" i="21"/>
  <c r="O19" i="21"/>
  <c r="P19" i="22"/>
  <c r="P98" i="22"/>
  <c r="O98" i="21"/>
  <c r="P35" i="22"/>
  <c r="O35" i="21"/>
  <c r="P64" i="22"/>
  <c r="O64" i="21"/>
  <c r="O73" i="21"/>
  <c r="P17" i="22"/>
  <c r="O17" i="21"/>
  <c r="Q23" i="1"/>
  <c r="G17" i="22" l="1"/>
  <c r="G7" i="22"/>
  <c r="J25" i="21"/>
  <c r="K11" i="22"/>
  <c r="K23" i="22"/>
  <c r="G11" i="22"/>
  <c r="G16" i="22"/>
  <c r="G19" i="22"/>
  <c r="F13" i="21"/>
  <c r="F14" i="21"/>
  <c r="F15" i="21"/>
  <c r="G8" i="22"/>
  <c r="G21" i="22"/>
  <c r="F25" i="21"/>
  <c r="G18" i="22"/>
  <c r="G22" i="22"/>
  <c r="F27" i="21"/>
  <c r="F10" i="21"/>
  <c r="K14" i="22"/>
  <c r="J9" i="21"/>
  <c r="J10" i="21"/>
  <c r="J16" i="21"/>
  <c r="K24" i="22"/>
  <c r="K22" i="22"/>
  <c r="J27" i="21"/>
  <c r="J26" i="21"/>
  <c r="K13" i="22"/>
  <c r="K18" i="22"/>
  <c r="J15" i="21"/>
  <c r="K7" i="22"/>
  <c r="K19" i="22"/>
  <c r="G9" i="22"/>
  <c r="G12" i="22"/>
  <c r="F26" i="21"/>
  <c r="F24" i="21"/>
  <c r="J20" i="21"/>
  <c r="J21" i="21"/>
  <c r="J8" i="21"/>
  <c r="J28" i="21"/>
  <c r="F23" i="21"/>
  <c r="D58" i="6"/>
  <c r="D33" i="6"/>
  <c r="F28" i="19"/>
  <c r="F28" i="20" s="1"/>
  <c r="D33" i="5"/>
  <c r="F33" i="5" s="1"/>
  <c r="C25" i="23" s="1"/>
  <c r="D47" i="5"/>
  <c r="F47" i="5" s="1"/>
  <c r="C39" i="23" s="1"/>
  <c r="F42" i="19"/>
  <c r="F42" i="20" s="1"/>
  <c r="F42" i="22" s="1"/>
  <c r="D95" i="22"/>
  <c r="G30" i="19"/>
  <c r="G30" i="20" s="1"/>
  <c r="D41" i="22"/>
  <c r="C61" i="21"/>
  <c r="D59" i="21"/>
  <c r="D77" i="28"/>
  <c r="H77" i="28" s="1"/>
  <c r="B72" i="20"/>
  <c r="B72" i="22" s="1"/>
  <c r="D58" i="28"/>
  <c r="H58" i="28" s="1"/>
  <c r="B53" i="20"/>
  <c r="B53" i="22" s="1"/>
  <c r="D74" i="28"/>
  <c r="H74" i="28" s="1"/>
  <c r="B69" i="20"/>
  <c r="B69" i="22" s="1"/>
  <c r="D90" i="28"/>
  <c r="B85" i="20"/>
  <c r="B85" i="22" s="1"/>
  <c r="D106" i="28"/>
  <c r="B101" i="20"/>
  <c r="B101" i="22" s="1"/>
  <c r="D93" i="28"/>
  <c r="B88" i="20"/>
  <c r="B88" i="22" s="1"/>
  <c r="D63" i="28"/>
  <c r="H63" i="28" s="1"/>
  <c r="B58" i="20"/>
  <c r="B58" i="22" s="1"/>
  <c r="D79" i="28"/>
  <c r="H79" i="28" s="1"/>
  <c r="B74" i="20"/>
  <c r="B74" i="22" s="1"/>
  <c r="D95" i="28"/>
  <c r="H95" i="28" s="1"/>
  <c r="B90" i="20"/>
  <c r="B90" i="22" s="1"/>
  <c r="D73" i="28"/>
  <c r="H73" i="28" s="1"/>
  <c r="B68" i="20"/>
  <c r="B68" i="22" s="1"/>
  <c r="D60" i="28"/>
  <c r="H60" i="28" s="1"/>
  <c r="B55" i="20"/>
  <c r="B55" i="22" s="1"/>
  <c r="D76" i="28"/>
  <c r="H76" i="28" s="1"/>
  <c r="B71" i="20"/>
  <c r="B71" i="22" s="1"/>
  <c r="D92" i="28"/>
  <c r="H92" i="28" s="1"/>
  <c r="B87" i="20"/>
  <c r="B87" i="22" s="1"/>
  <c r="D41" i="28"/>
  <c r="B36" i="20"/>
  <c r="B36" i="22" s="1"/>
  <c r="D45" i="28"/>
  <c r="B40" i="20"/>
  <c r="B40" i="22" s="1"/>
  <c r="D49" i="28"/>
  <c r="H49" i="28" s="1"/>
  <c r="B44" i="20"/>
  <c r="B44" i="22" s="1"/>
  <c r="D52" i="28"/>
  <c r="H52" i="28" s="1"/>
  <c r="B47" i="20"/>
  <c r="B47" i="22" s="1"/>
  <c r="D89" i="28"/>
  <c r="B84" i="20"/>
  <c r="B84" i="22" s="1"/>
  <c r="D62" i="28"/>
  <c r="H62" i="28" s="1"/>
  <c r="B57" i="20"/>
  <c r="B57" i="22" s="1"/>
  <c r="D78" i="28"/>
  <c r="H78" i="28" s="1"/>
  <c r="B73" i="20"/>
  <c r="B73" i="22" s="1"/>
  <c r="D94" i="28"/>
  <c r="B89" i="20"/>
  <c r="B89" i="22" s="1"/>
  <c r="D57" i="28"/>
  <c r="H57" i="28" s="1"/>
  <c r="B52" i="20"/>
  <c r="B52" i="22" s="1"/>
  <c r="D105" i="28"/>
  <c r="B100" i="20"/>
  <c r="B100" i="22" s="1"/>
  <c r="D67" i="28"/>
  <c r="H67" i="28" s="1"/>
  <c r="B62" i="20"/>
  <c r="B62" i="22" s="1"/>
  <c r="D83" i="28"/>
  <c r="H83" i="28" s="1"/>
  <c r="B78" i="20"/>
  <c r="B78" i="22" s="1"/>
  <c r="D99" i="28"/>
  <c r="B94" i="20"/>
  <c r="B94" i="22" s="1"/>
  <c r="D85" i="28"/>
  <c r="B80" i="20"/>
  <c r="B80" i="22" s="1"/>
  <c r="D64" i="28"/>
  <c r="H64" i="28" s="1"/>
  <c r="B59" i="20"/>
  <c r="B59" i="22" s="1"/>
  <c r="D80" i="28"/>
  <c r="B75" i="20"/>
  <c r="B75" i="22" s="1"/>
  <c r="D96" i="28"/>
  <c r="H96" i="28" s="1"/>
  <c r="B91" i="20"/>
  <c r="B91" i="22" s="1"/>
  <c r="D42" i="28"/>
  <c r="B37" i="20"/>
  <c r="B37" i="22" s="1"/>
  <c r="D43" i="28"/>
  <c r="B38" i="20"/>
  <c r="B38" i="22" s="1"/>
  <c r="D40" i="28"/>
  <c r="B35" i="20"/>
  <c r="B35" i="22" s="1"/>
  <c r="D38" i="28"/>
  <c r="B33" i="20"/>
  <c r="B33" i="22" s="1"/>
  <c r="D53" i="28"/>
  <c r="H53" i="28" s="1"/>
  <c r="B48" i="20"/>
  <c r="B48" i="22" s="1"/>
  <c r="D101" i="28"/>
  <c r="B96" i="20"/>
  <c r="B96" i="22" s="1"/>
  <c r="D66" i="28"/>
  <c r="H66" i="28" s="1"/>
  <c r="B61" i="20"/>
  <c r="B61" i="22" s="1"/>
  <c r="D82" i="28"/>
  <c r="H82" i="28" s="1"/>
  <c r="B77" i="20"/>
  <c r="B77" i="22" s="1"/>
  <c r="D98" i="28"/>
  <c r="H98" i="28" s="1"/>
  <c r="B93" i="20"/>
  <c r="B93" i="22" s="1"/>
  <c r="D69" i="28"/>
  <c r="H69" i="28" s="1"/>
  <c r="B64" i="20"/>
  <c r="B64" i="22" s="1"/>
  <c r="D55" i="28"/>
  <c r="H55" i="28" s="1"/>
  <c r="B50" i="20"/>
  <c r="B50" i="22" s="1"/>
  <c r="D71" i="28"/>
  <c r="H71" i="28" s="1"/>
  <c r="B66" i="20"/>
  <c r="B66" i="22" s="1"/>
  <c r="D87" i="28"/>
  <c r="H87" i="28" s="1"/>
  <c r="B82" i="20"/>
  <c r="B82" i="22" s="1"/>
  <c r="D103" i="28"/>
  <c r="B98" i="20"/>
  <c r="B98" i="22" s="1"/>
  <c r="D97" i="28"/>
  <c r="B92" i="20"/>
  <c r="B92" i="22" s="1"/>
  <c r="D68" i="28"/>
  <c r="H68" i="28" s="1"/>
  <c r="B63" i="20"/>
  <c r="B63" i="22" s="1"/>
  <c r="D84" i="28"/>
  <c r="B79" i="20"/>
  <c r="B79" i="22" s="1"/>
  <c r="D100" i="28"/>
  <c r="B95" i="20"/>
  <c r="B95" i="22" s="1"/>
  <c r="D46" i="28"/>
  <c r="H46" i="28" s="1"/>
  <c r="B41" i="20"/>
  <c r="B41" i="22" s="1"/>
  <c r="D47" i="28"/>
  <c r="H47" i="28" s="1"/>
  <c r="B42" i="20"/>
  <c r="B42" i="22" s="1"/>
  <c r="D44" i="28"/>
  <c r="B39" i="20"/>
  <c r="B39" i="22" s="1"/>
  <c r="D37" i="28"/>
  <c r="B32" i="20"/>
  <c r="B32" i="22" s="1"/>
  <c r="D65" i="28"/>
  <c r="H65" i="28" s="1"/>
  <c r="B60" i="20"/>
  <c r="B60" i="22" s="1"/>
  <c r="D54" i="28"/>
  <c r="H54" i="28" s="1"/>
  <c r="B49" i="20"/>
  <c r="B49" i="22" s="1"/>
  <c r="D70" i="28"/>
  <c r="H70" i="28" s="1"/>
  <c r="B65" i="20"/>
  <c r="B65" i="22" s="1"/>
  <c r="D86" i="28"/>
  <c r="H86" i="28" s="1"/>
  <c r="B81" i="20"/>
  <c r="B81" i="22" s="1"/>
  <c r="D102" i="28"/>
  <c r="H102" i="28" s="1"/>
  <c r="B97" i="20"/>
  <c r="B97" i="22" s="1"/>
  <c r="D81" i="28"/>
  <c r="H81" i="28" s="1"/>
  <c r="B76" i="20"/>
  <c r="B76" i="22" s="1"/>
  <c r="D59" i="28"/>
  <c r="H59" i="28" s="1"/>
  <c r="B54" i="20"/>
  <c r="B54" i="22" s="1"/>
  <c r="D75" i="28"/>
  <c r="H75" i="28" s="1"/>
  <c r="B70" i="20"/>
  <c r="B70" i="22" s="1"/>
  <c r="D91" i="28"/>
  <c r="H91" i="28" s="1"/>
  <c r="B86" i="20"/>
  <c r="B86" i="22" s="1"/>
  <c r="D61" i="28"/>
  <c r="H61" i="28" s="1"/>
  <c r="B56" i="20"/>
  <c r="B56" i="22" s="1"/>
  <c r="D56" i="28"/>
  <c r="H56" i="28" s="1"/>
  <c r="B51" i="20"/>
  <c r="B51" i="22" s="1"/>
  <c r="D72" i="28"/>
  <c r="H72" i="28" s="1"/>
  <c r="B67" i="20"/>
  <c r="B67" i="22" s="1"/>
  <c r="D88" i="28"/>
  <c r="H88" i="28" s="1"/>
  <c r="B83" i="20"/>
  <c r="B83" i="22" s="1"/>
  <c r="D104" i="28"/>
  <c r="B99" i="20"/>
  <c r="B99" i="22" s="1"/>
  <c r="D50" i="28"/>
  <c r="H50" i="28" s="1"/>
  <c r="B45" i="20"/>
  <c r="B45" i="22" s="1"/>
  <c r="D51" i="28"/>
  <c r="H51" i="28" s="1"/>
  <c r="B46" i="20"/>
  <c r="B46" i="22" s="1"/>
  <c r="D48" i="28"/>
  <c r="H48" i="28" s="1"/>
  <c r="B43" i="20"/>
  <c r="B43" i="22" s="1"/>
  <c r="D39" i="28"/>
  <c r="B34" i="20"/>
  <c r="B34" i="22" s="1"/>
  <c r="D83" i="22"/>
  <c r="C67" i="21"/>
  <c r="D44" i="22"/>
  <c r="C78" i="21"/>
  <c r="C72" i="21"/>
  <c r="D79" i="22"/>
  <c r="D86" i="22"/>
  <c r="E53" i="22"/>
  <c r="C96" i="21"/>
  <c r="C94" i="21"/>
  <c r="E94" i="22"/>
  <c r="D38" i="22"/>
  <c r="C76" i="21"/>
  <c r="D56" i="22"/>
  <c r="C84" i="21"/>
  <c r="E68" i="22"/>
  <c r="D34" i="22"/>
  <c r="C46" i="21"/>
  <c r="D90" i="22"/>
  <c r="C51" i="21"/>
  <c r="C75" i="21"/>
  <c r="D79" i="21"/>
  <c r="E96" i="21"/>
  <c r="C58" i="21"/>
  <c r="D65" i="22"/>
  <c r="D66" i="22"/>
  <c r="D47" i="22"/>
  <c r="C71" i="21"/>
  <c r="E81" i="22"/>
  <c r="D91" i="21"/>
  <c r="E83" i="22"/>
  <c r="E62" i="22"/>
  <c r="F101" i="22"/>
  <c r="D54" i="22"/>
  <c r="D50" i="22"/>
  <c r="D48" i="22"/>
  <c r="D65" i="21"/>
  <c r="D87" i="21"/>
  <c r="E56" i="22"/>
  <c r="D57" i="21"/>
  <c r="E88" i="22"/>
  <c r="G48" i="22"/>
  <c r="D35" i="6"/>
  <c r="C100" i="21"/>
  <c r="D80" i="22"/>
  <c r="D99" i="22"/>
  <c r="E54" i="22"/>
  <c r="E50" i="22"/>
  <c r="E30" i="22"/>
  <c r="G81" i="20"/>
  <c r="G81" i="22" s="1"/>
  <c r="D74" i="5"/>
  <c r="F74" i="5" s="1"/>
  <c r="C66" i="23" s="1"/>
  <c r="F69" i="20"/>
  <c r="G41" i="20"/>
  <c r="E75" i="22"/>
  <c r="D75" i="21"/>
  <c r="C62" i="21"/>
  <c r="D62" i="22"/>
  <c r="D68" i="22"/>
  <c r="C68" i="21"/>
  <c r="C87" i="21"/>
  <c r="D87" i="22"/>
  <c r="D101" i="22"/>
  <c r="D80" i="21"/>
  <c r="G90" i="20"/>
  <c r="F73" i="20"/>
  <c r="F78" i="20"/>
  <c r="G91" i="20"/>
  <c r="D73" i="5"/>
  <c r="F73" i="5" s="1"/>
  <c r="C65" i="23" s="1"/>
  <c r="F68" i="20"/>
  <c r="F68" i="22" s="1"/>
  <c r="D36" i="5"/>
  <c r="F36" i="5" s="1"/>
  <c r="C28" i="23" s="1"/>
  <c r="F31" i="20"/>
  <c r="E31" i="21" s="1"/>
  <c r="E101" i="22"/>
  <c r="D101" i="21"/>
  <c r="E67" i="22"/>
  <c r="D67" i="21"/>
  <c r="C92" i="21"/>
  <c r="D92" i="22"/>
  <c r="E99" i="22"/>
  <c r="D99" i="21"/>
  <c r="D36" i="22"/>
  <c r="C36" i="21"/>
  <c r="D70" i="22"/>
  <c r="C70" i="21"/>
  <c r="E90" i="22"/>
  <c r="D90" i="21"/>
  <c r="D40" i="6"/>
  <c r="G35" i="20"/>
  <c r="G35" i="22" s="1"/>
  <c r="G45" i="20"/>
  <c r="C93" i="21"/>
  <c r="D93" i="22"/>
  <c r="C32" i="21"/>
  <c r="E60" i="22"/>
  <c r="G53" i="22"/>
  <c r="G97" i="20"/>
  <c r="G97" i="22" s="1"/>
  <c r="G75" i="20"/>
  <c r="G78" i="20"/>
  <c r="G78" i="22" s="1"/>
  <c r="D70" i="6"/>
  <c r="G65" i="20"/>
  <c r="G65" i="22" s="1"/>
  <c r="D84" i="6"/>
  <c r="G79" i="20"/>
  <c r="F79" i="21" s="1"/>
  <c r="D67" i="6"/>
  <c r="G62" i="20"/>
  <c r="G62" i="22" s="1"/>
  <c r="D82" i="6"/>
  <c r="G77" i="20"/>
  <c r="G77" i="22" s="1"/>
  <c r="G93" i="20"/>
  <c r="G83" i="20"/>
  <c r="F83" i="21" s="1"/>
  <c r="G64" i="20"/>
  <c r="F48" i="20"/>
  <c r="F61" i="20"/>
  <c r="F93" i="20"/>
  <c r="E93" i="21" s="1"/>
  <c r="F91" i="20"/>
  <c r="F30" i="20"/>
  <c r="E30" i="21" s="1"/>
  <c r="F53" i="22"/>
  <c r="E53" i="21"/>
  <c r="D97" i="21"/>
  <c r="E97" i="22"/>
  <c r="E73" i="22"/>
  <c r="D73" i="21"/>
  <c r="D91" i="22"/>
  <c r="C91" i="21"/>
  <c r="E71" i="22"/>
  <c r="D71" i="21"/>
  <c r="D78" i="21"/>
  <c r="E78" i="22"/>
  <c r="C98" i="21"/>
  <c r="D98" i="22"/>
  <c r="E100" i="22"/>
  <c r="D100" i="21"/>
  <c r="E82" i="22"/>
  <c r="D82" i="21"/>
  <c r="D49" i="5"/>
  <c r="F49" i="5" s="1"/>
  <c r="C41" i="23" s="1"/>
  <c r="F44" i="20"/>
  <c r="E44" i="21" s="1"/>
  <c r="G36" i="20"/>
  <c r="G43" i="20"/>
  <c r="G43" i="22" s="1"/>
  <c r="G28" i="22"/>
  <c r="F28" i="21"/>
  <c r="D53" i="22"/>
  <c r="E70" i="22"/>
  <c r="E63" i="22"/>
  <c r="D102" i="5"/>
  <c r="F97" i="20"/>
  <c r="E97" i="21" s="1"/>
  <c r="F100" i="20"/>
  <c r="F85" i="20"/>
  <c r="D88" i="5"/>
  <c r="F88" i="5" s="1"/>
  <c r="C80" i="23" s="1"/>
  <c r="F83" i="20"/>
  <c r="F83" i="22" s="1"/>
  <c r="D57" i="5"/>
  <c r="F57" i="5" s="1"/>
  <c r="C49" i="23" s="1"/>
  <c r="F52" i="20"/>
  <c r="F52" i="22" s="1"/>
  <c r="D84" i="21"/>
  <c r="E84" i="22"/>
  <c r="D92" i="21"/>
  <c r="E92" i="22"/>
  <c r="E86" i="22"/>
  <c r="D86" i="21"/>
  <c r="D55" i="21"/>
  <c r="E55" i="22"/>
  <c r="D88" i="22"/>
  <c r="C88" i="21"/>
  <c r="E51" i="22"/>
  <c r="D51" i="21"/>
  <c r="E61" i="22"/>
  <c r="D61" i="21"/>
  <c r="D64" i="22"/>
  <c r="C64" i="21"/>
  <c r="G54" i="20"/>
  <c r="G66" i="20"/>
  <c r="D74" i="6"/>
  <c r="G69" i="20"/>
  <c r="G69" i="22" s="1"/>
  <c r="D89" i="6"/>
  <c r="G84" i="20"/>
  <c r="F84" i="21" s="1"/>
  <c r="D55" i="6"/>
  <c r="G50" i="20"/>
  <c r="G50" i="22" s="1"/>
  <c r="G80" i="20"/>
  <c r="D68" i="6"/>
  <c r="G96" i="20"/>
  <c r="G71" i="20"/>
  <c r="G71" i="22" s="1"/>
  <c r="D99" i="6"/>
  <c r="G94" i="20"/>
  <c r="F94" i="21" s="1"/>
  <c r="G92" i="20"/>
  <c r="G92" i="22" s="1"/>
  <c r="F95" i="20"/>
  <c r="F75" i="20"/>
  <c r="F32" i="20"/>
  <c r="D51" i="5"/>
  <c r="F51" i="5" s="1"/>
  <c r="C43" i="23" s="1"/>
  <c r="F46" i="20"/>
  <c r="F46" i="22" s="1"/>
  <c r="F58" i="20"/>
  <c r="F87" i="20"/>
  <c r="F76" i="20"/>
  <c r="D90" i="6"/>
  <c r="G85" i="20"/>
  <c r="F85" i="21" s="1"/>
  <c r="F63" i="20"/>
  <c r="F59" i="20"/>
  <c r="F51" i="20"/>
  <c r="D50" i="5"/>
  <c r="F50" i="5" s="1"/>
  <c r="C42" i="23" s="1"/>
  <c r="F45" i="20"/>
  <c r="E45" i="21" s="1"/>
  <c r="D99" i="5"/>
  <c r="F94" i="20"/>
  <c r="F94" i="22" s="1"/>
  <c r="D61" i="5"/>
  <c r="F61" i="5" s="1"/>
  <c r="C53" i="23" s="1"/>
  <c r="F56" i="20"/>
  <c r="E56" i="21" s="1"/>
  <c r="F82" i="20"/>
  <c r="G61" i="20"/>
  <c r="F84" i="20"/>
  <c r="D39" i="6"/>
  <c r="G34" i="20"/>
  <c r="F34" i="21" s="1"/>
  <c r="D36" i="6"/>
  <c r="G31" i="20"/>
  <c r="F31" i="21" s="1"/>
  <c r="G44" i="20"/>
  <c r="G44" i="22" s="1"/>
  <c r="D37" i="6"/>
  <c r="G32" i="20"/>
  <c r="G32" i="22" s="1"/>
  <c r="G100" i="20"/>
  <c r="D60" i="6"/>
  <c r="G55" i="20"/>
  <c r="G55" i="22" s="1"/>
  <c r="G57" i="20"/>
  <c r="G87" i="20"/>
  <c r="D75" i="6"/>
  <c r="G70" i="20"/>
  <c r="G70" i="22" s="1"/>
  <c r="D81" i="6"/>
  <c r="G76" i="20"/>
  <c r="G58" i="20"/>
  <c r="G72" i="20"/>
  <c r="G98" i="20"/>
  <c r="G101" i="20"/>
  <c r="G82" i="20"/>
  <c r="G86" i="20"/>
  <c r="D75" i="5"/>
  <c r="F75" i="5" s="1"/>
  <c r="C67" i="23" s="1"/>
  <c r="F70" i="20"/>
  <c r="E70" i="21" s="1"/>
  <c r="F98" i="20"/>
  <c r="F67" i="20"/>
  <c r="D40" i="5"/>
  <c r="F40" i="5" s="1"/>
  <c r="C32" i="23" s="1"/>
  <c r="F35" i="20"/>
  <c r="E35" i="21" s="1"/>
  <c r="D91" i="5"/>
  <c r="F91" i="5" s="1"/>
  <c r="C83" i="23" s="1"/>
  <c r="F86" i="20"/>
  <c r="F86" i="22" s="1"/>
  <c r="F54" i="20"/>
  <c r="D46" i="5"/>
  <c r="F46" i="5" s="1"/>
  <c r="C38" i="23" s="1"/>
  <c r="F41" i="20"/>
  <c r="F41" i="22" s="1"/>
  <c r="D54" i="5"/>
  <c r="F54" i="5" s="1"/>
  <c r="C46" i="23" s="1"/>
  <c r="F49" i="20"/>
  <c r="F49" i="22" s="1"/>
  <c r="F62" i="20"/>
  <c r="F43" i="20"/>
  <c r="F71" i="20"/>
  <c r="D104" i="5"/>
  <c r="F99" i="20"/>
  <c r="E99" i="21" s="1"/>
  <c r="F72" i="20"/>
  <c r="D86" i="5"/>
  <c r="F86" i="5" s="1"/>
  <c r="C78" i="23" s="1"/>
  <c r="F81" i="20"/>
  <c r="E81" i="21" s="1"/>
  <c r="D52" i="6"/>
  <c r="G47" i="20"/>
  <c r="F47" i="21" s="1"/>
  <c r="G33" i="20"/>
  <c r="D42" i="6"/>
  <c r="G37" i="20"/>
  <c r="G37" i="22" s="1"/>
  <c r="G40" i="20"/>
  <c r="G46" i="20"/>
  <c r="G67" i="20"/>
  <c r="G56" i="20"/>
  <c r="D104" i="6"/>
  <c r="G99" i="20"/>
  <c r="G99" i="22" s="1"/>
  <c r="D56" i="6"/>
  <c r="G51" i="20"/>
  <c r="G60" i="20"/>
  <c r="D64" i="6"/>
  <c r="G59" i="20"/>
  <c r="F59" i="21" s="1"/>
  <c r="G89" i="20"/>
  <c r="G74" i="20"/>
  <c r="G73" i="20"/>
  <c r="F65" i="20"/>
  <c r="D62" i="5"/>
  <c r="F62" i="5" s="1"/>
  <c r="C54" i="23" s="1"/>
  <c r="F57" i="20"/>
  <c r="F57" i="22" s="1"/>
  <c r="F74" i="20"/>
  <c r="F50" i="20"/>
  <c r="F38" i="20"/>
  <c r="D93" i="6"/>
  <c r="G88" i="20"/>
  <c r="G88" i="22" s="1"/>
  <c r="F88" i="20"/>
  <c r="F89" i="20"/>
  <c r="E89" i="21" s="1"/>
  <c r="F40" i="20"/>
  <c r="F37" i="20"/>
  <c r="F92" i="20"/>
  <c r="F55" i="20"/>
  <c r="E55" i="21" s="1"/>
  <c r="D85" i="5"/>
  <c r="F85" i="5" s="1"/>
  <c r="C77" i="23" s="1"/>
  <c r="F80" i="20"/>
  <c r="F80" i="22" s="1"/>
  <c r="D44" i="5"/>
  <c r="F44" i="5" s="1"/>
  <c r="C36" i="23" s="1"/>
  <c r="F39" i="20"/>
  <c r="E39" i="21" s="1"/>
  <c r="D38" i="5"/>
  <c r="F38" i="5" s="1"/>
  <c r="C30" i="23" s="1"/>
  <c r="F33" i="20"/>
  <c r="F33" i="22" s="1"/>
  <c r="F79" i="20"/>
  <c r="F36" i="20"/>
  <c r="F34" i="20"/>
  <c r="F47" i="20"/>
  <c r="F66" i="20"/>
  <c r="E66" i="21" s="1"/>
  <c r="G38" i="20"/>
  <c r="G39" i="20"/>
  <c r="G42" i="20"/>
  <c r="G49" i="20"/>
  <c r="D34" i="6"/>
  <c r="G29" i="20"/>
  <c r="F29" i="20"/>
  <c r="D34" i="5"/>
  <c r="F34" i="5" s="1"/>
  <c r="C26" i="23" s="1"/>
  <c r="D51" i="6"/>
  <c r="D50" i="6"/>
  <c r="D41" i="6"/>
  <c r="D76" i="21"/>
  <c r="D48" i="6"/>
  <c r="D54" i="6"/>
  <c r="D47" i="6"/>
  <c r="D44" i="6"/>
  <c r="D43" i="6"/>
  <c r="D46" i="6"/>
  <c r="D49" i="6"/>
  <c r="D45" i="6"/>
  <c r="D38" i="6"/>
  <c r="D63" i="22"/>
  <c r="D39" i="5"/>
  <c r="F39" i="5" s="1"/>
  <c r="C31" i="23" s="1"/>
  <c r="E58" i="22"/>
  <c r="D37" i="5"/>
  <c r="F37" i="5" s="1"/>
  <c r="C29" i="23" s="1"/>
  <c r="D100" i="5"/>
  <c r="D52" i="5"/>
  <c r="F52" i="5" s="1"/>
  <c r="C44" i="23" s="1"/>
  <c r="D41" i="5"/>
  <c r="F41" i="5" s="1"/>
  <c r="C33" i="23" s="1"/>
  <c r="D69" i="21"/>
  <c r="D84" i="5"/>
  <c r="F84" i="5" s="1"/>
  <c r="C76" i="23" s="1"/>
  <c r="D92" i="5"/>
  <c r="D81" i="5"/>
  <c r="F81" i="5" s="1"/>
  <c r="C73" i="23" s="1"/>
  <c r="E96" i="22"/>
  <c r="D73" i="22"/>
  <c r="D71" i="5"/>
  <c r="F71" i="5" s="1"/>
  <c r="C63" i="23" s="1"/>
  <c r="D97" i="5"/>
  <c r="D49" i="22"/>
  <c r="D45" i="22"/>
  <c r="D64" i="21"/>
  <c r="D35" i="22"/>
  <c r="D42" i="22"/>
  <c r="D72" i="21"/>
  <c r="D68" i="5"/>
  <c r="F68" i="5" s="1"/>
  <c r="C60" i="23" s="1"/>
  <c r="C37" i="21"/>
  <c r="D94" i="6"/>
  <c r="D89" i="5"/>
  <c r="F89" i="5" s="1"/>
  <c r="C81" i="23" s="1"/>
  <c r="D80" i="5"/>
  <c r="F80" i="5" s="1"/>
  <c r="C72" i="23" s="1"/>
  <c r="D63" i="5"/>
  <c r="F63" i="5" s="1"/>
  <c r="C55" i="23" s="1"/>
  <c r="D83" i="5"/>
  <c r="F83" i="5" s="1"/>
  <c r="C75" i="23" s="1"/>
  <c r="D93" i="21"/>
  <c r="D96" i="6"/>
  <c r="D77" i="5"/>
  <c r="F77" i="5" s="1"/>
  <c r="C69" i="23" s="1"/>
  <c r="D56" i="5"/>
  <c r="F56" i="5" s="1"/>
  <c r="C48" i="23" s="1"/>
  <c r="D87" i="5"/>
  <c r="D65" i="6"/>
  <c r="C39" i="21"/>
  <c r="D66" i="6"/>
  <c r="D67" i="5"/>
  <c r="F67" i="5" s="1"/>
  <c r="C59" i="23" s="1"/>
  <c r="D64" i="5"/>
  <c r="F64" i="5" s="1"/>
  <c r="C56" i="23" s="1"/>
  <c r="D40" i="22"/>
  <c r="D48" i="5"/>
  <c r="F48" i="5" s="1"/>
  <c r="C40" i="23" s="1"/>
  <c r="D87" i="6"/>
  <c r="D76" i="5"/>
  <c r="F76" i="5" s="1"/>
  <c r="C68" i="23" s="1"/>
  <c r="D60" i="5"/>
  <c r="F60" i="5" s="1"/>
  <c r="C52" i="23" s="1"/>
  <c r="D97" i="22"/>
  <c r="D95" i="21"/>
  <c r="D59" i="5"/>
  <c r="F59" i="5" s="1"/>
  <c r="C51" i="23" s="1"/>
  <c r="D78" i="5"/>
  <c r="F78" i="5" s="1"/>
  <c r="C70" i="23" s="1"/>
  <c r="D103" i="5"/>
  <c r="D72" i="5"/>
  <c r="F72" i="5" s="1"/>
  <c r="C64" i="23" s="1"/>
  <c r="D69" i="6"/>
  <c r="E31" i="22"/>
  <c r="D95" i="6"/>
  <c r="D63" i="6"/>
  <c r="C55" i="21"/>
  <c r="D94" i="5"/>
  <c r="D55" i="5"/>
  <c r="F55" i="5" s="1"/>
  <c r="C47" i="23" s="1"/>
  <c r="D79" i="5"/>
  <c r="F79" i="5" s="1"/>
  <c r="C71" i="23" s="1"/>
  <c r="D35" i="5"/>
  <c r="F35" i="5" s="1"/>
  <c r="C27" i="23" s="1"/>
  <c r="D53" i="5"/>
  <c r="F53" i="5" s="1"/>
  <c r="C45" i="23" s="1"/>
  <c r="D45" i="5"/>
  <c r="F45" i="5" s="1"/>
  <c r="C37" i="23" s="1"/>
  <c r="D43" i="5"/>
  <c r="F43" i="5" s="1"/>
  <c r="C35" i="23" s="1"/>
  <c r="D42" i="5"/>
  <c r="F42" i="5" s="1"/>
  <c r="C34" i="23" s="1"/>
  <c r="D71" i="6"/>
  <c r="D93" i="5"/>
  <c r="D96" i="5"/>
  <c r="D66" i="5"/>
  <c r="F66" i="5" s="1"/>
  <c r="C58" i="23" s="1"/>
  <c r="D105" i="5"/>
  <c r="F60" i="20"/>
  <c r="D65" i="5"/>
  <c r="F65" i="5" s="1"/>
  <c r="C57" i="23" s="1"/>
  <c r="F77" i="20"/>
  <c r="D82" i="5"/>
  <c r="F82" i="5" s="1"/>
  <c r="C74" i="23" s="1"/>
  <c r="D69" i="5"/>
  <c r="F69" i="5" s="1"/>
  <c r="C61" i="23" s="1"/>
  <c r="F64" i="20"/>
  <c r="D98" i="6"/>
  <c r="D98" i="5"/>
  <c r="D90" i="5"/>
  <c r="F90" i="5" s="1"/>
  <c r="C82" i="23" s="1"/>
  <c r="D70" i="5"/>
  <c r="F70" i="5" s="1"/>
  <c r="C62" i="23" s="1"/>
  <c r="D95" i="5"/>
  <c r="F90" i="20"/>
  <c r="E85" i="22"/>
  <c r="E46" i="22"/>
  <c r="C85" i="21"/>
  <c r="D66" i="21"/>
  <c r="D36" i="21"/>
  <c r="D89" i="21"/>
  <c r="E74" i="22"/>
  <c r="E98" i="22"/>
  <c r="D74" i="22"/>
  <c r="C82" i="21"/>
  <c r="C77" i="21"/>
  <c r="C81" i="21"/>
  <c r="C59" i="21"/>
  <c r="D52" i="22"/>
  <c r="D33" i="22"/>
  <c r="D77" i="6"/>
  <c r="D97" i="6"/>
  <c r="D78" i="6"/>
  <c r="D91" i="6"/>
  <c r="D80" i="6"/>
  <c r="D102" i="6"/>
  <c r="D88" i="6"/>
  <c r="D59" i="6"/>
  <c r="C89" i="21"/>
  <c r="D101" i="6"/>
  <c r="D79" i="6"/>
  <c r="D105" i="6"/>
  <c r="D62" i="6"/>
  <c r="D61" i="6"/>
  <c r="D57" i="22"/>
  <c r="D103" i="6"/>
  <c r="D106" i="6"/>
  <c r="D83" i="6"/>
  <c r="D72" i="6"/>
  <c r="G63" i="20"/>
  <c r="F63" i="21" s="1"/>
  <c r="D76" i="6"/>
  <c r="G52" i="20"/>
  <c r="D57" i="6"/>
  <c r="D73" i="6"/>
  <c r="G68" i="20"/>
  <c r="D100" i="6"/>
  <c r="G95" i="20"/>
  <c r="D92" i="6"/>
  <c r="D85" i="6"/>
  <c r="D60" i="22"/>
  <c r="E52" i="22"/>
  <c r="D34" i="21"/>
  <c r="D49" i="21"/>
  <c r="D40" i="21"/>
  <c r="D44" i="21"/>
  <c r="D37" i="21"/>
  <c r="D48" i="21"/>
  <c r="E45" i="22"/>
  <c r="D35" i="21"/>
  <c r="E38" i="22"/>
  <c r="AD24" i="1"/>
  <c r="G4" i="13" s="1"/>
  <c r="Q24" i="1" s="1"/>
  <c r="AD23" i="1"/>
  <c r="D42" i="21"/>
  <c r="D41" i="21"/>
  <c r="E33" i="22"/>
  <c r="D39" i="21"/>
  <c r="D43" i="22"/>
  <c r="E32" i="22"/>
  <c r="D43" i="21"/>
  <c r="AD25" i="1"/>
  <c r="AD21" i="1"/>
  <c r="AD20" i="1"/>
  <c r="Q20" i="1" s="1"/>
  <c r="AD19" i="1"/>
  <c r="AD22" i="1"/>
  <c r="AD18" i="1"/>
  <c r="F28" i="22" l="1"/>
  <c r="E28" i="21"/>
  <c r="G30" i="22"/>
  <c r="F30" i="21"/>
  <c r="G101" i="22"/>
  <c r="F101" i="21"/>
  <c r="E100" i="21"/>
  <c r="F100" i="22"/>
  <c r="G73" i="22"/>
  <c r="F73" i="21"/>
  <c r="F49" i="21"/>
  <c r="G49" i="22"/>
  <c r="G33" i="22"/>
  <c r="F33" i="21"/>
  <c r="G86" i="22"/>
  <c r="F86" i="21"/>
  <c r="F59" i="22"/>
  <c r="E59" i="21"/>
  <c r="E79" i="21"/>
  <c r="F79" i="22"/>
  <c r="F60" i="21"/>
  <c r="G60" i="22"/>
  <c r="F40" i="21"/>
  <c r="G40" i="22"/>
  <c r="F43" i="22"/>
  <c r="E43" i="21"/>
  <c r="E98" i="21"/>
  <c r="F98" i="22"/>
  <c r="G72" i="22"/>
  <c r="F72" i="21"/>
  <c r="E87" i="21"/>
  <c r="F87" i="22"/>
  <c r="G54" i="22"/>
  <c r="F54" i="21"/>
  <c r="G39" i="22"/>
  <c r="F39" i="21"/>
  <c r="E37" i="21"/>
  <c r="F37" i="22"/>
  <c r="F50" i="22"/>
  <c r="E50" i="21"/>
  <c r="F89" i="21"/>
  <c r="G89" i="22"/>
  <c r="F75" i="22"/>
  <c r="E75" i="21"/>
  <c r="F34" i="22"/>
  <c r="E34" i="21"/>
  <c r="F67" i="21"/>
  <c r="G67" i="22"/>
  <c r="E54" i="21"/>
  <c r="F54" i="22"/>
  <c r="F87" i="21"/>
  <c r="G87" i="22"/>
  <c r="F61" i="21"/>
  <c r="G61" i="22"/>
  <c r="E48" i="21"/>
  <c r="F48" i="22"/>
  <c r="F44" i="21"/>
  <c r="F89" i="22"/>
  <c r="F66" i="22"/>
  <c r="E42" i="21"/>
  <c r="F71" i="21"/>
  <c r="F92" i="21"/>
  <c r="F88" i="22"/>
  <c r="E88" i="21"/>
  <c r="F98" i="21"/>
  <c r="G98" i="22"/>
  <c r="G75" i="22"/>
  <c r="F75" i="21"/>
  <c r="G45" i="22"/>
  <c r="F45" i="21"/>
  <c r="G90" i="22"/>
  <c r="F90" i="21"/>
  <c r="F38" i="21"/>
  <c r="G38" i="22"/>
  <c r="F40" i="22"/>
  <c r="E40" i="21"/>
  <c r="F65" i="22"/>
  <c r="E65" i="21"/>
  <c r="F72" i="22"/>
  <c r="E72" i="21"/>
  <c r="G82" i="22"/>
  <c r="F82" i="21"/>
  <c r="F100" i="21"/>
  <c r="G100" i="22"/>
  <c r="F63" i="22"/>
  <c r="E63" i="21"/>
  <c r="E95" i="21"/>
  <c r="F95" i="22"/>
  <c r="F85" i="22"/>
  <c r="E85" i="21"/>
  <c r="F36" i="21"/>
  <c r="G36" i="22"/>
  <c r="F93" i="21"/>
  <c r="G93" i="22"/>
  <c r="G91" i="22"/>
  <c r="F91" i="21"/>
  <c r="F74" i="21"/>
  <c r="G74" i="22"/>
  <c r="G96" i="22"/>
  <c r="F96" i="21"/>
  <c r="F42" i="21"/>
  <c r="G42" i="22"/>
  <c r="G46" i="22"/>
  <c r="F46" i="21"/>
  <c r="F67" i="22"/>
  <c r="E67" i="21"/>
  <c r="G57" i="22"/>
  <c r="F57" i="21"/>
  <c r="E51" i="21"/>
  <c r="F51" i="22"/>
  <c r="F32" i="22"/>
  <c r="E32" i="21"/>
  <c r="F66" i="21"/>
  <c r="G66" i="22"/>
  <c r="G64" i="22"/>
  <c r="F64" i="21"/>
  <c r="E78" i="21"/>
  <c r="F78" i="22"/>
  <c r="F47" i="22"/>
  <c r="E47" i="21"/>
  <c r="F71" i="22"/>
  <c r="E71" i="21"/>
  <c r="E84" i="21"/>
  <c r="F84" i="22"/>
  <c r="E76" i="21"/>
  <c r="F76" i="22"/>
  <c r="E91" i="21"/>
  <c r="F91" i="22"/>
  <c r="F29" i="21"/>
  <c r="G29" i="22"/>
  <c r="F92" i="22"/>
  <c r="E92" i="21"/>
  <c r="F74" i="22"/>
  <c r="E74" i="21"/>
  <c r="F36" i="22"/>
  <c r="E36" i="21"/>
  <c r="F38" i="22"/>
  <c r="E38" i="21"/>
  <c r="F56" i="21"/>
  <c r="G56" i="22"/>
  <c r="E62" i="21"/>
  <c r="F62" i="22"/>
  <c r="F58" i="21"/>
  <c r="G58" i="22"/>
  <c r="E82" i="21"/>
  <c r="F82" i="22"/>
  <c r="F58" i="22"/>
  <c r="E58" i="21"/>
  <c r="G80" i="22"/>
  <c r="F80" i="21"/>
  <c r="E61" i="21"/>
  <c r="F61" i="22"/>
  <c r="F73" i="22"/>
  <c r="E73" i="21"/>
  <c r="F41" i="21"/>
  <c r="G41" i="22"/>
  <c r="F32" i="21"/>
  <c r="F97" i="21"/>
  <c r="F43" i="21"/>
  <c r="F93" i="22"/>
  <c r="F55" i="22"/>
  <c r="F30" i="22"/>
  <c r="F78" i="21"/>
  <c r="G83" i="22"/>
  <c r="E29" i="21"/>
  <c r="F29" i="22"/>
  <c r="E46" i="21"/>
  <c r="G47" i="22"/>
  <c r="G34" i="22"/>
  <c r="G31" i="22"/>
  <c r="F37" i="21"/>
  <c r="F35" i="21"/>
  <c r="F31" i="22"/>
  <c r="F39" i="22"/>
  <c r="E33" i="21"/>
  <c r="F65" i="21"/>
  <c r="E83" i="21"/>
  <c r="F99" i="22"/>
  <c r="E49" i="21"/>
  <c r="E80" i="21"/>
  <c r="E52" i="21"/>
  <c r="F81" i="22"/>
  <c r="F35" i="22"/>
  <c r="G85" i="22"/>
  <c r="F88" i="21"/>
  <c r="F44" i="22"/>
  <c r="F77" i="21"/>
  <c r="F99" i="21"/>
  <c r="F69" i="21"/>
  <c r="E68" i="21"/>
  <c r="F50" i="21"/>
  <c r="F56" i="22"/>
  <c r="F69" i="22"/>
  <c r="E69" i="21"/>
  <c r="F45" i="22"/>
  <c r="E94" i="21"/>
  <c r="E41" i="21"/>
  <c r="F62" i="21"/>
  <c r="F70" i="22"/>
  <c r="F97" i="22"/>
  <c r="E86" i="21"/>
  <c r="E57" i="21"/>
  <c r="F55" i="21"/>
  <c r="E64" i="21"/>
  <c r="F64" i="22"/>
  <c r="F81" i="21"/>
  <c r="E90" i="21"/>
  <c r="F90" i="22"/>
  <c r="E60" i="21"/>
  <c r="F60" i="22"/>
  <c r="F77" i="22"/>
  <c r="E77" i="21"/>
  <c r="G94" i="22"/>
  <c r="F70" i="21"/>
  <c r="G79" i="22"/>
  <c r="G63" i="22"/>
  <c r="G59" i="22"/>
  <c r="G84" i="22"/>
  <c r="G51" i="22"/>
  <c r="F51" i="21"/>
  <c r="G95" i="22"/>
  <c r="F95" i="21"/>
  <c r="F52" i="21"/>
  <c r="G52" i="22"/>
  <c r="F68" i="21"/>
  <c r="G68" i="22"/>
  <c r="F76" i="21"/>
  <c r="G76" i="22"/>
  <c r="Q21" i="1"/>
  <c r="AD26" i="1" s="1"/>
  <c r="Q22" i="1"/>
  <c r="Q25" i="1"/>
  <c r="Q19" i="1"/>
  <c r="V23" i="1"/>
  <c r="AA19" i="1" s="1"/>
  <c r="AA22" i="1" l="1"/>
  <c r="V22" i="1" s="1"/>
  <c r="AA21" i="1"/>
  <c r="V21" i="1" s="1"/>
  <c r="AA23" i="1"/>
  <c r="AA25" i="1"/>
  <c r="AA26" i="1"/>
  <c r="AA24" i="1"/>
  <c r="I3" i="13" s="1"/>
  <c r="AA20" i="1"/>
  <c r="AA18" i="1"/>
  <c r="V19" i="1"/>
  <c r="V25" i="1" l="1"/>
  <c r="V24" i="1"/>
  <c r="V20" i="1"/>
  <c r="W23" i="1" l="1"/>
  <c r="E35" i="12" l="1"/>
  <c r="E34" i="12"/>
  <c r="AB18" i="1"/>
  <c r="AB24" i="1"/>
  <c r="I4" i="13" s="1"/>
  <c r="AB23" i="1"/>
  <c r="AB26" i="1"/>
  <c r="AB25" i="1"/>
  <c r="AB21" i="1"/>
  <c r="E47" i="12"/>
  <c r="E46" i="12"/>
  <c r="E51" i="12"/>
  <c r="E43" i="12"/>
  <c r="E38" i="12"/>
  <c r="E39" i="12"/>
  <c r="E50" i="12"/>
  <c r="E42" i="12"/>
  <c r="E37" i="12"/>
  <c r="E41" i="12"/>
  <c r="E45" i="12"/>
  <c r="E49" i="12"/>
  <c r="E53" i="12"/>
  <c r="E36" i="12"/>
  <c r="E40" i="12"/>
  <c r="E44" i="12"/>
  <c r="E48" i="12"/>
  <c r="E52" i="12"/>
  <c r="AB22" i="1"/>
  <c r="AB20" i="1"/>
  <c r="AB19" i="1"/>
  <c r="M32" i="19" l="1"/>
  <c r="E37" i="14"/>
  <c r="E37" i="13"/>
  <c r="E37" i="10"/>
  <c r="E37" i="9"/>
  <c r="E37" i="11"/>
  <c r="E37" i="8"/>
  <c r="M46" i="19"/>
  <c r="M46" i="20" s="1"/>
  <c r="M46" i="22" s="1"/>
  <c r="E51" i="14"/>
  <c r="E51" i="13"/>
  <c r="E51" i="8"/>
  <c r="E51" i="9"/>
  <c r="E51" i="11"/>
  <c r="E51" i="10"/>
  <c r="M41" i="19"/>
  <c r="M41" i="20" s="1"/>
  <c r="E46" i="13"/>
  <c r="E46" i="14"/>
  <c r="E46" i="8"/>
  <c r="E46" i="10"/>
  <c r="E46" i="11"/>
  <c r="E46" i="9"/>
  <c r="M40" i="19"/>
  <c r="E45" i="14"/>
  <c r="E45" i="13"/>
  <c r="E45" i="10"/>
  <c r="E45" i="11"/>
  <c r="E45" i="8"/>
  <c r="E45" i="9"/>
  <c r="M45" i="19"/>
  <c r="M45" i="20" s="1"/>
  <c r="E50" i="14"/>
  <c r="E50" i="13"/>
  <c r="E50" i="11"/>
  <c r="E50" i="9"/>
  <c r="E50" i="8"/>
  <c r="E50" i="10"/>
  <c r="M38" i="19"/>
  <c r="M38" i="20" s="1"/>
  <c r="L38" i="21" s="1"/>
  <c r="E43" i="14"/>
  <c r="E43" i="13"/>
  <c r="E43" i="11"/>
  <c r="E43" i="9"/>
  <c r="E43" i="8"/>
  <c r="E43" i="10"/>
  <c r="M35" i="19"/>
  <c r="E40" i="14"/>
  <c r="E40" i="13"/>
  <c r="E40" i="9"/>
  <c r="E40" i="8"/>
  <c r="E40" i="11"/>
  <c r="E40" i="10"/>
  <c r="M36" i="19"/>
  <c r="M36" i="20" s="1"/>
  <c r="E41" i="13"/>
  <c r="E41" i="14"/>
  <c r="E41" i="8"/>
  <c r="E41" i="9"/>
  <c r="E41" i="11"/>
  <c r="E41" i="10"/>
  <c r="M37" i="19"/>
  <c r="M37" i="20" s="1"/>
  <c r="E42" i="14"/>
  <c r="E42" i="13"/>
  <c r="E42" i="10"/>
  <c r="E42" i="9"/>
  <c r="E42" i="11"/>
  <c r="E42" i="8"/>
  <c r="M34" i="19"/>
  <c r="E39" i="14"/>
  <c r="E39" i="13"/>
  <c r="E39" i="8"/>
  <c r="E39" i="9"/>
  <c r="E39" i="10"/>
  <c r="E39" i="11"/>
  <c r="M42" i="19"/>
  <c r="M42" i="20" s="1"/>
  <c r="M42" i="22" s="1"/>
  <c r="E47" i="14"/>
  <c r="E47" i="13"/>
  <c r="E47" i="10"/>
  <c r="E47" i="9"/>
  <c r="E47" i="8"/>
  <c r="E47" i="11"/>
  <c r="M39" i="19"/>
  <c r="M39" i="20" s="1"/>
  <c r="E44" i="14"/>
  <c r="E44" i="13"/>
  <c r="E44" i="9"/>
  <c r="E44" i="11"/>
  <c r="E44" i="8"/>
  <c r="E44" i="10"/>
  <c r="M31" i="19"/>
  <c r="E36" i="13"/>
  <c r="E36" i="14"/>
  <c r="E36" i="9"/>
  <c r="E36" i="11"/>
  <c r="E36" i="10"/>
  <c r="E36" i="8"/>
  <c r="E34" i="13"/>
  <c r="E34" i="14"/>
  <c r="E34" i="10"/>
  <c r="E34" i="9"/>
  <c r="E34" i="8"/>
  <c r="E34" i="11"/>
  <c r="M44" i="19"/>
  <c r="M44" i="20" s="1"/>
  <c r="E49" i="14"/>
  <c r="E49" i="13"/>
  <c r="E49" i="11"/>
  <c r="E49" i="9"/>
  <c r="E49" i="8"/>
  <c r="E49" i="10"/>
  <c r="M33" i="19"/>
  <c r="M33" i="20" s="1"/>
  <c r="E38" i="14"/>
  <c r="E38" i="13"/>
  <c r="E38" i="8"/>
  <c r="E38" i="9"/>
  <c r="E38" i="11"/>
  <c r="E38" i="10"/>
  <c r="M47" i="19"/>
  <c r="M47" i="20" s="1"/>
  <c r="E52" i="14"/>
  <c r="E52" i="13"/>
  <c r="E52" i="8"/>
  <c r="E52" i="9"/>
  <c r="E52" i="10"/>
  <c r="E52" i="11"/>
  <c r="M43" i="19"/>
  <c r="M43" i="20" s="1"/>
  <c r="E48" i="14"/>
  <c r="E48" i="13"/>
  <c r="E48" i="10"/>
  <c r="E48" i="9"/>
  <c r="E48" i="8"/>
  <c r="E48" i="11"/>
  <c r="M48" i="19"/>
  <c r="E53" i="13"/>
  <c r="E53" i="14"/>
  <c r="E53" i="8"/>
  <c r="E53" i="9"/>
  <c r="E53" i="11"/>
  <c r="E53" i="10"/>
  <c r="M30" i="19"/>
  <c r="M30" i="20" s="1"/>
  <c r="M30" i="22" s="1"/>
  <c r="E35" i="13"/>
  <c r="E35" i="14"/>
  <c r="E35" i="8"/>
  <c r="E35" i="9"/>
  <c r="E35" i="10"/>
  <c r="E35" i="11"/>
  <c r="D35" i="12"/>
  <c r="M29" i="19"/>
  <c r="M29" i="20" s="1"/>
  <c r="D34" i="12"/>
  <c r="K34" i="12" s="1"/>
  <c r="M34" i="20"/>
  <c r="D43" i="12"/>
  <c r="K43" i="12" s="1"/>
  <c r="D39" i="12"/>
  <c r="K39" i="12" s="1"/>
  <c r="D46" i="12"/>
  <c r="K46" i="12" s="1"/>
  <c r="W21" i="1"/>
  <c r="K39" i="19"/>
  <c r="K32" i="19"/>
  <c r="K38" i="19"/>
  <c r="K43" i="19"/>
  <c r="W22" i="1"/>
  <c r="W24" i="1"/>
  <c r="G3" i="13"/>
  <c r="G2" i="13"/>
  <c r="W25" i="1"/>
  <c r="K44" i="19"/>
  <c r="D47" i="12"/>
  <c r="K47" i="12" s="1"/>
  <c r="D51" i="12"/>
  <c r="K51" i="12" s="1"/>
  <c r="D50" i="12"/>
  <c r="K50" i="12" s="1"/>
  <c r="D38" i="12"/>
  <c r="K38" i="12" s="1"/>
  <c r="D42" i="12"/>
  <c r="K42" i="12" s="1"/>
  <c r="D52" i="12"/>
  <c r="K52" i="12" s="1"/>
  <c r="D41" i="12"/>
  <c r="K41" i="12" s="1"/>
  <c r="D53" i="12"/>
  <c r="K53" i="12" s="1"/>
  <c r="M48" i="20"/>
  <c r="D44" i="12"/>
  <c r="K44" i="12" s="1"/>
  <c r="D49" i="12"/>
  <c r="K49" i="12" s="1"/>
  <c r="W20" i="1"/>
  <c r="M31" i="20"/>
  <c r="D36" i="12"/>
  <c r="K36" i="12" s="1"/>
  <c r="D48" i="12"/>
  <c r="K48" i="12" s="1"/>
  <c r="M32" i="20"/>
  <c r="D37" i="12"/>
  <c r="K37" i="12" s="1"/>
  <c r="W19" i="1"/>
  <c r="D40" i="12"/>
  <c r="K40" i="12" s="1"/>
  <c r="M35" i="20"/>
  <c r="M40" i="20"/>
  <c r="D45" i="12"/>
  <c r="K45" i="12" s="1"/>
  <c r="K37" i="19" l="1"/>
  <c r="K30" i="19"/>
  <c r="K30" i="20" s="1"/>
  <c r="K42" i="19"/>
  <c r="K42" i="20" s="1"/>
  <c r="K31" i="19"/>
  <c r="K41" i="19"/>
  <c r="K46" i="19"/>
  <c r="K34" i="19"/>
  <c r="K36" i="19"/>
  <c r="K36" i="20" s="1"/>
  <c r="J36" i="21" s="1"/>
  <c r="K48" i="19"/>
  <c r="K48" i="20" s="1"/>
  <c r="K48" i="22" s="1"/>
  <c r="K33" i="19"/>
  <c r="K33" i="20" s="1"/>
  <c r="K35" i="19"/>
  <c r="K47" i="19"/>
  <c r="K45" i="19"/>
  <c r="K45" i="20" s="1"/>
  <c r="K40" i="19"/>
  <c r="K35" i="12"/>
  <c r="I27" i="23" s="1"/>
  <c r="D35" i="10"/>
  <c r="F35" i="10" s="1"/>
  <c r="H35" i="12"/>
  <c r="L30" i="21"/>
  <c r="O29" i="19"/>
  <c r="O29" i="20" s="1"/>
  <c r="D34" i="14"/>
  <c r="F34" i="14" s="1"/>
  <c r="K26" i="23" s="1"/>
  <c r="D35" i="13"/>
  <c r="F35" i="13" s="1"/>
  <c r="J27" i="23" s="1"/>
  <c r="O38" i="19"/>
  <c r="L30" i="19"/>
  <c r="L30" i="20" s="1"/>
  <c r="I26" i="23"/>
  <c r="H34" i="12"/>
  <c r="M29" i="22"/>
  <c r="L29" i="21"/>
  <c r="J33" i="19"/>
  <c r="J33" i="20" s="1"/>
  <c r="K29" i="19"/>
  <c r="K29" i="20" s="1"/>
  <c r="D34" i="10"/>
  <c r="F34" i="10" s="1"/>
  <c r="L42" i="21"/>
  <c r="L46" i="21"/>
  <c r="I30" i="23"/>
  <c r="H38" i="12"/>
  <c r="I31" i="23"/>
  <c r="H39" i="12"/>
  <c r="I28" i="23"/>
  <c r="H36" i="12"/>
  <c r="I35" i="23"/>
  <c r="H43" i="12"/>
  <c r="I40" i="23"/>
  <c r="H48" i="12"/>
  <c r="I41" i="23"/>
  <c r="H49" i="12"/>
  <c r="I33" i="23"/>
  <c r="H41" i="12"/>
  <c r="I34" i="23"/>
  <c r="H42" i="12"/>
  <c r="I42" i="23"/>
  <c r="H50" i="12"/>
  <c r="I37" i="23"/>
  <c r="H45" i="12"/>
  <c r="I36" i="23"/>
  <c r="H44" i="12"/>
  <c r="I44" i="23"/>
  <c r="H52" i="12"/>
  <c r="I39" i="23"/>
  <c r="H47" i="12"/>
  <c r="I45" i="23"/>
  <c r="H53" i="12"/>
  <c r="I32" i="23"/>
  <c r="H40" i="12"/>
  <c r="I29" i="23"/>
  <c r="H37" i="12"/>
  <c r="I43" i="23"/>
  <c r="H51" i="12"/>
  <c r="I38" i="23"/>
  <c r="H46" i="12"/>
  <c r="O31" i="19"/>
  <c r="M34" i="22"/>
  <c r="L34" i="21"/>
  <c r="M45" i="22"/>
  <c r="L45" i="21"/>
  <c r="M33" i="22"/>
  <c r="L33" i="21"/>
  <c r="M41" i="22"/>
  <c r="L41" i="21"/>
  <c r="D40" i="10"/>
  <c r="F40" i="10" s="1"/>
  <c r="K35" i="20"/>
  <c r="K35" i="22" s="1"/>
  <c r="K38" i="20"/>
  <c r="K40" i="20"/>
  <c r="K31" i="20"/>
  <c r="K41" i="20"/>
  <c r="K46" i="20"/>
  <c r="K34" i="20"/>
  <c r="D53" i="10"/>
  <c r="F53" i="10" s="1"/>
  <c r="K37" i="20"/>
  <c r="D52" i="10"/>
  <c r="F52" i="10" s="1"/>
  <c r="K47" i="20"/>
  <c r="J47" i="21" s="1"/>
  <c r="K44" i="20"/>
  <c r="K43" i="20"/>
  <c r="D41" i="10"/>
  <c r="F41" i="10" s="1"/>
  <c r="D37" i="10"/>
  <c r="F37" i="10" s="1"/>
  <c r="K32" i="20"/>
  <c r="K32" i="22" s="1"/>
  <c r="K39" i="20"/>
  <c r="N36" i="19"/>
  <c r="N31" i="19"/>
  <c r="L31" i="19"/>
  <c r="J30" i="21"/>
  <c r="K30" i="22"/>
  <c r="O35" i="19"/>
  <c r="O34" i="19"/>
  <c r="N40" i="19"/>
  <c r="N42" i="19"/>
  <c r="N37" i="19"/>
  <c r="N45" i="19"/>
  <c r="N33" i="19"/>
  <c r="N43" i="19"/>
  <c r="L45" i="19"/>
  <c r="L47" i="19"/>
  <c r="L32" i="19"/>
  <c r="D44" i="10"/>
  <c r="F44" i="10" s="1"/>
  <c r="D43" i="10"/>
  <c r="F43" i="10" s="1"/>
  <c r="D45" i="10"/>
  <c r="F45" i="10" s="1"/>
  <c r="D48" i="10"/>
  <c r="F48" i="10" s="1"/>
  <c r="D36" i="10"/>
  <c r="F36" i="10" s="1"/>
  <c r="I37" i="19"/>
  <c r="I29" i="19"/>
  <c r="D49" i="10"/>
  <c r="F49" i="10" s="1"/>
  <c r="D50" i="10"/>
  <c r="F50" i="10" s="1"/>
  <c r="D42" i="10"/>
  <c r="F42" i="10" s="1"/>
  <c r="L41" i="19"/>
  <c r="L36" i="19"/>
  <c r="L43" i="19"/>
  <c r="D47" i="10"/>
  <c r="F47" i="10" s="1"/>
  <c r="L35" i="19"/>
  <c r="L46" i="19"/>
  <c r="L42" i="19"/>
  <c r="D38" i="10"/>
  <c r="F38" i="10" s="1"/>
  <c r="L33" i="19"/>
  <c r="L44" i="19"/>
  <c r="L34" i="19"/>
  <c r="D39" i="10"/>
  <c r="F39" i="10" s="1"/>
  <c r="O47" i="19"/>
  <c r="O46" i="19"/>
  <c r="O44" i="19"/>
  <c r="O41" i="19"/>
  <c r="O33" i="19"/>
  <c r="N48" i="19"/>
  <c r="N34" i="19"/>
  <c r="L40" i="19"/>
  <c r="O40" i="19"/>
  <c r="O43" i="19"/>
  <c r="N35" i="19"/>
  <c r="N38" i="19"/>
  <c r="L39" i="19"/>
  <c r="D43" i="14"/>
  <c r="F43" i="14" s="1"/>
  <c r="K35" i="23" s="1"/>
  <c r="O38" i="20"/>
  <c r="D51" i="10"/>
  <c r="F51" i="10" s="1"/>
  <c r="O36" i="19"/>
  <c r="O42" i="19"/>
  <c r="O45" i="19"/>
  <c r="N44" i="19"/>
  <c r="N47" i="19"/>
  <c r="L38" i="19"/>
  <c r="O37" i="19"/>
  <c r="O39" i="19"/>
  <c r="O32" i="19"/>
  <c r="O48" i="19"/>
  <c r="N39" i="19"/>
  <c r="N41" i="19"/>
  <c r="N32" i="19"/>
  <c r="N46" i="19"/>
  <c r="L48" i="19"/>
  <c r="L37" i="19"/>
  <c r="D46" i="10"/>
  <c r="F46" i="10" s="1"/>
  <c r="J47" i="19"/>
  <c r="M38" i="22"/>
  <c r="J44" i="19"/>
  <c r="I38" i="19"/>
  <c r="J42" i="19"/>
  <c r="I34" i="19"/>
  <c r="I30" i="19"/>
  <c r="I36" i="19"/>
  <c r="I33" i="19"/>
  <c r="J31" i="19"/>
  <c r="J35" i="19"/>
  <c r="J45" i="19"/>
  <c r="I46" i="19"/>
  <c r="I35" i="19"/>
  <c r="J30" i="19"/>
  <c r="I39" i="19"/>
  <c r="I48" i="19"/>
  <c r="I45" i="19"/>
  <c r="J39" i="19"/>
  <c r="J43" i="19"/>
  <c r="J32" i="19"/>
  <c r="M37" i="22"/>
  <c r="L37" i="21"/>
  <c r="I47" i="19"/>
  <c r="I43" i="19"/>
  <c r="I32" i="19"/>
  <c r="J34" i="19"/>
  <c r="J38" i="19"/>
  <c r="J48" i="19"/>
  <c r="J41" i="19"/>
  <c r="M31" i="22"/>
  <c r="L31" i="21"/>
  <c r="M48" i="22"/>
  <c r="L48" i="21"/>
  <c r="M44" i="22"/>
  <c r="L44" i="21"/>
  <c r="M47" i="22"/>
  <c r="L47" i="21"/>
  <c r="I42" i="19"/>
  <c r="I31" i="19"/>
  <c r="I44" i="19"/>
  <c r="I41" i="19"/>
  <c r="L32" i="21"/>
  <c r="M32" i="22"/>
  <c r="J40" i="19"/>
  <c r="J37" i="19"/>
  <c r="L35" i="21"/>
  <c r="M35" i="22"/>
  <c r="L40" i="21"/>
  <c r="M40" i="22"/>
  <c r="I40" i="19"/>
  <c r="L43" i="21"/>
  <c r="M43" i="22"/>
  <c r="J46" i="19"/>
  <c r="J36" i="19"/>
  <c r="M39" i="22"/>
  <c r="L39" i="21"/>
  <c r="M36" i="22"/>
  <c r="L36" i="21"/>
  <c r="N30" i="19" l="1"/>
  <c r="N30" i="20" s="1"/>
  <c r="N30" i="22" s="1"/>
  <c r="O29" i="22"/>
  <c r="N29" i="21"/>
  <c r="D35" i="11"/>
  <c r="F35" i="11" s="1"/>
  <c r="H27" i="23" s="1"/>
  <c r="N29" i="19"/>
  <c r="N29" i="20" s="1"/>
  <c r="D34" i="13"/>
  <c r="F34" i="13" s="1"/>
  <c r="J26" i="23" s="1"/>
  <c r="O30" i="19"/>
  <c r="O30" i="20" s="1"/>
  <c r="D35" i="14"/>
  <c r="F35" i="14" s="1"/>
  <c r="K27" i="23" s="1"/>
  <c r="D38" i="9"/>
  <c r="F38" i="9" s="1"/>
  <c r="F30" i="23" s="1"/>
  <c r="J29" i="19"/>
  <c r="J29" i="20" s="1"/>
  <c r="D34" i="9"/>
  <c r="F34" i="9" s="1"/>
  <c r="F26" i="23" s="1"/>
  <c r="J29" i="21"/>
  <c r="K29" i="22"/>
  <c r="L29" i="19"/>
  <c r="L29" i="20" s="1"/>
  <c r="D34" i="11"/>
  <c r="F34" i="11" s="1"/>
  <c r="H26" i="23" s="1"/>
  <c r="O31" i="20"/>
  <c r="D36" i="14"/>
  <c r="F36" i="14" s="1"/>
  <c r="K28" i="23" s="1"/>
  <c r="N34" i="20"/>
  <c r="N43" i="20"/>
  <c r="O43" i="20"/>
  <c r="D53" i="13"/>
  <c r="F53" i="13" s="1"/>
  <c r="J45" i="23" s="1"/>
  <c r="N48" i="20"/>
  <c r="N48" i="22" s="1"/>
  <c r="D51" i="14"/>
  <c r="F51" i="14" s="1"/>
  <c r="K43" i="23" s="1"/>
  <c r="O46" i="20"/>
  <c r="N46" i="21" s="1"/>
  <c r="N33" i="20"/>
  <c r="N40" i="20"/>
  <c r="D41" i="13"/>
  <c r="F41" i="13" s="1"/>
  <c r="J33" i="23" s="1"/>
  <c r="N36" i="20"/>
  <c r="M36" i="21" s="1"/>
  <c r="D49" i="14"/>
  <c r="F49" i="14" s="1"/>
  <c r="K41" i="23" s="1"/>
  <c r="O44" i="20"/>
  <c r="O44" i="22" s="1"/>
  <c r="N42" i="20"/>
  <c r="D45" i="14"/>
  <c r="F45" i="14" s="1"/>
  <c r="K37" i="23" s="1"/>
  <c r="O40" i="20"/>
  <c r="O40" i="22" s="1"/>
  <c r="D38" i="14"/>
  <c r="F38" i="14" s="1"/>
  <c r="K30" i="23" s="1"/>
  <c r="O33" i="20"/>
  <c r="N33" i="21" s="1"/>
  <c r="O47" i="20"/>
  <c r="O47" i="22" s="1"/>
  <c r="N45" i="20"/>
  <c r="D39" i="14"/>
  <c r="F39" i="14" s="1"/>
  <c r="K31" i="23" s="1"/>
  <c r="O34" i="20"/>
  <c r="N34" i="21" s="1"/>
  <c r="D40" i="13"/>
  <c r="F40" i="13" s="1"/>
  <c r="J32" i="23" s="1"/>
  <c r="N35" i="20"/>
  <c r="N35" i="22" s="1"/>
  <c r="N38" i="20"/>
  <c r="D46" i="14"/>
  <c r="F46" i="14" s="1"/>
  <c r="K38" i="23" s="1"/>
  <c r="O41" i="20"/>
  <c r="O41" i="22" s="1"/>
  <c r="N37" i="20"/>
  <c r="D40" i="14"/>
  <c r="F40" i="14" s="1"/>
  <c r="K32" i="23" s="1"/>
  <c r="O35" i="20"/>
  <c r="N35" i="21" s="1"/>
  <c r="K39" i="22"/>
  <c r="J39" i="21"/>
  <c r="J46" i="21"/>
  <c r="K46" i="22"/>
  <c r="K40" i="22"/>
  <c r="J40" i="21"/>
  <c r="J43" i="21"/>
  <c r="K43" i="22"/>
  <c r="K37" i="22"/>
  <c r="J37" i="21"/>
  <c r="J33" i="21"/>
  <c r="K33" i="22"/>
  <c r="J38" i="21"/>
  <c r="K38" i="22"/>
  <c r="J44" i="21"/>
  <c r="K44" i="22"/>
  <c r="J45" i="21"/>
  <c r="K45" i="22"/>
  <c r="K41" i="22"/>
  <c r="J41" i="21"/>
  <c r="J42" i="21"/>
  <c r="K42" i="22"/>
  <c r="K34" i="22"/>
  <c r="J34" i="21"/>
  <c r="K31" i="22"/>
  <c r="J31" i="21"/>
  <c r="D39" i="9"/>
  <c r="F39" i="9" s="1"/>
  <c r="F31" i="23" s="1"/>
  <c r="J34" i="20"/>
  <c r="J34" i="22" s="1"/>
  <c r="D44" i="9"/>
  <c r="F44" i="9" s="1"/>
  <c r="F36" i="23" s="1"/>
  <c r="D35" i="9"/>
  <c r="F35" i="9" s="1"/>
  <c r="F27" i="23" s="1"/>
  <c r="J30" i="20"/>
  <c r="I30" i="21" s="1"/>
  <c r="J45" i="20"/>
  <c r="D41" i="8"/>
  <c r="F41" i="8" s="1"/>
  <c r="E33" i="23" s="1"/>
  <c r="I36" i="20"/>
  <c r="H36" i="21" s="1"/>
  <c r="I38" i="20"/>
  <c r="L34" i="20"/>
  <c r="L42" i="20"/>
  <c r="L41" i="20"/>
  <c r="L47" i="20"/>
  <c r="J41" i="20"/>
  <c r="D37" i="8"/>
  <c r="F37" i="8" s="1"/>
  <c r="E29" i="23" s="1"/>
  <c r="I32" i="20"/>
  <c r="I32" i="22" s="1"/>
  <c r="I45" i="20"/>
  <c r="D40" i="9"/>
  <c r="F40" i="9" s="1"/>
  <c r="F32" i="23" s="1"/>
  <c r="D35" i="8"/>
  <c r="F35" i="8" s="1"/>
  <c r="E27" i="23" s="1"/>
  <c r="I30" i="20"/>
  <c r="I30" i="22" s="1"/>
  <c r="J44" i="20"/>
  <c r="L44" i="20"/>
  <c r="L46" i="20"/>
  <c r="D42" i="8"/>
  <c r="F42" i="8" s="1"/>
  <c r="E34" i="23" s="1"/>
  <c r="I37" i="20"/>
  <c r="H37" i="21" s="1"/>
  <c r="L45" i="20"/>
  <c r="D53" i="9"/>
  <c r="F53" i="9" s="1"/>
  <c r="F45" i="23" s="1"/>
  <c r="J48" i="20"/>
  <c r="J48" i="22" s="1"/>
  <c r="I43" i="20"/>
  <c r="J32" i="20"/>
  <c r="I48" i="20"/>
  <c r="D40" i="8"/>
  <c r="F40" i="8" s="1"/>
  <c r="E32" i="23" s="1"/>
  <c r="I35" i="20"/>
  <c r="H35" i="21" s="1"/>
  <c r="J31" i="20"/>
  <c r="D39" i="8"/>
  <c r="F39" i="8" s="1"/>
  <c r="E31" i="23" s="1"/>
  <c r="I34" i="20"/>
  <c r="H34" i="21" s="1"/>
  <c r="L39" i="20"/>
  <c r="L33" i="20"/>
  <c r="L35" i="20"/>
  <c r="L43" i="20"/>
  <c r="J38" i="20"/>
  <c r="I47" i="20"/>
  <c r="J43" i="20"/>
  <c r="I39" i="20"/>
  <c r="D51" i="8"/>
  <c r="F51" i="8" s="1"/>
  <c r="E43" i="23" s="1"/>
  <c r="I46" i="20"/>
  <c r="H46" i="21" s="1"/>
  <c r="D38" i="8"/>
  <c r="F38" i="8" s="1"/>
  <c r="E30" i="23" s="1"/>
  <c r="I33" i="20"/>
  <c r="H33" i="21" s="1"/>
  <c r="D47" i="9"/>
  <c r="F47" i="9" s="1"/>
  <c r="F39" i="23" s="1"/>
  <c r="J42" i="20"/>
  <c r="J42" i="22" s="1"/>
  <c r="D52" i="9"/>
  <c r="F52" i="9" s="1"/>
  <c r="F44" i="23" s="1"/>
  <c r="J47" i="20"/>
  <c r="I47" i="21" s="1"/>
  <c r="L40" i="20"/>
  <c r="L36" i="20"/>
  <c r="L32" i="20"/>
  <c r="L30" i="22"/>
  <c r="K30" i="21"/>
  <c r="N31" i="20"/>
  <c r="D36" i="13"/>
  <c r="F36" i="13" s="1"/>
  <c r="J28" i="23" s="1"/>
  <c r="L31" i="20"/>
  <c r="D36" i="11"/>
  <c r="F36" i="11" s="1"/>
  <c r="H28" i="23" s="1"/>
  <c r="D50" i="13"/>
  <c r="F50" i="13" s="1"/>
  <c r="J42" i="23" s="1"/>
  <c r="D42" i="13"/>
  <c r="F42" i="13" s="1"/>
  <c r="J34" i="23" s="1"/>
  <c r="D52" i="14"/>
  <c r="F52" i="14" s="1"/>
  <c r="K44" i="23" s="1"/>
  <c r="D47" i="13"/>
  <c r="F47" i="13" s="1"/>
  <c r="J39" i="23" s="1"/>
  <c r="D43" i="13"/>
  <c r="F43" i="13" s="1"/>
  <c r="J35" i="23" s="1"/>
  <c r="D48" i="13"/>
  <c r="F48" i="13" s="1"/>
  <c r="J40" i="23" s="1"/>
  <c r="D45" i="13"/>
  <c r="F45" i="13" s="1"/>
  <c r="J37" i="23" s="1"/>
  <c r="D37" i="11"/>
  <c r="F37" i="11" s="1"/>
  <c r="H29" i="23" s="1"/>
  <c r="D48" i="14"/>
  <c r="F48" i="14" s="1"/>
  <c r="K40" i="23" s="1"/>
  <c r="D38" i="13"/>
  <c r="F38" i="13" s="1"/>
  <c r="J30" i="23" s="1"/>
  <c r="K36" i="22"/>
  <c r="D52" i="11"/>
  <c r="F52" i="11" s="1"/>
  <c r="H44" i="23" s="1"/>
  <c r="D50" i="11"/>
  <c r="F50" i="11" s="1"/>
  <c r="H42" i="23" s="1"/>
  <c r="K47" i="22"/>
  <c r="J32" i="21"/>
  <c r="D46" i="11"/>
  <c r="F46" i="11" s="1"/>
  <c r="H38" i="23" s="1"/>
  <c r="D43" i="8"/>
  <c r="F43" i="8" s="1"/>
  <c r="E35" i="23" s="1"/>
  <c r="J35" i="21"/>
  <c r="D47" i="11"/>
  <c r="F47" i="11" s="1"/>
  <c r="H39" i="23" s="1"/>
  <c r="D39" i="11"/>
  <c r="F39" i="11" s="1"/>
  <c r="H31" i="23" s="1"/>
  <c r="D49" i="11"/>
  <c r="F49" i="11" s="1"/>
  <c r="H41" i="23" s="1"/>
  <c r="D51" i="11"/>
  <c r="F51" i="11" s="1"/>
  <c r="H43" i="23" s="1"/>
  <c r="J48" i="21"/>
  <c r="D48" i="11"/>
  <c r="F48" i="11" s="1"/>
  <c r="H40" i="23" s="1"/>
  <c r="D40" i="11"/>
  <c r="F40" i="11" s="1"/>
  <c r="H32" i="23" s="1"/>
  <c r="D41" i="11"/>
  <c r="F41" i="11" s="1"/>
  <c r="H33" i="23" s="1"/>
  <c r="I29" i="20"/>
  <c r="D34" i="8"/>
  <c r="F34" i="8" s="1"/>
  <c r="E26" i="23" s="1"/>
  <c r="D38" i="11"/>
  <c r="F38" i="11" s="1"/>
  <c r="H30" i="23" s="1"/>
  <c r="D45" i="11"/>
  <c r="F45" i="11" s="1"/>
  <c r="H37" i="23" s="1"/>
  <c r="D44" i="11"/>
  <c r="F44" i="11" s="1"/>
  <c r="H36" i="23" s="1"/>
  <c r="D39" i="13"/>
  <c r="F39" i="13" s="1"/>
  <c r="J31" i="23" s="1"/>
  <c r="L48" i="20"/>
  <c r="D53" i="11"/>
  <c r="F53" i="11" s="1"/>
  <c r="H45" i="23" s="1"/>
  <c r="O37" i="20"/>
  <c r="D42" i="14"/>
  <c r="F42" i="14" s="1"/>
  <c r="K34" i="23" s="1"/>
  <c r="O45" i="20"/>
  <c r="D50" i="14"/>
  <c r="F50" i="14" s="1"/>
  <c r="K42" i="23" s="1"/>
  <c r="N38" i="21"/>
  <c r="O38" i="22"/>
  <c r="D51" i="13"/>
  <c r="F51" i="13" s="1"/>
  <c r="J43" i="23" s="1"/>
  <c r="N46" i="20"/>
  <c r="O48" i="20"/>
  <c r="D53" i="14"/>
  <c r="F53" i="14" s="1"/>
  <c r="K45" i="23" s="1"/>
  <c r="D47" i="14"/>
  <c r="F47" i="14" s="1"/>
  <c r="K39" i="23" s="1"/>
  <c r="O42" i="20"/>
  <c r="N32" i="20"/>
  <c r="D37" i="13"/>
  <c r="F37" i="13" s="1"/>
  <c r="J29" i="23" s="1"/>
  <c r="O32" i="20"/>
  <c r="D37" i="14"/>
  <c r="F37" i="14" s="1"/>
  <c r="K29" i="23" s="1"/>
  <c r="N47" i="20"/>
  <c r="D52" i="13"/>
  <c r="F52" i="13" s="1"/>
  <c r="J44" i="23" s="1"/>
  <c r="O36" i="20"/>
  <c r="D41" i="14"/>
  <c r="F41" i="14" s="1"/>
  <c r="K33" i="23" s="1"/>
  <c r="D44" i="13"/>
  <c r="F44" i="13" s="1"/>
  <c r="J36" i="23" s="1"/>
  <c r="N39" i="20"/>
  <c r="L37" i="20"/>
  <c r="D42" i="11"/>
  <c r="F42" i="11" s="1"/>
  <c r="H34" i="23" s="1"/>
  <c r="N41" i="20"/>
  <c r="D46" i="13"/>
  <c r="F46" i="13" s="1"/>
  <c r="J38" i="23" s="1"/>
  <c r="O39" i="20"/>
  <c r="D44" i="14"/>
  <c r="F44" i="14" s="1"/>
  <c r="K36" i="23" s="1"/>
  <c r="L38" i="20"/>
  <c r="D43" i="11"/>
  <c r="F43" i="11" s="1"/>
  <c r="H35" i="23" s="1"/>
  <c r="D49" i="13"/>
  <c r="F49" i="13" s="1"/>
  <c r="J41" i="23" s="1"/>
  <c r="N44" i="20"/>
  <c r="D49" i="9"/>
  <c r="F49" i="9" s="1"/>
  <c r="F41" i="23" s="1"/>
  <c r="D50" i="8"/>
  <c r="F50" i="8" s="1"/>
  <c r="E42" i="23" s="1"/>
  <c r="J39" i="20"/>
  <c r="I39" i="21" s="1"/>
  <c r="D46" i="9"/>
  <c r="F46" i="9" s="1"/>
  <c r="F38" i="23" s="1"/>
  <c r="J35" i="20"/>
  <c r="J35" i="22" s="1"/>
  <c r="D50" i="9"/>
  <c r="F50" i="9" s="1"/>
  <c r="F42" i="23" s="1"/>
  <c r="D48" i="9"/>
  <c r="F48" i="9" s="1"/>
  <c r="F40" i="23" s="1"/>
  <c r="D52" i="8"/>
  <c r="F52" i="8" s="1"/>
  <c r="E44" i="23" s="1"/>
  <c r="D48" i="8"/>
  <c r="F48" i="8" s="1"/>
  <c r="E40" i="23" s="1"/>
  <c r="D53" i="8"/>
  <c r="F53" i="8" s="1"/>
  <c r="E45" i="23" s="1"/>
  <c r="D43" i="9"/>
  <c r="F43" i="9" s="1"/>
  <c r="F35" i="23" s="1"/>
  <c r="D44" i="8"/>
  <c r="F44" i="8" s="1"/>
  <c r="E36" i="23" s="1"/>
  <c r="D37" i="9"/>
  <c r="F37" i="9" s="1"/>
  <c r="F29" i="23" s="1"/>
  <c r="D36" i="9"/>
  <c r="F36" i="9" s="1"/>
  <c r="F28" i="23" s="1"/>
  <c r="D41" i="9"/>
  <c r="F41" i="9" s="1"/>
  <c r="F33" i="23" s="1"/>
  <c r="J36" i="20"/>
  <c r="D36" i="8"/>
  <c r="F36" i="8" s="1"/>
  <c r="E28" i="23" s="1"/>
  <c r="I31" i="20"/>
  <c r="J33" i="22"/>
  <c r="I33" i="21"/>
  <c r="D45" i="8"/>
  <c r="F45" i="8" s="1"/>
  <c r="E37" i="23" s="1"/>
  <c r="I40" i="20"/>
  <c r="D45" i="9"/>
  <c r="F45" i="9" s="1"/>
  <c r="F37" i="23" s="1"/>
  <c r="J40" i="20"/>
  <c r="D51" i="9"/>
  <c r="F51" i="9" s="1"/>
  <c r="F43" i="23" s="1"/>
  <c r="J46" i="20"/>
  <c r="D47" i="8"/>
  <c r="F47" i="8" s="1"/>
  <c r="E39" i="23" s="1"/>
  <c r="I42" i="20"/>
  <c r="J37" i="20"/>
  <c r="D42" i="9"/>
  <c r="F42" i="9" s="1"/>
  <c r="F34" i="23" s="1"/>
  <c r="D46" i="8"/>
  <c r="F46" i="8" s="1"/>
  <c r="E38" i="23" s="1"/>
  <c r="I41" i="20"/>
  <c r="D49" i="8"/>
  <c r="F49" i="8" s="1"/>
  <c r="E41" i="23" s="1"/>
  <c r="I44" i="20"/>
  <c r="M30" i="21" l="1"/>
  <c r="M29" i="21"/>
  <c r="N29" i="22"/>
  <c r="O30" i="22"/>
  <c r="N30" i="21"/>
  <c r="L29" i="22"/>
  <c r="K29" i="21"/>
  <c r="J29" i="22"/>
  <c r="I29" i="21"/>
  <c r="N31" i="21"/>
  <c r="O31" i="22"/>
  <c r="N40" i="22"/>
  <c r="M40" i="21"/>
  <c r="N41" i="21"/>
  <c r="N47" i="21"/>
  <c r="N38" i="22"/>
  <c r="M38" i="21"/>
  <c r="M42" i="21"/>
  <c r="N42" i="22"/>
  <c r="O43" i="22"/>
  <c r="N43" i="21"/>
  <c r="N37" i="22"/>
  <c r="M37" i="21"/>
  <c r="N45" i="22"/>
  <c r="M45" i="21"/>
  <c r="M43" i="21"/>
  <c r="N43" i="22"/>
  <c r="M33" i="21"/>
  <c r="N33" i="22"/>
  <c r="M34" i="21"/>
  <c r="N34" i="22"/>
  <c r="J39" i="22"/>
  <c r="H39" i="21"/>
  <c r="I39" i="22"/>
  <c r="L43" i="22"/>
  <c r="K43" i="21"/>
  <c r="K42" i="21"/>
  <c r="L42" i="22"/>
  <c r="K32" i="21"/>
  <c r="L32" i="22"/>
  <c r="J43" i="22"/>
  <c r="I43" i="21"/>
  <c r="K35" i="21"/>
  <c r="L35" i="22"/>
  <c r="I48" i="22"/>
  <c r="H48" i="21"/>
  <c r="L46" i="22"/>
  <c r="K46" i="21"/>
  <c r="J41" i="22"/>
  <c r="I41" i="21"/>
  <c r="L34" i="22"/>
  <c r="K34" i="21"/>
  <c r="J45" i="22"/>
  <c r="I45" i="21"/>
  <c r="K36" i="21"/>
  <c r="L36" i="22"/>
  <c r="I47" i="22"/>
  <c r="H47" i="21"/>
  <c r="K33" i="21"/>
  <c r="L33" i="22"/>
  <c r="J31" i="22"/>
  <c r="I31" i="21"/>
  <c r="J32" i="22"/>
  <c r="I32" i="21"/>
  <c r="L45" i="22"/>
  <c r="K45" i="21"/>
  <c r="L44" i="22"/>
  <c r="K44" i="21"/>
  <c r="I45" i="22"/>
  <c r="H45" i="21"/>
  <c r="L47" i="22"/>
  <c r="K47" i="21"/>
  <c r="H38" i="21"/>
  <c r="I38" i="22"/>
  <c r="K40" i="21"/>
  <c r="L40" i="22"/>
  <c r="I38" i="21"/>
  <c r="J38" i="22"/>
  <c r="L39" i="22"/>
  <c r="K39" i="21"/>
  <c r="I43" i="22"/>
  <c r="H43" i="21"/>
  <c r="J44" i="22"/>
  <c r="I44" i="21"/>
  <c r="K41" i="21"/>
  <c r="L41" i="22"/>
  <c r="O35" i="22"/>
  <c r="N36" i="22"/>
  <c r="N31" i="22"/>
  <c r="M31" i="21"/>
  <c r="L31" i="22"/>
  <c r="K31" i="21"/>
  <c r="O46" i="22"/>
  <c r="N40" i="21"/>
  <c r="O34" i="22"/>
  <c r="N44" i="21"/>
  <c r="M48" i="21"/>
  <c r="M35" i="21"/>
  <c r="O33" i="22"/>
  <c r="J47" i="22"/>
  <c r="I37" i="22"/>
  <c r="H29" i="21"/>
  <c r="I29" i="22"/>
  <c r="I33" i="22"/>
  <c r="L38" i="22"/>
  <c r="K38" i="21"/>
  <c r="O39" i="22"/>
  <c r="N39" i="21"/>
  <c r="L37" i="22"/>
  <c r="K37" i="21"/>
  <c r="O36" i="22"/>
  <c r="N36" i="21"/>
  <c r="M32" i="21"/>
  <c r="N32" i="22"/>
  <c r="O37" i="22"/>
  <c r="N37" i="21"/>
  <c r="M46" i="21"/>
  <c r="N46" i="22"/>
  <c r="N44" i="22"/>
  <c r="M44" i="21"/>
  <c r="N42" i="21"/>
  <c r="O42" i="22"/>
  <c r="N39" i="22"/>
  <c r="M39" i="21"/>
  <c r="N41" i="22"/>
  <c r="M41" i="21"/>
  <c r="N47" i="22"/>
  <c r="M47" i="21"/>
  <c r="O32" i="22"/>
  <c r="N32" i="21"/>
  <c r="O48" i="22"/>
  <c r="N48" i="21"/>
  <c r="N45" i="21"/>
  <c r="O45" i="22"/>
  <c r="K48" i="21"/>
  <c r="L48" i="22"/>
  <c r="I42" i="21"/>
  <c r="H30" i="21"/>
  <c r="I36" i="22"/>
  <c r="I34" i="21"/>
  <c r="J30" i="22"/>
  <c r="I35" i="21"/>
  <c r="H32" i="21"/>
  <c r="I46" i="22"/>
  <c r="I35" i="22"/>
  <c r="I34" i="22"/>
  <c r="I48" i="21"/>
  <c r="I44" i="22"/>
  <c r="H44" i="21"/>
  <c r="I46" i="21"/>
  <c r="J46" i="22"/>
  <c r="I40" i="22"/>
  <c r="H40" i="21"/>
  <c r="J36" i="22"/>
  <c r="I36" i="21"/>
  <c r="I42" i="22"/>
  <c r="H42" i="21"/>
  <c r="J40" i="22"/>
  <c r="I40" i="21"/>
  <c r="I31" i="22"/>
  <c r="H31" i="21"/>
  <c r="J37" i="22"/>
  <c r="I37" i="21"/>
  <c r="H41" i="21"/>
  <c r="I41" i="2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X23" i="1"/>
  <c r="M59" i="19" l="1"/>
  <c r="E64" i="14"/>
  <c r="E64" i="13"/>
  <c r="E64" i="9"/>
  <c r="E64" i="11"/>
  <c r="E64" i="10"/>
  <c r="E64" i="8"/>
  <c r="M99" i="19"/>
  <c r="E104" i="13"/>
  <c r="E104" i="14"/>
  <c r="E104" i="10"/>
  <c r="E104" i="8"/>
  <c r="E104" i="11"/>
  <c r="E104" i="9"/>
  <c r="M79" i="19"/>
  <c r="M79" i="20" s="1"/>
  <c r="E84" i="14"/>
  <c r="E84" i="13"/>
  <c r="E84" i="10"/>
  <c r="E84" i="8"/>
  <c r="E84" i="9"/>
  <c r="E84" i="11"/>
  <c r="M98" i="19"/>
  <c r="E103" i="13"/>
  <c r="E103" i="14"/>
  <c r="E103" i="11"/>
  <c r="E103" i="8"/>
  <c r="E103" i="9"/>
  <c r="E103" i="10"/>
  <c r="M78" i="19"/>
  <c r="E83" i="14"/>
  <c r="E83" i="13"/>
  <c r="E83" i="9"/>
  <c r="E83" i="8"/>
  <c r="E83" i="11"/>
  <c r="E83" i="10"/>
  <c r="M58" i="19"/>
  <c r="M58" i="20" s="1"/>
  <c r="E63" i="14"/>
  <c r="E63" i="13"/>
  <c r="E63" i="8"/>
  <c r="E63" i="9"/>
  <c r="E63" i="10"/>
  <c r="E63" i="11"/>
  <c r="M97" i="19"/>
  <c r="E102" i="13"/>
  <c r="E102" i="14"/>
  <c r="E102" i="9"/>
  <c r="E102" i="11"/>
  <c r="E102" i="8"/>
  <c r="E102" i="10"/>
  <c r="M75" i="19"/>
  <c r="E80" i="14"/>
  <c r="E80" i="13"/>
  <c r="E80" i="10"/>
  <c r="E80" i="9"/>
  <c r="E80" i="8"/>
  <c r="E80" i="11"/>
  <c r="M51" i="19"/>
  <c r="M51" i="20" s="1"/>
  <c r="E56" i="13"/>
  <c r="E56" i="14"/>
  <c r="E56" i="10"/>
  <c r="E56" i="9"/>
  <c r="E56" i="11"/>
  <c r="E56" i="8"/>
  <c r="M90" i="19"/>
  <c r="E95" i="14"/>
  <c r="E95" i="13"/>
  <c r="E95" i="8"/>
  <c r="E95" i="9"/>
  <c r="E95" i="11"/>
  <c r="E95" i="10"/>
  <c r="M70" i="19"/>
  <c r="E75" i="13"/>
  <c r="E75" i="14"/>
  <c r="E75" i="11"/>
  <c r="E75" i="10"/>
  <c r="E75" i="8"/>
  <c r="E75" i="9"/>
  <c r="M50" i="19"/>
  <c r="M50" i="20" s="1"/>
  <c r="E55" i="13"/>
  <c r="E55" i="14"/>
  <c r="E55" i="8"/>
  <c r="E55" i="9"/>
  <c r="E55" i="11"/>
  <c r="E55" i="10"/>
  <c r="M49" i="19"/>
  <c r="M49" i="20" s="1"/>
  <c r="E54" i="13"/>
  <c r="E54" i="14"/>
  <c r="E54" i="10"/>
  <c r="E54" i="9"/>
  <c r="E54" i="8"/>
  <c r="E54" i="11"/>
  <c r="M77" i="19"/>
  <c r="E82" i="14"/>
  <c r="E82" i="13"/>
  <c r="E82" i="11"/>
  <c r="E82" i="9"/>
  <c r="E82" i="10"/>
  <c r="E82" i="8"/>
  <c r="M76" i="19"/>
  <c r="M76" i="20" s="1"/>
  <c r="E81" i="14"/>
  <c r="E81" i="13"/>
  <c r="E81" i="8"/>
  <c r="E81" i="9"/>
  <c r="E81" i="10"/>
  <c r="E81" i="11"/>
  <c r="M68" i="19"/>
  <c r="E73" i="13"/>
  <c r="E73" i="14"/>
  <c r="E73" i="9"/>
  <c r="E73" i="11"/>
  <c r="E73" i="8"/>
  <c r="E73" i="10"/>
  <c r="M96" i="19"/>
  <c r="M96" i="20" s="1"/>
  <c r="E101" i="13"/>
  <c r="E101" i="14"/>
  <c r="E101" i="11"/>
  <c r="E101" i="9"/>
  <c r="E101" i="8"/>
  <c r="E101" i="10"/>
  <c r="M55" i="19"/>
  <c r="M55" i="20" s="1"/>
  <c r="E60" i="13"/>
  <c r="E60" i="14"/>
  <c r="E60" i="10"/>
  <c r="E60" i="11"/>
  <c r="E60" i="8"/>
  <c r="E60" i="9"/>
  <c r="M94" i="19"/>
  <c r="M94" i="20" s="1"/>
  <c r="E99" i="13"/>
  <c r="E99" i="14"/>
  <c r="E99" i="8"/>
  <c r="E99" i="11"/>
  <c r="E99" i="10"/>
  <c r="E99" i="9"/>
  <c r="M72" i="19"/>
  <c r="M72" i="20" s="1"/>
  <c r="E77" i="14"/>
  <c r="E77" i="13"/>
  <c r="E77" i="9"/>
  <c r="E77" i="11"/>
  <c r="E77" i="10"/>
  <c r="E77" i="8"/>
  <c r="M69" i="19"/>
  <c r="M69" i="20" s="1"/>
  <c r="E74" i="13"/>
  <c r="E74" i="14"/>
  <c r="E74" i="9"/>
  <c r="E74" i="8"/>
  <c r="E74" i="11"/>
  <c r="E74" i="10"/>
  <c r="M87" i="19"/>
  <c r="M87" i="20" s="1"/>
  <c r="E92" i="14"/>
  <c r="E92" i="13"/>
  <c r="E92" i="10"/>
  <c r="E92" i="8"/>
  <c r="E92" i="11"/>
  <c r="E92" i="9"/>
  <c r="M67" i="19"/>
  <c r="M67" i="20" s="1"/>
  <c r="E72" i="13"/>
  <c r="E72" i="14"/>
  <c r="E72" i="9"/>
  <c r="E72" i="11"/>
  <c r="E72" i="8"/>
  <c r="E72" i="10"/>
  <c r="M65" i="19"/>
  <c r="M65" i="20" s="1"/>
  <c r="E70" i="13"/>
  <c r="E70" i="14"/>
  <c r="E70" i="9"/>
  <c r="E70" i="8"/>
  <c r="E70" i="11"/>
  <c r="E70" i="10"/>
  <c r="M74" i="19"/>
  <c r="E79" i="14"/>
  <c r="E79" i="13"/>
  <c r="E79" i="11"/>
  <c r="E79" i="8"/>
  <c r="E79" i="10"/>
  <c r="E79" i="9"/>
  <c r="M52" i="19"/>
  <c r="M52" i="20" s="1"/>
  <c r="E57" i="14"/>
  <c r="E57" i="13"/>
  <c r="E57" i="8"/>
  <c r="E57" i="9"/>
  <c r="E57" i="11"/>
  <c r="E57" i="10"/>
  <c r="M71" i="19"/>
  <c r="M71" i="20" s="1"/>
  <c r="E76" i="13"/>
  <c r="E76" i="14"/>
  <c r="E76" i="9"/>
  <c r="E76" i="8"/>
  <c r="E76" i="11"/>
  <c r="E76" i="10"/>
  <c r="M66" i="19"/>
  <c r="M66" i="20" s="1"/>
  <c r="E71" i="13"/>
  <c r="E71" i="14"/>
  <c r="E71" i="8"/>
  <c r="E71" i="9"/>
  <c r="E71" i="10"/>
  <c r="E71" i="11"/>
  <c r="M64" i="19"/>
  <c r="M64" i="20" s="1"/>
  <c r="E69" i="13"/>
  <c r="E69" i="14"/>
  <c r="E69" i="8"/>
  <c r="E69" i="9"/>
  <c r="E69" i="11"/>
  <c r="E69" i="10"/>
  <c r="M95" i="19"/>
  <c r="M95" i="20" s="1"/>
  <c r="E100" i="14"/>
  <c r="E100" i="13"/>
  <c r="E100" i="11"/>
  <c r="E100" i="8"/>
  <c r="E100" i="9"/>
  <c r="E100" i="10"/>
  <c r="M92" i="19"/>
  <c r="M92" i="20" s="1"/>
  <c r="E97" i="14"/>
  <c r="E97" i="13"/>
  <c r="E97" i="9"/>
  <c r="E97" i="11"/>
  <c r="E97" i="8"/>
  <c r="E97" i="10"/>
  <c r="M91" i="19"/>
  <c r="M91" i="20" s="1"/>
  <c r="E96" i="14"/>
  <c r="E96" i="13"/>
  <c r="E96" i="9"/>
  <c r="E96" i="11"/>
  <c r="E96" i="8"/>
  <c r="E96" i="10"/>
  <c r="M89" i="19"/>
  <c r="M89" i="20" s="1"/>
  <c r="E94" i="14"/>
  <c r="E94" i="13"/>
  <c r="E94" i="11"/>
  <c r="E94" i="9"/>
  <c r="E94" i="8"/>
  <c r="E94" i="10"/>
  <c r="M88" i="19"/>
  <c r="E93" i="14"/>
  <c r="E93" i="13"/>
  <c r="E93" i="8"/>
  <c r="E93" i="11"/>
  <c r="E93" i="9"/>
  <c r="E93" i="10"/>
  <c r="M85" i="19"/>
  <c r="M85" i="20" s="1"/>
  <c r="E90" i="14"/>
  <c r="E90" i="13"/>
  <c r="E90" i="11"/>
  <c r="E90" i="9"/>
  <c r="E90" i="10"/>
  <c r="E90" i="8"/>
  <c r="M63" i="19"/>
  <c r="M63" i="20" s="1"/>
  <c r="M63" i="22" s="1"/>
  <c r="E68" i="13"/>
  <c r="E68" i="14"/>
  <c r="E68" i="8"/>
  <c r="E68" i="10"/>
  <c r="E68" i="9"/>
  <c r="E68" i="11"/>
  <c r="M82" i="19"/>
  <c r="M82" i="20" s="1"/>
  <c r="E87" i="13"/>
  <c r="E87" i="14"/>
  <c r="E87" i="8"/>
  <c r="E87" i="9"/>
  <c r="E87" i="11"/>
  <c r="E87" i="10"/>
  <c r="M62" i="19"/>
  <c r="M62" i="20" s="1"/>
  <c r="E67" i="14"/>
  <c r="E67" i="13"/>
  <c r="E67" i="8"/>
  <c r="E67" i="9"/>
  <c r="E67" i="10"/>
  <c r="E67" i="11"/>
  <c r="M57" i="19"/>
  <c r="M57" i="20" s="1"/>
  <c r="E62" i="14"/>
  <c r="E62" i="13"/>
  <c r="E62" i="9"/>
  <c r="E62" i="8"/>
  <c r="E62" i="11"/>
  <c r="E62" i="10"/>
  <c r="M56" i="19"/>
  <c r="M56" i="20" s="1"/>
  <c r="E61" i="14"/>
  <c r="E61" i="13"/>
  <c r="E61" i="8"/>
  <c r="E61" i="9"/>
  <c r="E61" i="11"/>
  <c r="E61" i="10"/>
  <c r="M54" i="19"/>
  <c r="M54" i="20" s="1"/>
  <c r="E59" i="13"/>
  <c r="E59" i="14"/>
  <c r="E59" i="8"/>
  <c r="E59" i="9"/>
  <c r="E59" i="11"/>
  <c r="E59" i="10"/>
  <c r="M93" i="19"/>
  <c r="M93" i="20" s="1"/>
  <c r="E98" i="13"/>
  <c r="E98" i="14"/>
  <c r="E98" i="11"/>
  <c r="E98" i="9"/>
  <c r="E98" i="8"/>
  <c r="E98" i="10"/>
  <c r="M84" i="19"/>
  <c r="M84" i="20" s="1"/>
  <c r="E89" i="13"/>
  <c r="E89" i="14"/>
  <c r="E89" i="8"/>
  <c r="E89" i="11"/>
  <c r="E89" i="9"/>
  <c r="E89" i="10"/>
  <c r="M83" i="19"/>
  <c r="M83" i="20" s="1"/>
  <c r="E88" i="13"/>
  <c r="E88" i="14"/>
  <c r="E88" i="10"/>
  <c r="E88" i="8"/>
  <c r="E88" i="11"/>
  <c r="E88" i="9"/>
  <c r="M101" i="19"/>
  <c r="M101" i="20" s="1"/>
  <c r="E106" i="13"/>
  <c r="E106" i="14"/>
  <c r="E106" i="11"/>
  <c r="E106" i="8"/>
  <c r="E106" i="9"/>
  <c r="E106" i="10"/>
  <c r="M81" i="19"/>
  <c r="M81" i="20" s="1"/>
  <c r="E86" i="13"/>
  <c r="E86" i="14"/>
  <c r="E86" i="9"/>
  <c r="E86" i="10"/>
  <c r="E86" i="11"/>
  <c r="D86" i="11" s="1"/>
  <c r="M61" i="19"/>
  <c r="M61" i="20" s="1"/>
  <c r="E66" i="13"/>
  <c r="E66" i="14"/>
  <c r="E66" i="8"/>
  <c r="E66" i="9"/>
  <c r="E66" i="10"/>
  <c r="E66" i="11"/>
  <c r="M73" i="19"/>
  <c r="M73" i="20" s="1"/>
  <c r="E78" i="13"/>
  <c r="E78" i="14"/>
  <c r="E78" i="9"/>
  <c r="E78" i="8"/>
  <c r="E78" i="10"/>
  <c r="E78" i="11"/>
  <c r="M53" i="19"/>
  <c r="M53" i="20" s="1"/>
  <c r="E58" i="14"/>
  <c r="E58" i="13"/>
  <c r="E58" i="8"/>
  <c r="E58" i="10"/>
  <c r="E58" i="11"/>
  <c r="E58" i="9"/>
  <c r="M86" i="19"/>
  <c r="M86" i="20" s="1"/>
  <c r="E91" i="14"/>
  <c r="E91" i="13"/>
  <c r="E91" i="8"/>
  <c r="E91" i="11"/>
  <c r="E91" i="9"/>
  <c r="E91" i="10"/>
  <c r="M100" i="19"/>
  <c r="M100" i="20" s="1"/>
  <c r="E105" i="13"/>
  <c r="E105" i="14"/>
  <c r="E105" i="11"/>
  <c r="E105" i="8"/>
  <c r="E105" i="9"/>
  <c r="E105" i="10"/>
  <c r="M80" i="19"/>
  <c r="M80" i="20" s="1"/>
  <c r="E85" i="14"/>
  <c r="E85" i="13"/>
  <c r="E85" i="11"/>
  <c r="E85" i="9"/>
  <c r="E85" i="8"/>
  <c r="E85" i="10"/>
  <c r="M60" i="19"/>
  <c r="M60" i="20" s="1"/>
  <c r="E65" i="13"/>
  <c r="E65" i="14"/>
  <c r="E65" i="10"/>
  <c r="E65" i="9"/>
  <c r="E65" i="8"/>
  <c r="E65" i="11"/>
  <c r="M59" i="20"/>
  <c r="M90" i="20"/>
  <c r="M78" i="20"/>
  <c r="M74" i="20"/>
  <c r="M70" i="20"/>
  <c r="D98" i="12"/>
  <c r="M75" i="20"/>
  <c r="D68" i="12"/>
  <c r="K68" i="12" s="1"/>
  <c r="D93" i="12"/>
  <c r="M68" i="20"/>
  <c r="AC23" i="1"/>
  <c r="AC25" i="1"/>
  <c r="D76" i="12"/>
  <c r="K76" i="12" s="1"/>
  <c r="D59" i="12"/>
  <c r="K59" i="12" s="1"/>
  <c r="D95" i="12"/>
  <c r="K95" i="12" s="1"/>
  <c r="D56" i="12"/>
  <c r="K56" i="12" s="1"/>
  <c r="D79" i="12"/>
  <c r="K79" i="12" s="1"/>
  <c r="M88" i="20"/>
  <c r="M88" i="22" s="1"/>
  <c r="D72" i="12"/>
  <c r="K72" i="12" s="1"/>
  <c r="D96" i="12"/>
  <c r="K96" i="12" s="1"/>
  <c r="D94" i="12"/>
  <c r="K94" i="12" s="1"/>
  <c r="D67" i="12"/>
  <c r="K67" i="12" s="1"/>
  <c r="D65" i="12"/>
  <c r="K65" i="12" s="1"/>
  <c r="D87" i="12"/>
  <c r="K87" i="12" s="1"/>
  <c r="D63" i="12"/>
  <c r="K63" i="12" s="1"/>
  <c r="D60" i="12"/>
  <c r="K60" i="12" s="1"/>
  <c r="D101" i="12"/>
  <c r="D91" i="12"/>
  <c r="K91" i="12" s="1"/>
  <c r="D88" i="12"/>
  <c r="K88" i="12" s="1"/>
  <c r="D83" i="12"/>
  <c r="K83" i="12" s="1"/>
  <c r="D75" i="12"/>
  <c r="K75" i="12" s="1"/>
  <c r="D73" i="12"/>
  <c r="K73" i="12" s="1"/>
  <c r="D71" i="12"/>
  <c r="K71" i="12" s="1"/>
  <c r="D55" i="12"/>
  <c r="K55" i="12" s="1"/>
  <c r="AC21" i="1"/>
  <c r="AC20" i="1"/>
  <c r="AC24" i="1"/>
  <c r="I5" i="13" s="1"/>
  <c r="AC18" i="1"/>
  <c r="AC22" i="1"/>
  <c r="M99" i="20"/>
  <c r="D104" i="12"/>
  <c r="H104" i="12" s="1"/>
  <c r="D66" i="12"/>
  <c r="K66" i="12" s="1"/>
  <c r="M98" i="20"/>
  <c r="D103" i="12"/>
  <c r="H103" i="12" s="1"/>
  <c r="D64" i="12"/>
  <c r="K64" i="12" s="1"/>
  <c r="AC26" i="1"/>
  <c r="AC19" i="1"/>
  <c r="D106" i="12"/>
  <c r="H106" i="12" s="1"/>
  <c r="D85" i="12"/>
  <c r="K85" i="12" s="1"/>
  <c r="D69" i="12"/>
  <c r="K69" i="12" s="1"/>
  <c r="D90" i="12"/>
  <c r="K90" i="12" s="1"/>
  <c r="D77" i="12"/>
  <c r="K77" i="12" s="1"/>
  <c r="D61" i="12"/>
  <c r="K61" i="12" s="1"/>
  <c r="D99" i="12"/>
  <c r="D97" i="12"/>
  <c r="K97" i="12" s="1"/>
  <c r="D82" i="12"/>
  <c r="K82" i="12" s="1"/>
  <c r="M77" i="20"/>
  <c r="D80" i="12"/>
  <c r="K80" i="12" s="1"/>
  <c r="D74" i="12"/>
  <c r="K74" i="12" s="1"/>
  <c r="D58" i="12"/>
  <c r="K58" i="12" s="1"/>
  <c r="D100" i="12"/>
  <c r="D86" i="12"/>
  <c r="K86" i="12" s="1"/>
  <c r="D78" i="12"/>
  <c r="K78" i="12" s="1"/>
  <c r="D70" i="12"/>
  <c r="K70" i="12" s="1"/>
  <c r="D62" i="12"/>
  <c r="K62" i="12" s="1"/>
  <c r="D57" i="12"/>
  <c r="K57" i="12" s="1"/>
  <c r="D54" i="12"/>
  <c r="K54" i="12" s="1"/>
  <c r="D105" i="12"/>
  <c r="H105" i="12" s="1"/>
  <c r="M97" i="20"/>
  <c r="D102" i="12"/>
  <c r="H102" i="12" s="1"/>
  <c r="D92" i="12"/>
  <c r="K92" i="12" s="1"/>
  <c r="D89" i="12"/>
  <c r="K89" i="12" s="1"/>
  <c r="D84" i="12"/>
  <c r="K84" i="12" s="1"/>
  <c r="D81" i="12"/>
  <c r="K81" i="12" s="1"/>
  <c r="D54" i="11" l="1"/>
  <c r="F54" i="11" s="1"/>
  <c r="H46" i="23" s="1"/>
  <c r="L49" i="19"/>
  <c r="L49" i="20" s="1"/>
  <c r="I49" i="19"/>
  <c r="I49" i="20" s="1"/>
  <c r="D54" i="8"/>
  <c r="F54" i="8" s="1"/>
  <c r="E46" i="23" s="1"/>
  <c r="J49" i="19"/>
  <c r="J49" i="20" s="1"/>
  <c r="D54" i="9"/>
  <c r="F54" i="9" s="1"/>
  <c r="F46" i="23" s="1"/>
  <c r="K49" i="19"/>
  <c r="K49" i="20" s="1"/>
  <c r="D54" i="10"/>
  <c r="F54" i="10" s="1"/>
  <c r="H98" i="12"/>
  <c r="H96" i="12"/>
  <c r="H101" i="12"/>
  <c r="H95" i="12"/>
  <c r="H94" i="12"/>
  <c r="H100" i="12"/>
  <c r="H97" i="12"/>
  <c r="H92" i="12"/>
  <c r="I69" i="23"/>
  <c r="H77" i="12"/>
  <c r="I58" i="23"/>
  <c r="H66" i="12"/>
  <c r="I67" i="23"/>
  <c r="H75" i="12"/>
  <c r="I57" i="23"/>
  <c r="H65" i="12"/>
  <c r="I73" i="23"/>
  <c r="H81" i="12"/>
  <c r="I62" i="23"/>
  <c r="H70" i="12"/>
  <c r="I72" i="23"/>
  <c r="H80" i="12"/>
  <c r="I47" i="23"/>
  <c r="H55" i="12"/>
  <c r="I75" i="23"/>
  <c r="H83" i="12"/>
  <c r="I52" i="23"/>
  <c r="H60" i="12"/>
  <c r="I59" i="23"/>
  <c r="H67" i="12"/>
  <c r="I51" i="23"/>
  <c r="H59" i="12"/>
  <c r="I76" i="23"/>
  <c r="H84" i="12"/>
  <c r="I49" i="23"/>
  <c r="H57" i="12"/>
  <c r="I53" i="23"/>
  <c r="H61" i="12"/>
  <c r="I82" i="23"/>
  <c r="H90" i="12"/>
  <c r="I63" i="23"/>
  <c r="H71" i="12"/>
  <c r="I80" i="23"/>
  <c r="H88" i="12"/>
  <c r="I55" i="23"/>
  <c r="H63" i="12"/>
  <c r="I71" i="23"/>
  <c r="H79" i="12"/>
  <c r="I68" i="23"/>
  <c r="H76" i="12"/>
  <c r="I46" i="23"/>
  <c r="H54" i="12"/>
  <c r="I77" i="23"/>
  <c r="H85" i="12"/>
  <c r="I64" i="23"/>
  <c r="H72" i="12"/>
  <c r="I78" i="23"/>
  <c r="H86" i="12"/>
  <c r="I50" i="23"/>
  <c r="H58" i="12"/>
  <c r="I91" i="23"/>
  <c r="H99" i="12"/>
  <c r="I56" i="23"/>
  <c r="H64" i="12"/>
  <c r="I85" i="23"/>
  <c r="H93" i="12"/>
  <c r="I81" i="23"/>
  <c r="H89" i="12"/>
  <c r="I54" i="23"/>
  <c r="H62" i="12"/>
  <c r="I70" i="23"/>
  <c r="H78" i="12"/>
  <c r="I66" i="23"/>
  <c r="H74" i="12"/>
  <c r="I74" i="23"/>
  <c r="H82" i="12"/>
  <c r="I61" i="23"/>
  <c r="H69" i="12"/>
  <c r="I65" i="23"/>
  <c r="H73" i="12"/>
  <c r="I83" i="23"/>
  <c r="H91" i="12"/>
  <c r="I79" i="23"/>
  <c r="H87" i="12"/>
  <c r="I48" i="23"/>
  <c r="H56" i="12"/>
  <c r="I60" i="23"/>
  <c r="H68" i="12"/>
  <c r="M52" i="22"/>
  <c r="L52" i="21"/>
  <c r="M72" i="22"/>
  <c r="L72" i="21"/>
  <c r="M100" i="22"/>
  <c r="L100" i="21"/>
  <c r="M75" i="22"/>
  <c r="L75" i="21"/>
  <c r="L91" i="21"/>
  <c r="M91" i="22"/>
  <c r="L62" i="21"/>
  <c r="M62" i="22"/>
  <c r="M78" i="22"/>
  <c r="L78" i="21"/>
  <c r="M94" i="22"/>
  <c r="L94" i="21"/>
  <c r="M60" i="22"/>
  <c r="L60" i="21"/>
  <c r="M76" i="22"/>
  <c r="L76" i="21"/>
  <c r="L51" i="21"/>
  <c r="M51" i="22"/>
  <c r="M87" i="22"/>
  <c r="L87" i="21"/>
  <c r="L55" i="21"/>
  <c r="M55" i="22"/>
  <c r="M50" i="22"/>
  <c r="L50" i="21"/>
  <c r="M66" i="22"/>
  <c r="L66" i="21"/>
  <c r="M82" i="22"/>
  <c r="L82" i="21"/>
  <c r="L59" i="21"/>
  <c r="M59" i="22"/>
  <c r="M64" i="22"/>
  <c r="L64" i="21"/>
  <c r="L80" i="21"/>
  <c r="M80" i="22"/>
  <c r="M92" i="22"/>
  <c r="L92" i="21"/>
  <c r="M89" i="22"/>
  <c r="L89" i="21"/>
  <c r="M67" i="22"/>
  <c r="L67" i="21"/>
  <c r="M54" i="22"/>
  <c r="L54" i="21"/>
  <c r="M70" i="22"/>
  <c r="L70" i="21"/>
  <c r="M86" i="22"/>
  <c r="L86" i="21"/>
  <c r="L71" i="21"/>
  <c r="M71" i="22"/>
  <c r="M68" i="22"/>
  <c r="L68" i="21"/>
  <c r="M84" i="22"/>
  <c r="L84" i="21"/>
  <c r="M96" i="22"/>
  <c r="L96" i="21"/>
  <c r="M79" i="22"/>
  <c r="L79" i="21"/>
  <c r="M58" i="22"/>
  <c r="L58" i="21"/>
  <c r="L74" i="21"/>
  <c r="M74" i="22"/>
  <c r="M90" i="22"/>
  <c r="L90" i="21"/>
  <c r="M83" i="22"/>
  <c r="L83" i="21"/>
  <c r="X25" i="1"/>
  <c r="O65" i="19"/>
  <c r="O87" i="19"/>
  <c r="O66" i="19"/>
  <c r="O51" i="19"/>
  <c r="O77" i="19"/>
  <c r="O61" i="19"/>
  <c r="O92" i="19"/>
  <c r="O62" i="19"/>
  <c r="O72" i="19"/>
  <c r="O56" i="19"/>
  <c r="O81" i="19"/>
  <c r="O89" i="19"/>
  <c r="O93" i="19"/>
  <c r="O101" i="19"/>
  <c r="O49" i="19"/>
  <c r="O82" i="19"/>
  <c r="O88" i="19"/>
  <c r="O80" i="19"/>
  <c r="O94" i="19"/>
  <c r="O60" i="19"/>
  <c r="O90" i="19"/>
  <c r="O69" i="19"/>
  <c r="O91" i="19"/>
  <c r="O84" i="19"/>
  <c r="O54" i="19"/>
  <c r="O97" i="19"/>
  <c r="O55" i="19"/>
  <c r="O98" i="19"/>
  <c r="O68" i="19"/>
  <c r="O78" i="19"/>
  <c r="O85" i="19"/>
  <c r="O71" i="19"/>
  <c r="O70" i="19"/>
  <c r="O100" i="19"/>
  <c r="O57" i="19"/>
  <c r="O73" i="19"/>
  <c r="O59" i="19"/>
  <c r="O83" i="19"/>
  <c r="O58" i="19"/>
  <c r="O52" i="19"/>
  <c r="O99" i="19"/>
  <c r="O64" i="19"/>
  <c r="O95" i="19"/>
  <c r="O63" i="19"/>
  <c r="O53" i="19"/>
  <c r="O86" i="19"/>
  <c r="O67" i="19"/>
  <c r="O76" i="19"/>
  <c r="O96" i="19"/>
  <c r="O74" i="19"/>
  <c r="O75" i="19"/>
  <c r="O50" i="19"/>
  <c r="O79" i="19"/>
  <c r="L88" i="21"/>
  <c r="X21" i="1"/>
  <c r="K51" i="19"/>
  <c r="K67" i="19"/>
  <c r="K83" i="19"/>
  <c r="K99" i="19"/>
  <c r="K64" i="19"/>
  <c r="K80" i="19"/>
  <c r="K96" i="19"/>
  <c r="K73" i="19"/>
  <c r="K53" i="19"/>
  <c r="K62" i="19"/>
  <c r="K58" i="19"/>
  <c r="K90" i="19"/>
  <c r="K101" i="19"/>
  <c r="K59" i="19"/>
  <c r="K91" i="19"/>
  <c r="K72" i="19"/>
  <c r="K57" i="19"/>
  <c r="K77" i="19"/>
  <c r="K74" i="19"/>
  <c r="K70" i="19"/>
  <c r="K55" i="19"/>
  <c r="K71" i="19"/>
  <c r="K87" i="19"/>
  <c r="K52" i="19"/>
  <c r="K68" i="19"/>
  <c r="K84" i="19"/>
  <c r="K100" i="19"/>
  <c r="K81" i="19"/>
  <c r="K69" i="19"/>
  <c r="K78" i="19"/>
  <c r="K66" i="19"/>
  <c r="K98" i="19"/>
  <c r="K54" i="19"/>
  <c r="K75" i="19"/>
  <c r="K56" i="19"/>
  <c r="K88" i="19"/>
  <c r="K89" i="19"/>
  <c r="K86" i="19"/>
  <c r="K61" i="19"/>
  <c r="K60" i="19"/>
  <c r="K97" i="19"/>
  <c r="K85" i="19"/>
  <c r="K79" i="19"/>
  <c r="K50" i="19"/>
  <c r="K95" i="19"/>
  <c r="K82" i="19"/>
  <c r="K63" i="19"/>
  <c r="K76" i="19"/>
  <c r="K93" i="19"/>
  <c r="K94" i="19"/>
  <c r="K92" i="19"/>
  <c r="K65" i="19"/>
  <c r="X22" i="1"/>
  <c r="L63" i="19"/>
  <c r="L79" i="19"/>
  <c r="L95" i="19"/>
  <c r="L60" i="19"/>
  <c r="L76" i="19"/>
  <c r="L92" i="19"/>
  <c r="L53" i="19"/>
  <c r="L85" i="19"/>
  <c r="L58" i="19"/>
  <c r="L62" i="19"/>
  <c r="L94" i="19"/>
  <c r="L81" i="19"/>
  <c r="L82" i="19"/>
  <c r="L55" i="19"/>
  <c r="L71" i="19"/>
  <c r="L52" i="19"/>
  <c r="L84" i="19"/>
  <c r="L69" i="19"/>
  <c r="L90" i="19"/>
  <c r="L57" i="19"/>
  <c r="L59" i="19"/>
  <c r="L91" i="19"/>
  <c r="L72" i="19"/>
  <c r="L89" i="19"/>
  <c r="L86" i="19"/>
  <c r="L66" i="19"/>
  <c r="L51" i="19"/>
  <c r="L67" i="19"/>
  <c r="L83" i="19"/>
  <c r="L100" i="19"/>
  <c r="L64" i="19"/>
  <c r="L80" i="19"/>
  <c r="L96" i="19"/>
  <c r="L61" i="19"/>
  <c r="L93" i="19"/>
  <c r="L74" i="19"/>
  <c r="L70" i="19"/>
  <c r="L99" i="19"/>
  <c r="L97" i="19"/>
  <c r="L98" i="19"/>
  <c r="L87" i="19"/>
  <c r="L68" i="19"/>
  <c r="L101" i="19"/>
  <c r="L65" i="19"/>
  <c r="L78" i="19"/>
  <c r="L50" i="19"/>
  <c r="L75" i="19"/>
  <c r="L56" i="19"/>
  <c r="L88" i="19"/>
  <c r="L77" i="19"/>
  <c r="L54" i="19"/>
  <c r="L73" i="19"/>
  <c r="X24" i="1"/>
  <c r="N52" i="19"/>
  <c r="N64" i="19"/>
  <c r="N69" i="19"/>
  <c r="N63" i="19"/>
  <c r="N85" i="19"/>
  <c r="N55" i="19"/>
  <c r="N73" i="19"/>
  <c r="N54" i="19"/>
  <c r="N95" i="19"/>
  <c r="N79" i="19"/>
  <c r="N101" i="19"/>
  <c r="N80" i="19"/>
  <c r="N75" i="19"/>
  <c r="N77" i="19"/>
  <c r="N94" i="19"/>
  <c r="N87" i="19"/>
  <c r="N50" i="19"/>
  <c r="N59" i="19"/>
  <c r="N57" i="19"/>
  <c r="N82" i="19"/>
  <c r="N98" i="19"/>
  <c r="N81" i="19"/>
  <c r="N90" i="19"/>
  <c r="N93" i="19"/>
  <c r="N78" i="19"/>
  <c r="N65" i="19"/>
  <c r="N49" i="19"/>
  <c r="N51" i="19"/>
  <c r="N71" i="19"/>
  <c r="N62" i="19"/>
  <c r="N92" i="19"/>
  <c r="N56" i="19"/>
  <c r="N66" i="19"/>
  <c r="N96" i="19"/>
  <c r="N68" i="19"/>
  <c r="N72" i="19"/>
  <c r="N58" i="19"/>
  <c r="N84" i="19"/>
  <c r="N53" i="19"/>
  <c r="N76" i="19"/>
  <c r="N67" i="19"/>
  <c r="N91" i="19"/>
  <c r="N89" i="19"/>
  <c r="N74" i="19"/>
  <c r="N100" i="19"/>
  <c r="N99" i="19"/>
  <c r="N70" i="19"/>
  <c r="N88" i="19"/>
  <c r="N86" i="19"/>
  <c r="N83" i="19"/>
  <c r="N97" i="19"/>
  <c r="N61" i="19"/>
  <c r="N60" i="19"/>
  <c r="L63" i="21"/>
  <c r="M93" i="22"/>
  <c r="L93" i="21"/>
  <c r="M65" i="22"/>
  <c r="L65" i="21"/>
  <c r="M77" i="22"/>
  <c r="L77" i="21"/>
  <c r="I52" i="19"/>
  <c r="I56" i="19"/>
  <c r="I60" i="19"/>
  <c r="I64" i="19"/>
  <c r="I68" i="19"/>
  <c r="I72" i="19"/>
  <c r="I76" i="19"/>
  <c r="I80" i="19"/>
  <c r="I87" i="19"/>
  <c r="I89" i="19"/>
  <c r="I91" i="19"/>
  <c r="I93" i="19"/>
  <c r="I95" i="19"/>
  <c r="I97" i="19"/>
  <c r="I99" i="19"/>
  <c r="I101" i="19"/>
  <c r="I51" i="19"/>
  <c r="I55" i="19"/>
  <c r="I59" i="19"/>
  <c r="I63" i="19"/>
  <c r="I67" i="19"/>
  <c r="I71" i="19"/>
  <c r="I75" i="19"/>
  <c r="I79" i="19"/>
  <c r="I82" i="19"/>
  <c r="I84" i="19"/>
  <c r="I50" i="19"/>
  <c r="I58" i="19"/>
  <c r="I66" i="19"/>
  <c r="I74" i="19"/>
  <c r="I86" i="19"/>
  <c r="I90" i="19"/>
  <c r="I94" i="19"/>
  <c r="I98" i="19"/>
  <c r="I53" i="19"/>
  <c r="I61" i="19"/>
  <c r="I69" i="19"/>
  <c r="I77" i="19"/>
  <c r="I83" i="19"/>
  <c r="I62" i="19"/>
  <c r="I78" i="19"/>
  <c r="I92" i="19"/>
  <c r="I100" i="19"/>
  <c r="I57" i="19"/>
  <c r="I73" i="19"/>
  <c r="I85" i="19"/>
  <c r="X19" i="1"/>
  <c r="I54" i="19"/>
  <c r="I88" i="19"/>
  <c r="I96" i="19"/>
  <c r="I65" i="19"/>
  <c r="I70" i="19"/>
  <c r="I81" i="19"/>
  <c r="M61" i="22"/>
  <c r="L61" i="21"/>
  <c r="M97" i="22"/>
  <c r="L97" i="21"/>
  <c r="M95" i="22"/>
  <c r="L95" i="21"/>
  <c r="M53" i="22"/>
  <c r="L53" i="21"/>
  <c r="L69" i="21"/>
  <c r="M69" i="22"/>
  <c r="M56" i="22"/>
  <c r="L56" i="21"/>
  <c r="L85" i="21"/>
  <c r="M85" i="22"/>
  <c r="J53" i="19"/>
  <c r="J57" i="19"/>
  <c r="J61" i="19"/>
  <c r="J65" i="19"/>
  <c r="J69" i="19"/>
  <c r="J73" i="19"/>
  <c r="J77" i="19"/>
  <c r="J81" i="19"/>
  <c r="J84" i="19"/>
  <c r="J52" i="19"/>
  <c r="J56" i="19"/>
  <c r="J60" i="19"/>
  <c r="J64" i="19"/>
  <c r="J68" i="19"/>
  <c r="J72" i="19"/>
  <c r="J76" i="19"/>
  <c r="J80" i="19"/>
  <c r="J86" i="19"/>
  <c r="J88" i="19"/>
  <c r="J90" i="19"/>
  <c r="J92" i="19"/>
  <c r="J94" i="19"/>
  <c r="J96" i="19"/>
  <c r="J98" i="19"/>
  <c r="J100" i="19"/>
  <c r="J55" i="19"/>
  <c r="J63" i="19"/>
  <c r="J71" i="19"/>
  <c r="J79" i="19"/>
  <c r="J50" i="19"/>
  <c r="J58" i="19"/>
  <c r="J66" i="19"/>
  <c r="J74" i="19"/>
  <c r="J82" i="19"/>
  <c r="J85" i="19"/>
  <c r="J89" i="19"/>
  <c r="J93" i="19"/>
  <c r="J97" i="19"/>
  <c r="J101" i="19"/>
  <c r="J59" i="19"/>
  <c r="J75" i="19"/>
  <c r="J54" i="19"/>
  <c r="J70" i="19"/>
  <c r="J87" i="19"/>
  <c r="J95" i="19"/>
  <c r="J51" i="19"/>
  <c r="J83" i="19"/>
  <c r="J67" i="19"/>
  <c r="J62" i="19"/>
  <c r="J99" i="19"/>
  <c r="X20" i="1"/>
  <c r="J91" i="19"/>
  <c r="J78" i="19"/>
  <c r="M81" i="22"/>
  <c r="L81" i="21"/>
  <c r="L101" i="21"/>
  <c r="M101" i="22"/>
  <c r="L98" i="21"/>
  <c r="M98" i="22"/>
  <c r="M99" i="22"/>
  <c r="L99" i="21"/>
  <c r="M57" i="22"/>
  <c r="L57" i="21"/>
  <c r="M73" i="22"/>
  <c r="L73" i="21"/>
  <c r="M49" i="22"/>
  <c r="L49" i="21"/>
  <c r="J49" i="21" l="1"/>
  <c r="K49" i="22"/>
  <c r="I49" i="21"/>
  <c r="J49" i="22"/>
  <c r="I49" i="22"/>
  <c r="H49" i="21"/>
  <c r="L49" i="22"/>
  <c r="K49" i="21"/>
  <c r="D72" i="14"/>
  <c r="F72" i="14" s="1"/>
  <c r="K64" i="23" s="1"/>
  <c r="O67" i="20"/>
  <c r="D63" i="14"/>
  <c r="F63" i="14" s="1"/>
  <c r="K55" i="23" s="1"/>
  <c r="O58" i="20"/>
  <c r="O85" i="20"/>
  <c r="D90" i="14"/>
  <c r="O91" i="20"/>
  <c r="D96" i="14"/>
  <c r="D54" i="14"/>
  <c r="F54" i="14" s="1"/>
  <c r="K46" i="23" s="1"/>
  <c r="O49" i="20"/>
  <c r="D97" i="14"/>
  <c r="O92" i="20"/>
  <c r="D91" i="14"/>
  <c r="O86" i="20"/>
  <c r="D88" i="14"/>
  <c r="O83" i="20"/>
  <c r="O78" i="20"/>
  <c r="D83" i="14"/>
  <c r="F83" i="14" s="1"/>
  <c r="K75" i="23" s="1"/>
  <c r="O69" i="20"/>
  <c r="D74" i="14"/>
  <c r="F74" i="14" s="1"/>
  <c r="K66" i="23" s="1"/>
  <c r="O101" i="20"/>
  <c r="D106" i="14"/>
  <c r="O61" i="20"/>
  <c r="D66" i="14"/>
  <c r="F66" i="14" s="1"/>
  <c r="K58" i="23" s="1"/>
  <c r="O79" i="20"/>
  <c r="D84" i="14"/>
  <c r="D101" i="14"/>
  <c r="O96" i="20"/>
  <c r="O53" i="20"/>
  <c r="D58" i="14"/>
  <c r="F58" i="14" s="1"/>
  <c r="K50" i="23" s="1"/>
  <c r="D104" i="14"/>
  <c r="O99" i="20"/>
  <c r="O59" i="20"/>
  <c r="D64" i="14"/>
  <c r="F64" i="14" s="1"/>
  <c r="K56" i="23" s="1"/>
  <c r="O70" i="20"/>
  <c r="D75" i="14"/>
  <c r="F75" i="14" s="1"/>
  <c r="K67" i="23" s="1"/>
  <c r="O68" i="20"/>
  <c r="D73" i="14"/>
  <c r="F73" i="14" s="1"/>
  <c r="K65" i="23" s="1"/>
  <c r="O54" i="20"/>
  <c r="D59" i="14"/>
  <c r="F59" i="14" s="1"/>
  <c r="K51" i="23" s="1"/>
  <c r="D95" i="14"/>
  <c r="O90" i="20"/>
  <c r="D93" i="14"/>
  <c r="O88" i="20"/>
  <c r="O93" i="20"/>
  <c r="D98" i="14"/>
  <c r="D77" i="14"/>
  <c r="F77" i="14" s="1"/>
  <c r="K69" i="23" s="1"/>
  <c r="O72" i="20"/>
  <c r="O77" i="20"/>
  <c r="D82" i="14"/>
  <c r="D70" i="14"/>
  <c r="F70" i="14" s="1"/>
  <c r="K62" i="23" s="1"/>
  <c r="O65" i="20"/>
  <c r="D80" i="14"/>
  <c r="F80" i="14" s="1"/>
  <c r="K72" i="23" s="1"/>
  <c r="O75" i="20"/>
  <c r="D100" i="14"/>
  <c r="O95" i="20"/>
  <c r="O57" i="20"/>
  <c r="D62" i="14"/>
  <c r="F62" i="14" s="1"/>
  <c r="K54" i="23" s="1"/>
  <c r="O55" i="20"/>
  <c r="D60" i="14"/>
  <c r="F60" i="14" s="1"/>
  <c r="K52" i="23" s="1"/>
  <c r="O94" i="20"/>
  <c r="D99" i="14"/>
  <c r="D86" i="14"/>
  <c r="O81" i="20"/>
  <c r="D71" i="14"/>
  <c r="F71" i="14" s="1"/>
  <c r="K63" i="23" s="1"/>
  <c r="O66" i="20"/>
  <c r="D79" i="14"/>
  <c r="F79" i="14" s="1"/>
  <c r="K71" i="23" s="1"/>
  <c r="O74" i="20"/>
  <c r="O64" i="20"/>
  <c r="D69" i="14"/>
  <c r="F69" i="14" s="1"/>
  <c r="K61" i="23" s="1"/>
  <c r="D105" i="14"/>
  <c r="O100" i="20"/>
  <c r="O97" i="20"/>
  <c r="D102" i="14"/>
  <c r="O80" i="20"/>
  <c r="D85" i="14"/>
  <c r="O56" i="20"/>
  <c r="D61" i="14"/>
  <c r="F61" i="14" s="1"/>
  <c r="K53" i="23" s="1"/>
  <c r="O87" i="20"/>
  <c r="D92" i="14"/>
  <c r="O50" i="20"/>
  <c r="D55" i="14"/>
  <c r="F55" i="14" s="1"/>
  <c r="K47" i="23" s="1"/>
  <c r="O76" i="20"/>
  <c r="D81" i="14"/>
  <c r="F81" i="14" s="1"/>
  <c r="K73" i="23" s="1"/>
  <c r="D68" i="14"/>
  <c r="F68" i="14" s="1"/>
  <c r="K60" i="23" s="1"/>
  <c r="O63" i="20"/>
  <c r="O52" i="20"/>
  <c r="D57" i="14"/>
  <c r="F57" i="14" s="1"/>
  <c r="K49" i="23" s="1"/>
  <c r="O73" i="20"/>
  <c r="D78" i="14"/>
  <c r="F78" i="14" s="1"/>
  <c r="K70" i="23" s="1"/>
  <c r="D76" i="14"/>
  <c r="F76" i="14" s="1"/>
  <c r="K68" i="23" s="1"/>
  <c r="O71" i="20"/>
  <c r="O98" i="20"/>
  <c r="D103" i="14"/>
  <c r="D89" i="14"/>
  <c r="O84" i="20"/>
  <c r="O60" i="20"/>
  <c r="D65" i="14"/>
  <c r="F65" i="14" s="1"/>
  <c r="K57" i="23" s="1"/>
  <c r="O82" i="20"/>
  <c r="D87" i="14"/>
  <c r="D94" i="14"/>
  <c r="O89" i="20"/>
  <c r="D67" i="14"/>
  <c r="F67" i="14" s="1"/>
  <c r="K59" i="23" s="1"/>
  <c r="O62" i="20"/>
  <c r="D56" i="14"/>
  <c r="F56" i="14" s="1"/>
  <c r="K48" i="23" s="1"/>
  <c r="O51" i="20"/>
  <c r="L77" i="20"/>
  <c r="D82" i="11"/>
  <c r="F82" i="11" s="1"/>
  <c r="D104" i="11"/>
  <c r="L99" i="20"/>
  <c r="L100" i="20"/>
  <c r="D105" i="11"/>
  <c r="L91" i="20"/>
  <c r="D96" i="11"/>
  <c r="L55" i="20"/>
  <c r="D60" i="11"/>
  <c r="F60" i="11" s="1"/>
  <c r="H52" i="23" s="1"/>
  <c r="L92" i="20"/>
  <c r="D97" i="11"/>
  <c r="D97" i="10"/>
  <c r="K92" i="20"/>
  <c r="D84" i="10"/>
  <c r="F84" i="10" s="1"/>
  <c r="K79" i="20"/>
  <c r="D61" i="10"/>
  <c r="F61" i="10" s="1"/>
  <c r="K56" i="20"/>
  <c r="K100" i="20"/>
  <c r="D105" i="10"/>
  <c r="K74" i="20"/>
  <c r="D79" i="10"/>
  <c r="F79" i="10" s="1"/>
  <c r="K58" i="20"/>
  <c r="D63" i="10"/>
  <c r="F63" i="10" s="1"/>
  <c r="D88" i="10"/>
  <c r="K83" i="20"/>
  <c r="L88" i="20"/>
  <c r="D93" i="11"/>
  <c r="L87" i="20"/>
  <c r="D92" i="11"/>
  <c r="L96" i="20"/>
  <c r="D101" i="11"/>
  <c r="L86" i="20"/>
  <c r="D91" i="11"/>
  <c r="L84" i="20"/>
  <c r="D89" i="11"/>
  <c r="D63" i="11"/>
  <c r="F63" i="11" s="1"/>
  <c r="H55" i="23" s="1"/>
  <c r="L58" i="20"/>
  <c r="D68" i="11"/>
  <c r="F68" i="11" s="1"/>
  <c r="H60" i="23" s="1"/>
  <c r="L63" i="20"/>
  <c r="K82" i="20"/>
  <c r="D87" i="10"/>
  <c r="D91" i="10"/>
  <c r="K86" i="20"/>
  <c r="K78" i="20"/>
  <c r="D83" i="10"/>
  <c r="F83" i="10" s="1"/>
  <c r="K71" i="20"/>
  <c r="D76" i="10"/>
  <c r="F76" i="10" s="1"/>
  <c r="K59" i="20"/>
  <c r="D64" i="10"/>
  <c r="F64" i="10" s="1"/>
  <c r="D85" i="10"/>
  <c r="F85" i="10" s="1"/>
  <c r="K80" i="20"/>
  <c r="L73" i="20"/>
  <c r="D78" i="11"/>
  <c r="F78" i="11" s="1"/>
  <c r="H70" i="23" s="1"/>
  <c r="L56" i="20"/>
  <c r="D61" i="11"/>
  <c r="F61" i="11" s="1"/>
  <c r="H53" i="23" s="1"/>
  <c r="L65" i="20"/>
  <c r="D70" i="11"/>
  <c r="F70" i="11" s="1"/>
  <c r="H62" i="23" s="1"/>
  <c r="L98" i="20"/>
  <c r="D103" i="11"/>
  <c r="D79" i="11"/>
  <c r="F79" i="11" s="1"/>
  <c r="H71" i="23" s="1"/>
  <c r="L74" i="20"/>
  <c r="L80" i="20"/>
  <c r="D85" i="11"/>
  <c r="L67" i="20"/>
  <c r="D72" i="11"/>
  <c r="F72" i="11" s="1"/>
  <c r="H64" i="23" s="1"/>
  <c r="L89" i="20"/>
  <c r="D94" i="11"/>
  <c r="D62" i="11"/>
  <c r="F62" i="11" s="1"/>
  <c r="H54" i="23" s="1"/>
  <c r="L57" i="20"/>
  <c r="L52" i="20"/>
  <c r="D57" i="11"/>
  <c r="F57" i="11" s="1"/>
  <c r="H49" i="23" s="1"/>
  <c r="L81" i="20"/>
  <c r="F86" i="11"/>
  <c r="H78" i="23" s="1"/>
  <c r="L85" i="20"/>
  <c r="D90" i="11"/>
  <c r="D65" i="11"/>
  <c r="F65" i="11" s="1"/>
  <c r="H57" i="23" s="1"/>
  <c r="L60" i="20"/>
  <c r="K93" i="20"/>
  <c r="D98" i="10"/>
  <c r="D100" i="10"/>
  <c r="K95" i="20"/>
  <c r="K97" i="20"/>
  <c r="D102" i="10"/>
  <c r="K89" i="20"/>
  <c r="D94" i="10"/>
  <c r="D59" i="10"/>
  <c r="F59" i="10" s="1"/>
  <c r="K54" i="20"/>
  <c r="D74" i="10"/>
  <c r="F74" i="10" s="1"/>
  <c r="K69" i="20"/>
  <c r="D73" i="10"/>
  <c r="F73" i="10" s="1"/>
  <c r="K68" i="20"/>
  <c r="D60" i="10"/>
  <c r="F60" i="10" s="1"/>
  <c r="K55" i="20"/>
  <c r="D62" i="10"/>
  <c r="F62" i="10" s="1"/>
  <c r="K57" i="20"/>
  <c r="K101" i="20"/>
  <c r="D106" i="10"/>
  <c r="D58" i="10"/>
  <c r="F58" i="10" s="1"/>
  <c r="K53" i="20"/>
  <c r="K64" i="20"/>
  <c r="D69" i="10"/>
  <c r="F69" i="10" s="1"/>
  <c r="K51" i="20"/>
  <c r="D56" i="10"/>
  <c r="F56" i="10" s="1"/>
  <c r="L50" i="20"/>
  <c r="D55" i="11"/>
  <c r="F55" i="11" s="1"/>
  <c r="H47" i="23" s="1"/>
  <c r="D73" i="11"/>
  <c r="F73" i="11" s="1"/>
  <c r="H65" i="23" s="1"/>
  <c r="L68" i="20"/>
  <c r="L61" i="20"/>
  <c r="D66" i="11"/>
  <c r="F66" i="11" s="1"/>
  <c r="H58" i="23" s="1"/>
  <c r="L66" i="20"/>
  <c r="D71" i="11"/>
  <c r="F71" i="11" s="1"/>
  <c r="H63" i="23" s="1"/>
  <c r="L69" i="20"/>
  <c r="D74" i="11"/>
  <c r="F74" i="11" s="1"/>
  <c r="H66" i="23" s="1"/>
  <c r="L62" i="20"/>
  <c r="D67" i="11"/>
  <c r="F67" i="11" s="1"/>
  <c r="H59" i="23" s="1"/>
  <c r="L79" i="20"/>
  <c r="D84" i="11"/>
  <c r="K63" i="20"/>
  <c r="D68" i="10"/>
  <c r="F68" i="10" s="1"/>
  <c r="K61" i="20"/>
  <c r="D66" i="10"/>
  <c r="F66" i="10" s="1"/>
  <c r="D71" i="10"/>
  <c r="F71" i="10" s="1"/>
  <c r="K66" i="20"/>
  <c r="D92" i="10"/>
  <c r="K87" i="20"/>
  <c r="K91" i="20"/>
  <c r="D96" i="10"/>
  <c r="K96" i="20"/>
  <c r="D101" i="10"/>
  <c r="D83" i="11"/>
  <c r="F83" i="11" s="1"/>
  <c r="L78" i="20"/>
  <c r="L70" i="20"/>
  <c r="D75" i="11"/>
  <c r="F75" i="11" s="1"/>
  <c r="H67" i="23" s="1"/>
  <c r="L83" i="20"/>
  <c r="D88" i="11"/>
  <c r="L59" i="20"/>
  <c r="D64" i="11"/>
  <c r="F64" i="11" s="1"/>
  <c r="H56" i="23" s="1"/>
  <c r="D87" i="11"/>
  <c r="L82" i="20"/>
  <c r="D81" i="11"/>
  <c r="F81" i="11" s="1"/>
  <c r="L76" i="20"/>
  <c r="K94" i="20"/>
  <c r="D99" i="10"/>
  <c r="K85" i="20"/>
  <c r="D90" i="10"/>
  <c r="D80" i="10"/>
  <c r="F80" i="10" s="1"/>
  <c r="K75" i="20"/>
  <c r="K84" i="20"/>
  <c r="D89" i="10"/>
  <c r="K77" i="20"/>
  <c r="D82" i="10"/>
  <c r="F82" i="10" s="1"/>
  <c r="D67" i="10"/>
  <c r="F67" i="10" s="1"/>
  <c r="K62" i="20"/>
  <c r="D72" i="10"/>
  <c r="F72" i="10" s="1"/>
  <c r="K67" i="20"/>
  <c r="L54" i="20"/>
  <c r="D59" i="11"/>
  <c r="F59" i="11" s="1"/>
  <c r="H51" i="23" s="1"/>
  <c r="L75" i="20"/>
  <c r="D80" i="11"/>
  <c r="F80" i="11" s="1"/>
  <c r="L101" i="20"/>
  <c r="D106" i="11"/>
  <c r="L97" i="20"/>
  <c r="D102" i="11"/>
  <c r="L93" i="20"/>
  <c r="D98" i="11"/>
  <c r="D69" i="11"/>
  <c r="F69" i="11" s="1"/>
  <c r="H61" i="23" s="1"/>
  <c r="L64" i="20"/>
  <c r="L51" i="20"/>
  <c r="D56" i="11"/>
  <c r="F56" i="11" s="1"/>
  <c r="H48" i="23" s="1"/>
  <c r="L72" i="20"/>
  <c r="D77" i="11"/>
  <c r="F77" i="11" s="1"/>
  <c r="H69" i="23" s="1"/>
  <c r="L90" i="20"/>
  <c r="D95" i="11"/>
  <c r="L71" i="20"/>
  <c r="D76" i="11"/>
  <c r="F76" i="11" s="1"/>
  <c r="H68" i="23" s="1"/>
  <c r="D99" i="11"/>
  <c r="L94" i="20"/>
  <c r="D58" i="11"/>
  <c r="F58" i="11" s="1"/>
  <c r="H50" i="23" s="1"/>
  <c r="L53" i="20"/>
  <c r="D100" i="11"/>
  <c r="L95" i="20"/>
  <c r="D70" i="10"/>
  <c r="F70" i="10" s="1"/>
  <c r="K65" i="20"/>
  <c r="K76" i="20"/>
  <c r="D81" i="10"/>
  <c r="F81" i="10" s="1"/>
  <c r="D55" i="10"/>
  <c r="F55" i="10" s="1"/>
  <c r="K50" i="20"/>
  <c r="D65" i="10"/>
  <c r="F65" i="10" s="1"/>
  <c r="K60" i="20"/>
  <c r="D93" i="10"/>
  <c r="K88" i="20"/>
  <c r="K98" i="20"/>
  <c r="D103" i="10"/>
  <c r="K81" i="20"/>
  <c r="D86" i="10"/>
  <c r="F86" i="10" s="1"/>
  <c r="D57" i="10"/>
  <c r="F57" i="10" s="1"/>
  <c r="K52" i="20"/>
  <c r="D75" i="10"/>
  <c r="F75" i="10" s="1"/>
  <c r="K70" i="20"/>
  <c r="K72" i="20"/>
  <c r="D77" i="10"/>
  <c r="F77" i="10" s="1"/>
  <c r="D95" i="10"/>
  <c r="G87" i="23" s="1"/>
  <c r="K90" i="20"/>
  <c r="D78" i="10"/>
  <c r="F78" i="10" s="1"/>
  <c r="K73" i="20"/>
  <c r="D104" i="10"/>
  <c r="K99" i="20"/>
  <c r="N97" i="20"/>
  <c r="D102" i="13"/>
  <c r="N70" i="20"/>
  <c r="D75" i="13"/>
  <c r="F75" i="13" s="1"/>
  <c r="J67" i="23" s="1"/>
  <c r="N89" i="20"/>
  <c r="D94" i="13"/>
  <c r="N53" i="20"/>
  <c r="D58" i="13"/>
  <c r="F58" i="13" s="1"/>
  <c r="J50" i="23" s="1"/>
  <c r="N68" i="20"/>
  <c r="D73" i="13"/>
  <c r="F73" i="13" s="1"/>
  <c r="J65" i="23" s="1"/>
  <c r="N92" i="20"/>
  <c r="D97" i="13"/>
  <c r="N49" i="20"/>
  <c r="D54" i="13"/>
  <c r="F54" i="13" s="1"/>
  <c r="J46" i="23" s="1"/>
  <c r="N90" i="20"/>
  <c r="D95" i="13"/>
  <c r="N57" i="20"/>
  <c r="D62" i="13"/>
  <c r="F62" i="13" s="1"/>
  <c r="J54" i="23" s="1"/>
  <c r="N94" i="20"/>
  <c r="D99" i="13"/>
  <c r="N101" i="20"/>
  <c r="D106" i="13"/>
  <c r="N73" i="20"/>
  <c r="D78" i="13"/>
  <c r="F78" i="13" s="1"/>
  <c r="J70" i="23" s="1"/>
  <c r="N69" i="20"/>
  <c r="D74" i="13"/>
  <c r="F74" i="13" s="1"/>
  <c r="J66" i="23" s="1"/>
  <c r="N83" i="20"/>
  <c r="D88" i="13"/>
  <c r="N99" i="20"/>
  <c r="D104" i="13"/>
  <c r="N91" i="20"/>
  <c r="D96" i="13"/>
  <c r="N84" i="20"/>
  <c r="D89" i="13"/>
  <c r="N96" i="20"/>
  <c r="D101" i="13"/>
  <c r="N62" i="20"/>
  <c r="D67" i="13"/>
  <c r="F67" i="13" s="1"/>
  <c r="J59" i="23" s="1"/>
  <c r="N65" i="20"/>
  <c r="D70" i="13"/>
  <c r="F70" i="13" s="1"/>
  <c r="J62" i="23" s="1"/>
  <c r="N81" i="20"/>
  <c r="D86" i="13"/>
  <c r="J78" i="23" s="1"/>
  <c r="N59" i="20"/>
  <c r="D64" i="13"/>
  <c r="F64" i="13" s="1"/>
  <c r="J56" i="23" s="1"/>
  <c r="N77" i="20"/>
  <c r="D82" i="13"/>
  <c r="J74" i="23" s="1"/>
  <c r="N79" i="20"/>
  <c r="D84" i="13"/>
  <c r="D60" i="13"/>
  <c r="F60" i="13" s="1"/>
  <c r="J52" i="23" s="1"/>
  <c r="N55" i="20"/>
  <c r="N64" i="20"/>
  <c r="D69" i="13"/>
  <c r="F69" i="13" s="1"/>
  <c r="J61" i="23" s="1"/>
  <c r="N60" i="20"/>
  <c r="D65" i="13"/>
  <c r="F65" i="13" s="1"/>
  <c r="J57" i="23" s="1"/>
  <c r="N86" i="20"/>
  <c r="D91" i="13"/>
  <c r="N100" i="20"/>
  <c r="D105" i="13"/>
  <c r="N67" i="20"/>
  <c r="D72" i="13"/>
  <c r="F72" i="13" s="1"/>
  <c r="J64" i="23" s="1"/>
  <c r="N58" i="20"/>
  <c r="D63" i="13"/>
  <c r="F63" i="13" s="1"/>
  <c r="J55" i="23" s="1"/>
  <c r="D71" i="13"/>
  <c r="F71" i="13" s="1"/>
  <c r="J63" i="23" s="1"/>
  <c r="N66" i="20"/>
  <c r="N71" i="20"/>
  <c r="D76" i="13"/>
  <c r="F76" i="13" s="1"/>
  <c r="J68" i="23" s="1"/>
  <c r="N78" i="20"/>
  <c r="D83" i="13"/>
  <c r="F83" i="13" s="1"/>
  <c r="J75" i="23" s="1"/>
  <c r="N98" i="20"/>
  <c r="D103" i="13"/>
  <c r="N50" i="20"/>
  <c r="D55" i="13"/>
  <c r="F55" i="13" s="1"/>
  <c r="J47" i="23" s="1"/>
  <c r="D80" i="13"/>
  <c r="F80" i="13" s="1"/>
  <c r="J72" i="23" s="1"/>
  <c r="N75" i="20"/>
  <c r="N95" i="20"/>
  <c r="D100" i="13"/>
  <c r="D90" i="13"/>
  <c r="N85" i="20"/>
  <c r="D57" i="13"/>
  <c r="F57" i="13" s="1"/>
  <c r="J49" i="23" s="1"/>
  <c r="N52" i="20"/>
  <c r="N61" i="20"/>
  <c r="D66" i="13"/>
  <c r="F66" i="13" s="1"/>
  <c r="J58" i="23" s="1"/>
  <c r="N88" i="20"/>
  <c r="D93" i="13"/>
  <c r="N74" i="20"/>
  <c r="D79" i="13"/>
  <c r="F79" i="13" s="1"/>
  <c r="J71" i="23" s="1"/>
  <c r="N76" i="20"/>
  <c r="D81" i="13"/>
  <c r="F81" i="13" s="1"/>
  <c r="J73" i="23" s="1"/>
  <c r="N72" i="20"/>
  <c r="D77" i="13"/>
  <c r="F77" i="13" s="1"/>
  <c r="J69" i="23" s="1"/>
  <c r="N56" i="20"/>
  <c r="D61" i="13"/>
  <c r="F61" i="13" s="1"/>
  <c r="J53" i="23" s="1"/>
  <c r="N51" i="20"/>
  <c r="D56" i="13"/>
  <c r="F56" i="13" s="1"/>
  <c r="J48" i="23" s="1"/>
  <c r="N93" i="20"/>
  <c r="D98" i="13"/>
  <c r="N82" i="20"/>
  <c r="D87" i="13"/>
  <c r="N87" i="20"/>
  <c r="D92" i="13"/>
  <c r="N80" i="20"/>
  <c r="D85" i="13"/>
  <c r="F85" i="13" s="1"/>
  <c r="J77" i="23" s="1"/>
  <c r="N54" i="20"/>
  <c r="D59" i="13"/>
  <c r="F59" i="13" s="1"/>
  <c r="J51" i="23" s="1"/>
  <c r="N63" i="20"/>
  <c r="D68" i="13"/>
  <c r="F68" i="13" s="1"/>
  <c r="J60" i="23" s="1"/>
  <c r="J62" i="20"/>
  <c r="D67" i="9"/>
  <c r="F67" i="9" s="1"/>
  <c r="F59" i="23" s="1"/>
  <c r="D80" i="9"/>
  <c r="F80" i="9" s="1"/>
  <c r="F72" i="23" s="1"/>
  <c r="J75" i="20"/>
  <c r="D79" i="9"/>
  <c r="F79" i="9" s="1"/>
  <c r="F71" i="23" s="1"/>
  <c r="J74" i="20"/>
  <c r="D105" i="9"/>
  <c r="J100" i="20"/>
  <c r="D85" i="9"/>
  <c r="F85" i="9" s="1"/>
  <c r="F77" i="23" s="1"/>
  <c r="J80" i="20"/>
  <c r="J84" i="20"/>
  <c r="D89" i="9"/>
  <c r="F89" i="9" s="1"/>
  <c r="D58" i="9"/>
  <c r="F58" i="9" s="1"/>
  <c r="F50" i="23" s="1"/>
  <c r="J53" i="20"/>
  <c r="D59" i="8"/>
  <c r="F59" i="8" s="1"/>
  <c r="E51" i="23" s="1"/>
  <c r="I54" i="20"/>
  <c r="D67" i="8"/>
  <c r="F67" i="8" s="1"/>
  <c r="E59" i="23" s="1"/>
  <c r="I62" i="20"/>
  <c r="D95" i="8"/>
  <c r="I90" i="20"/>
  <c r="D84" i="8"/>
  <c r="E76" i="23" s="1"/>
  <c r="I79" i="20"/>
  <c r="I101" i="20"/>
  <c r="D106" i="8"/>
  <c r="D69" i="8"/>
  <c r="F69" i="8" s="1"/>
  <c r="E61" i="23" s="1"/>
  <c r="I64" i="20"/>
  <c r="J91" i="20"/>
  <c r="D96" i="9"/>
  <c r="D92" i="9"/>
  <c r="J87" i="20"/>
  <c r="D94" i="9"/>
  <c r="J89" i="20"/>
  <c r="D76" i="9"/>
  <c r="F76" i="9" s="1"/>
  <c r="F68" i="23" s="1"/>
  <c r="J71" i="20"/>
  <c r="D95" i="9"/>
  <c r="J90" i="20"/>
  <c r="D65" i="9"/>
  <c r="F65" i="9" s="1"/>
  <c r="F57" i="23" s="1"/>
  <c r="J60" i="20"/>
  <c r="J65" i="20"/>
  <c r="D70" i="9"/>
  <c r="F70" i="9" s="1"/>
  <c r="F62" i="23" s="1"/>
  <c r="D105" i="8"/>
  <c r="I100" i="20"/>
  <c r="D58" i="8"/>
  <c r="F58" i="8" s="1"/>
  <c r="E50" i="23" s="1"/>
  <c r="I53" i="20"/>
  <c r="D55" i="8"/>
  <c r="F55" i="8" s="1"/>
  <c r="E47" i="23" s="1"/>
  <c r="I50" i="20"/>
  <c r="D64" i="8"/>
  <c r="F64" i="8" s="1"/>
  <c r="E56" i="23" s="1"/>
  <c r="I59" i="20"/>
  <c r="D96" i="8"/>
  <c r="I91" i="20"/>
  <c r="I76" i="20"/>
  <c r="D81" i="8"/>
  <c r="F81" i="8" s="1"/>
  <c r="E73" i="23" s="1"/>
  <c r="I60" i="20"/>
  <c r="D65" i="8"/>
  <c r="F65" i="8" s="1"/>
  <c r="E57" i="23" s="1"/>
  <c r="D88" i="9"/>
  <c r="J83" i="20"/>
  <c r="J70" i="20"/>
  <c r="D75" i="9"/>
  <c r="F75" i="9" s="1"/>
  <c r="F67" i="23" s="1"/>
  <c r="D106" i="9"/>
  <c r="J101" i="20"/>
  <c r="D90" i="9"/>
  <c r="J85" i="20"/>
  <c r="D63" i="9"/>
  <c r="F63" i="9" s="1"/>
  <c r="F55" i="23" s="1"/>
  <c r="J58" i="20"/>
  <c r="D68" i="9"/>
  <c r="F68" i="9" s="1"/>
  <c r="F60" i="23" s="1"/>
  <c r="J63" i="20"/>
  <c r="D101" i="9"/>
  <c r="J96" i="20"/>
  <c r="D93" i="9"/>
  <c r="J88" i="20"/>
  <c r="D77" i="9"/>
  <c r="F77" i="9" s="1"/>
  <c r="F69" i="23" s="1"/>
  <c r="J72" i="20"/>
  <c r="D61" i="9"/>
  <c r="F61" i="9" s="1"/>
  <c r="F53" i="23" s="1"/>
  <c r="J56" i="20"/>
  <c r="D82" i="9"/>
  <c r="F82" i="9" s="1"/>
  <c r="F74" i="23" s="1"/>
  <c r="J77" i="20"/>
  <c r="D66" i="9"/>
  <c r="F66" i="9" s="1"/>
  <c r="F58" i="23" s="1"/>
  <c r="J61" i="20"/>
  <c r="D101" i="8"/>
  <c r="I96" i="20"/>
  <c r="I85" i="20"/>
  <c r="D90" i="8"/>
  <c r="F90" i="8" s="1"/>
  <c r="E82" i="23" s="1"/>
  <c r="D97" i="8"/>
  <c r="I92" i="20"/>
  <c r="D82" i="8"/>
  <c r="F82" i="8" s="1"/>
  <c r="E74" i="23" s="1"/>
  <c r="I77" i="20"/>
  <c r="D103" i="8"/>
  <c r="I98" i="20"/>
  <c r="D79" i="8"/>
  <c r="F79" i="8" s="1"/>
  <c r="E71" i="23" s="1"/>
  <c r="I74" i="20"/>
  <c r="D89" i="8"/>
  <c r="I84" i="20"/>
  <c r="D76" i="8"/>
  <c r="F76" i="8" s="1"/>
  <c r="E68" i="23" s="1"/>
  <c r="I71" i="20"/>
  <c r="D60" i="8"/>
  <c r="F60" i="8" s="1"/>
  <c r="E52" i="23" s="1"/>
  <c r="I55" i="20"/>
  <c r="I97" i="20"/>
  <c r="D102" i="8"/>
  <c r="I89" i="20"/>
  <c r="D94" i="8"/>
  <c r="D77" i="8"/>
  <c r="F77" i="8" s="1"/>
  <c r="E69" i="23" s="1"/>
  <c r="I72" i="20"/>
  <c r="D61" i="8"/>
  <c r="F61" i="8" s="1"/>
  <c r="E53" i="23" s="1"/>
  <c r="I56" i="20"/>
  <c r="J78" i="20"/>
  <c r="D83" i="9"/>
  <c r="F83" i="9" s="1"/>
  <c r="F75" i="23" s="1"/>
  <c r="D100" i="9"/>
  <c r="J95" i="20"/>
  <c r="D98" i="9"/>
  <c r="J93" i="20"/>
  <c r="D84" i="9"/>
  <c r="F84" i="9" s="1"/>
  <c r="F76" i="23" s="1"/>
  <c r="J79" i="20"/>
  <c r="D97" i="9"/>
  <c r="J92" i="20"/>
  <c r="D69" i="9"/>
  <c r="F69" i="9" s="1"/>
  <c r="F61" i="23" s="1"/>
  <c r="J64" i="20"/>
  <c r="D74" i="9"/>
  <c r="F74" i="9" s="1"/>
  <c r="F66" i="23" s="1"/>
  <c r="J69" i="20"/>
  <c r="D75" i="8"/>
  <c r="F75" i="8" s="1"/>
  <c r="E67" i="23" s="1"/>
  <c r="I70" i="20"/>
  <c r="I57" i="20"/>
  <c r="D62" i="8"/>
  <c r="F62" i="8" s="1"/>
  <c r="E54" i="23" s="1"/>
  <c r="D66" i="8"/>
  <c r="F66" i="8" s="1"/>
  <c r="E58" i="23" s="1"/>
  <c r="I61" i="20"/>
  <c r="D63" i="8"/>
  <c r="F63" i="8" s="1"/>
  <c r="E55" i="23" s="1"/>
  <c r="I58" i="20"/>
  <c r="D68" i="8"/>
  <c r="F68" i="8" s="1"/>
  <c r="E60" i="23" s="1"/>
  <c r="I63" i="20"/>
  <c r="I93" i="20"/>
  <c r="D98" i="8"/>
  <c r="D85" i="8"/>
  <c r="E77" i="23" s="1"/>
  <c r="I80" i="20"/>
  <c r="D72" i="9"/>
  <c r="F72" i="9" s="1"/>
  <c r="F64" i="23" s="1"/>
  <c r="J67" i="20"/>
  <c r="D64" i="9"/>
  <c r="F64" i="9" s="1"/>
  <c r="F56" i="23" s="1"/>
  <c r="J59" i="20"/>
  <c r="D71" i="9"/>
  <c r="F71" i="9" s="1"/>
  <c r="F63" i="23" s="1"/>
  <c r="J66" i="20"/>
  <c r="D103" i="9"/>
  <c r="J98" i="20"/>
  <c r="D81" i="9"/>
  <c r="F81" i="9" s="1"/>
  <c r="F73" i="23" s="1"/>
  <c r="J76" i="20"/>
  <c r="J81" i="20"/>
  <c r="D86" i="9"/>
  <c r="F86" i="9" s="1"/>
  <c r="F78" i="23" s="1"/>
  <c r="I65" i="20"/>
  <c r="D70" i="8"/>
  <c r="F70" i="8" s="1"/>
  <c r="E62" i="23" s="1"/>
  <c r="D88" i="8"/>
  <c r="I83" i="20"/>
  <c r="D91" i="8"/>
  <c r="I86" i="20"/>
  <c r="D80" i="8"/>
  <c r="F80" i="8" s="1"/>
  <c r="E72" i="23" s="1"/>
  <c r="I75" i="20"/>
  <c r="D104" i="8"/>
  <c r="I99" i="20"/>
  <c r="D104" i="9"/>
  <c r="J99" i="20"/>
  <c r="D56" i="9"/>
  <c r="F56" i="9" s="1"/>
  <c r="F48" i="23" s="1"/>
  <c r="J51" i="20"/>
  <c r="J54" i="20"/>
  <c r="D59" i="9"/>
  <c r="F59" i="9" s="1"/>
  <c r="F51" i="23" s="1"/>
  <c r="D102" i="9"/>
  <c r="J97" i="20"/>
  <c r="D87" i="9"/>
  <c r="F87" i="9" s="1"/>
  <c r="F79" i="23" s="1"/>
  <c r="J82" i="20"/>
  <c r="D55" i="9"/>
  <c r="F55" i="9" s="1"/>
  <c r="F47" i="23" s="1"/>
  <c r="J50" i="20"/>
  <c r="D60" i="9"/>
  <c r="F60" i="9" s="1"/>
  <c r="F52" i="23" s="1"/>
  <c r="J55" i="20"/>
  <c r="D99" i="9"/>
  <c r="J94" i="20"/>
  <c r="D91" i="9"/>
  <c r="J86" i="20"/>
  <c r="D73" i="9"/>
  <c r="F73" i="9" s="1"/>
  <c r="F65" i="23" s="1"/>
  <c r="J68" i="20"/>
  <c r="D57" i="9"/>
  <c r="F57" i="9" s="1"/>
  <c r="F49" i="23" s="1"/>
  <c r="J52" i="20"/>
  <c r="J73" i="20"/>
  <c r="D78" i="9"/>
  <c r="F78" i="9" s="1"/>
  <c r="F70" i="23" s="1"/>
  <c r="J57" i="20"/>
  <c r="D62" i="9"/>
  <c r="F62" i="9" s="1"/>
  <c r="F54" i="23" s="1"/>
  <c r="I81" i="20"/>
  <c r="D86" i="8"/>
  <c r="D93" i="8"/>
  <c r="I88" i="20"/>
  <c r="I73" i="20"/>
  <c r="D78" i="8"/>
  <c r="F78" i="8" s="1"/>
  <c r="E70" i="23" s="1"/>
  <c r="D83" i="8"/>
  <c r="F83" i="8" s="1"/>
  <c r="E75" i="23" s="1"/>
  <c r="I78" i="20"/>
  <c r="D74" i="8"/>
  <c r="F74" i="8" s="1"/>
  <c r="E66" i="23" s="1"/>
  <c r="I69" i="20"/>
  <c r="D99" i="8"/>
  <c r="I94" i="20"/>
  <c r="D71" i="8"/>
  <c r="F71" i="8" s="1"/>
  <c r="E63" i="23" s="1"/>
  <c r="I66" i="20"/>
  <c r="D87" i="8"/>
  <c r="I82" i="20"/>
  <c r="D72" i="8"/>
  <c r="F72" i="8" s="1"/>
  <c r="E64" i="23" s="1"/>
  <c r="I67" i="20"/>
  <c r="D56" i="8"/>
  <c r="F56" i="8" s="1"/>
  <c r="E48" i="23" s="1"/>
  <c r="I51" i="20"/>
  <c r="D100" i="8"/>
  <c r="I95" i="20"/>
  <c r="D92" i="8"/>
  <c r="I87" i="20"/>
  <c r="I68" i="20"/>
  <c r="D73" i="8"/>
  <c r="F73" i="8" s="1"/>
  <c r="E65" i="23" s="1"/>
  <c r="I52" i="20"/>
  <c r="D57" i="8"/>
  <c r="F57" i="8" s="1"/>
  <c r="E49" i="23" s="1"/>
  <c r="N62" i="21" l="1"/>
  <c r="O62" i="22"/>
  <c r="O71" i="22"/>
  <c r="N71" i="21"/>
  <c r="O74" i="22"/>
  <c r="N74" i="21"/>
  <c r="O65" i="22"/>
  <c r="N65" i="21"/>
  <c r="O88" i="22"/>
  <c r="N88" i="21"/>
  <c r="O96" i="22"/>
  <c r="N96" i="21"/>
  <c r="O92" i="22"/>
  <c r="N92" i="21"/>
  <c r="O58" i="22"/>
  <c r="N58" i="21"/>
  <c r="O82" i="22"/>
  <c r="N82" i="21"/>
  <c r="O52" i="22"/>
  <c r="N52" i="21"/>
  <c r="N76" i="21"/>
  <c r="O76" i="22"/>
  <c r="O87" i="22"/>
  <c r="N87" i="21"/>
  <c r="O55" i="22"/>
  <c r="N55" i="21"/>
  <c r="N54" i="21"/>
  <c r="O54" i="22"/>
  <c r="O70" i="22"/>
  <c r="N70" i="21"/>
  <c r="N61" i="21"/>
  <c r="O61" i="22"/>
  <c r="O69" i="22"/>
  <c r="N69" i="21"/>
  <c r="N91" i="21"/>
  <c r="O91" i="22"/>
  <c r="N51" i="21"/>
  <c r="O51" i="22"/>
  <c r="O89" i="22"/>
  <c r="N89" i="21"/>
  <c r="N63" i="21"/>
  <c r="O63" i="22"/>
  <c r="N66" i="21"/>
  <c r="O66" i="22"/>
  <c r="O75" i="22"/>
  <c r="N75" i="21"/>
  <c r="O90" i="22"/>
  <c r="N90" i="21"/>
  <c r="O86" i="22"/>
  <c r="N86" i="21"/>
  <c r="O49" i="22"/>
  <c r="N49" i="21"/>
  <c r="N67" i="21"/>
  <c r="O67" i="22"/>
  <c r="O84" i="22"/>
  <c r="N84" i="21"/>
  <c r="N100" i="21"/>
  <c r="O100" i="22"/>
  <c r="O81" i="22"/>
  <c r="N81" i="21"/>
  <c r="O95" i="22"/>
  <c r="N95" i="21"/>
  <c r="O72" i="22"/>
  <c r="N72" i="21"/>
  <c r="N99" i="21"/>
  <c r="O99" i="22"/>
  <c r="O83" i="22"/>
  <c r="N83" i="21"/>
  <c r="O80" i="22"/>
  <c r="N80" i="21"/>
  <c r="O60" i="22"/>
  <c r="N60" i="21"/>
  <c r="O98" i="22"/>
  <c r="N98" i="21"/>
  <c r="O73" i="22"/>
  <c r="N73" i="21"/>
  <c r="O50" i="22"/>
  <c r="N50" i="21"/>
  <c r="O56" i="22"/>
  <c r="N56" i="21"/>
  <c r="N97" i="21"/>
  <c r="O97" i="22"/>
  <c r="N64" i="21"/>
  <c r="O64" i="22"/>
  <c r="O94" i="22"/>
  <c r="N94" i="21"/>
  <c r="O57" i="22"/>
  <c r="N57" i="21"/>
  <c r="O77" i="22"/>
  <c r="N77" i="21"/>
  <c r="O93" i="22"/>
  <c r="N93" i="21"/>
  <c r="O68" i="22"/>
  <c r="N68" i="21"/>
  <c r="N59" i="21"/>
  <c r="O59" i="22"/>
  <c r="O53" i="22"/>
  <c r="N53" i="21"/>
  <c r="O79" i="22"/>
  <c r="N79" i="21"/>
  <c r="N101" i="21"/>
  <c r="O101" i="22"/>
  <c r="O78" i="22"/>
  <c r="N78" i="21"/>
  <c r="O85" i="22"/>
  <c r="N85" i="21"/>
  <c r="K90" i="22"/>
  <c r="J90" i="21"/>
  <c r="K50" i="22"/>
  <c r="J50" i="21"/>
  <c r="L53" i="22"/>
  <c r="K53" i="21"/>
  <c r="K64" i="21"/>
  <c r="L64" i="22"/>
  <c r="K82" i="21"/>
  <c r="L82" i="22"/>
  <c r="L78" i="22"/>
  <c r="K78" i="21"/>
  <c r="K68" i="21"/>
  <c r="L68" i="22"/>
  <c r="K53" i="22"/>
  <c r="J53" i="21"/>
  <c r="J54" i="21"/>
  <c r="K54" i="22"/>
  <c r="L63" i="22"/>
  <c r="K63" i="21"/>
  <c r="K99" i="21"/>
  <c r="L99" i="22"/>
  <c r="L72" i="22"/>
  <c r="K72" i="21"/>
  <c r="K97" i="21"/>
  <c r="L97" i="22"/>
  <c r="K77" i="22"/>
  <c r="J77" i="21"/>
  <c r="L83" i="22"/>
  <c r="K83" i="21"/>
  <c r="K63" i="22"/>
  <c r="J63" i="21"/>
  <c r="K66" i="21"/>
  <c r="L66" i="22"/>
  <c r="K93" i="22"/>
  <c r="J93" i="21"/>
  <c r="L52" i="22"/>
  <c r="K52" i="21"/>
  <c r="L80" i="22"/>
  <c r="K80" i="21"/>
  <c r="K56" i="21"/>
  <c r="L56" i="22"/>
  <c r="K96" i="21"/>
  <c r="L96" i="22"/>
  <c r="K58" i="22"/>
  <c r="J58" i="21"/>
  <c r="L91" i="22"/>
  <c r="K91" i="21"/>
  <c r="K73" i="22"/>
  <c r="J73" i="21"/>
  <c r="K52" i="22"/>
  <c r="J52" i="21"/>
  <c r="K60" i="22"/>
  <c r="J60" i="21"/>
  <c r="L95" i="22"/>
  <c r="K95" i="21"/>
  <c r="L94" i="22"/>
  <c r="K94" i="21"/>
  <c r="J62" i="21"/>
  <c r="K62" i="22"/>
  <c r="K76" i="21"/>
  <c r="L76" i="22"/>
  <c r="K87" i="22"/>
  <c r="J87" i="21"/>
  <c r="J55" i="21"/>
  <c r="K55" i="22"/>
  <c r="K69" i="22"/>
  <c r="J69" i="21"/>
  <c r="K95" i="22"/>
  <c r="J95" i="21"/>
  <c r="L60" i="22"/>
  <c r="K60" i="21"/>
  <c r="L57" i="22"/>
  <c r="K57" i="21"/>
  <c r="L74" i="22"/>
  <c r="K74" i="21"/>
  <c r="K58" i="21"/>
  <c r="L58" i="22"/>
  <c r="K83" i="22"/>
  <c r="J83" i="21"/>
  <c r="J56" i="21"/>
  <c r="K56" i="22"/>
  <c r="K92" i="22"/>
  <c r="J92" i="21"/>
  <c r="J99" i="21"/>
  <c r="K99" i="22"/>
  <c r="K70" i="22"/>
  <c r="J70" i="21"/>
  <c r="K88" i="22"/>
  <c r="J88" i="21"/>
  <c r="K65" i="22"/>
  <c r="J65" i="21"/>
  <c r="K67" i="22"/>
  <c r="J67" i="21"/>
  <c r="K75" i="22"/>
  <c r="J75" i="21"/>
  <c r="K66" i="22"/>
  <c r="J66" i="21"/>
  <c r="K57" i="22"/>
  <c r="J57" i="21"/>
  <c r="K68" i="22"/>
  <c r="J68" i="21"/>
  <c r="K80" i="22"/>
  <c r="J80" i="21"/>
  <c r="K86" i="22"/>
  <c r="J86" i="21"/>
  <c r="J79" i="21"/>
  <c r="K79" i="22"/>
  <c r="K81" i="22"/>
  <c r="J81" i="21"/>
  <c r="L71" i="22"/>
  <c r="K71" i="21"/>
  <c r="K75" i="21"/>
  <c r="L75" i="22"/>
  <c r="K94" i="22"/>
  <c r="J94" i="21"/>
  <c r="K91" i="22"/>
  <c r="J91" i="21"/>
  <c r="L62" i="22"/>
  <c r="K62" i="21"/>
  <c r="K51" i="22"/>
  <c r="J51" i="21"/>
  <c r="K97" i="22"/>
  <c r="J97" i="21"/>
  <c r="K85" i="21"/>
  <c r="L85" i="22"/>
  <c r="L89" i="22"/>
  <c r="K89" i="21"/>
  <c r="L98" i="22"/>
  <c r="K98" i="21"/>
  <c r="K71" i="22"/>
  <c r="J71" i="21"/>
  <c r="L84" i="22"/>
  <c r="K84" i="21"/>
  <c r="K88" i="21"/>
  <c r="L88" i="22"/>
  <c r="K100" i="22"/>
  <c r="J100" i="21"/>
  <c r="L92" i="22"/>
  <c r="K92" i="21"/>
  <c r="K72" i="22"/>
  <c r="J72" i="21"/>
  <c r="K98" i="22"/>
  <c r="J98" i="21"/>
  <c r="J76" i="21"/>
  <c r="K76" i="22"/>
  <c r="L90" i="22"/>
  <c r="K90" i="21"/>
  <c r="L51" i="22"/>
  <c r="K51" i="21"/>
  <c r="L93" i="22"/>
  <c r="K93" i="21"/>
  <c r="L101" i="22"/>
  <c r="K101" i="21"/>
  <c r="L54" i="22"/>
  <c r="K54" i="21"/>
  <c r="K84" i="22"/>
  <c r="J84" i="21"/>
  <c r="K85" i="22"/>
  <c r="J85" i="21"/>
  <c r="L59" i="22"/>
  <c r="K59" i="21"/>
  <c r="K70" i="21"/>
  <c r="L70" i="22"/>
  <c r="J96" i="21"/>
  <c r="K96" i="22"/>
  <c r="K61" i="22"/>
  <c r="J61" i="21"/>
  <c r="K79" i="21"/>
  <c r="L79" i="22"/>
  <c r="L69" i="22"/>
  <c r="K69" i="21"/>
  <c r="L61" i="22"/>
  <c r="K61" i="21"/>
  <c r="K50" i="21"/>
  <c r="L50" i="22"/>
  <c r="J64" i="21"/>
  <c r="K64" i="22"/>
  <c r="K101" i="22"/>
  <c r="J101" i="21"/>
  <c r="J89" i="21"/>
  <c r="K89" i="22"/>
  <c r="L81" i="22"/>
  <c r="K81" i="21"/>
  <c r="K67" i="21"/>
  <c r="L67" i="22"/>
  <c r="K65" i="21"/>
  <c r="L65" i="22"/>
  <c r="K73" i="21"/>
  <c r="L73" i="22"/>
  <c r="K59" i="22"/>
  <c r="J59" i="21"/>
  <c r="K78" i="22"/>
  <c r="J78" i="21"/>
  <c r="K82" i="22"/>
  <c r="J82" i="21"/>
  <c r="K86" i="21"/>
  <c r="L86" i="22"/>
  <c r="K87" i="21"/>
  <c r="L87" i="22"/>
  <c r="K74" i="22"/>
  <c r="J74" i="21"/>
  <c r="L55" i="22"/>
  <c r="K55" i="21"/>
  <c r="K100" i="21"/>
  <c r="L100" i="22"/>
  <c r="L77" i="22"/>
  <c r="K77" i="21"/>
  <c r="N63" i="22"/>
  <c r="M63" i="21"/>
  <c r="M82" i="21"/>
  <c r="N82" i="22"/>
  <c r="M72" i="21"/>
  <c r="N72" i="22"/>
  <c r="M74" i="21"/>
  <c r="N74" i="22"/>
  <c r="N58" i="22"/>
  <c r="M58" i="21"/>
  <c r="N52" i="22"/>
  <c r="M52" i="21"/>
  <c r="N66" i="22"/>
  <c r="M66" i="21"/>
  <c r="M87" i="21"/>
  <c r="N87" i="22"/>
  <c r="M56" i="21"/>
  <c r="N56" i="22"/>
  <c r="M88" i="21"/>
  <c r="N88" i="22"/>
  <c r="M95" i="21"/>
  <c r="N95" i="22"/>
  <c r="N50" i="22"/>
  <c r="M50" i="21"/>
  <c r="N67" i="22"/>
  <c r="M67" i="21"/>
  <c r="M86" i="21"/>
  <c r="N86" i="22"/>
  <c r="N64" i="22"/>
  <c r="M64" i="21"/>
  <c r="N79" i="22"/>
  <c r="M79" i="21"/>
  <c r="M59" i="21"/>
  <c r="N59" i="22"/>
  <c r="N65" i="22"/>
  <c r="M65" i="21"/>
  <c r="N96" i="22"/>
  <c r="M96" i="21"/>
  <c r="M91" i="21"/>
  <c r="N91" i="22"/>
  <c r="M83" i="21"/>
  <c r="N83" i="22"/>
  <c r="M73" i="21"/>
  <c r="N73" i="22"/>
  <c r="M94" i="21"/>
  <c r="N94" i="22"/>
  <c r="M90" i="21"/>
  <c r="N90" i="22"/>
  <c r="N92" i="22"/>
  <c r="M92" i="21"/>
  <c r="N53" i="22"/>
  <c r="M53" i="21"/>
  <c r="N70" i="22"/>
  <c r="M70" i="21"/>
  <c r="M54" i="21"/>
  <c r="N54" i="22"/>
  <c r="N93" i="22"/>
  <c r="M93" i="21"/>
  <c r="M76" i="21"/>
  <c r="N76" i="22"/>
  <c r="M78" i="21"/>
  <c r="N78" i="22"/>
  <c r="M85" i="21"/>
  <c r="N85" i="22"/>
  <c r="N75" i="22"/>
  <c r="M75" i="21"/>
  <c r="M55" i="21"/>
  <c r="N55" i="22"/>
  <c r="M80" i="21"/>
  <c r="N80" i="22"/>
  <c r="M51" i="21"/>
  <c r="N51" i="22"/>
  <c r="N61" i="22"/>
  <c r="M61" i="21"/>
  <c r="N98" i="22"/>
  <c r="M98" i="21"/>
  <c r="N71" i="22"/>
  <c r="M71" i="21"/>
  <c r="N100" i="22"/>
  <c r="M100" i="21"/>
  <c r="M60" i="21"/>
  <c r="N60" i="22"/>
  <c r="N77" i="22"/>
  <c r="M77" i="21"/>
  <c r="N81" i="22"/>
  <c r="M81" i="21"/>
  <c r="N62" i="22"/>
  <c r="M62" i="21"/>
  <c r="M84" i="21"/>
  <c r="N84" i="22"/>
  <c r="N99" i="22"/>
  <c r="M99" i="21"/>
  <c r="M69" i="21"/>
  <c r="N69" i="22"/>
  <c r="N101" i="22"/>
  <c r="M101" i="21"/>
  <c r="M57" i="21"/>
  <c r="N57" i="22"/>
  <c r="M49" i="21"/>
  <c r="N49" i="22"/>
  <c r="N68" i="22"/>
  <c r="M68" i="21"/>
  <c r="N89" i="22"/>
  <c r="M89" i="21"/>
  <c r="N97" i="22"/>
  <c r="M97" i="21"/>
  <c r="I51" i="22"/>
  <c r="H51" i="21"/>
  <c r="I94" i="22"/>
  <c r="H94" i="21"/>
  <c r="I88" i="22"/>
  <c r="H88" i="21"/>
  <c r="I52" i="21"/>
  <c r="J52" i="22"/>
  <c r="J55" i="22"/>
  <c r="I55" i="21"/>
  <c r="J99" i="22"/>
  <c r="I99" i="21"/>
  <c r="I83" i="22"/>
  <c r="H83" i="21"/>
  <c r="J98" i="22"/>
  <c r="I98" i="21"/>
  <c r="I80" i="22"/>
  <c r="H80" i="21"/>
  <c r="H61" i="21"/>
  <c r="I61" i="22"/>
  <c r="I64" i="21"/>
  <c r="J64" i="22"/>
  <c r="J95" i="22"/>
  <c r="I95" i="21"/>
  <c r="I55" i="22"/>
  <c r="H55" i="21"/>
  <c r="I98" i="22"/>
  <c r="H98" i="21"/>
  <c r="I96" i="22"/>
  <c r="H96" i="21"/>
  <c r="J72" i="22"/>
  <c r="I72" i="21"/>
  <c r="J58" i="22"/>
  <c r="I58" i="21"/>
  <c r="J83" i="22"/>
  <c r="I83" i="21"/>
  <c r="H59" i="21"/>
  <c r="I59" i="22"/>
  <c r="J89" i="22"/>
  <c r="I89" i="21"/>
  <c r="I54" i="22"/>
  <c r="H54" i="21"/>
  <c r="J75" i="22"/>
  <c r="I75" i="21"/>
  <c r="I57" i="21"/>
  <c r="J57" i="22"/>
  <c r="I101" i="22"/>
  <c r="H101" i="21"/>
  <c r="J84" i="22"/>
  <c r="I84" i="21"/>
  <c r="I95" i="22"/>
  <c r="H95" i="21"/>
  <c r="I66" i="22"/>
  <c r="H66" i="21"/>
  <c r="J50" i="22"/>
  <c r="I50" i="21"/>
  <c r="J51" i="22"/>
  <c r="I51" i="21"/>
  <c r="I86" i="22"/>
  <c r="H86" i="21"/>
  <c r="I66" i="21"/>
  <c r="J66" i="22"/>
  <c r="J67" i="22"/>
  <c r="I67" i="21"/>
  <c r="I58" i="22"/>
  <c r="H58" i="21"/>
  <c r="J69" i="22"/>
  <c r="I69" i="21"/>
  <c r="J92" i="22"/>
  <c r="I92" i="21"/>
  <c r="I93" i="21"/>
  <c r="J93" i="22"/>
  <c r="I72" i="22"/>
  <c r="H72" i="21"/>
  <c r="I71" i="22"/>
  <c r="H71" i="21"/>
  <c r="I74" i="22"/>
  <c r="H74" i="21"/>
  <c r="I77" i="22"/>
  <c r="H77" i="21"/>
  <c r="J61" i="22"/>
  <c r="I61" i="21"/>
  <c r="J56" i="22"/>
  <c r="I56" i="21"/>
  <c r="I88" i="21"/>
  <c r="J88" i="22"/>
  <c r="J63" i="22"/>
  <c r="I63" i="21"/>
  <c r="J85" i="22"/>
  <c r="I85" i="21"/>
  <c r="H91" i="21"/>
  <c r="I91" i="22"/>
  <c r="I50" i="22"/>
  <c r="H50" i="21"/>
  <c r="I100" i="22"/>
  <c r="H100" i="21"/>
  <c r="J60" i="22"/>
  <c r="I60" i="21"/>
  <c r="J71" i="22"/>
  <c r="I71" i="21"/>
  <c r="J87" i="22"/>
  <c r="I87" i="21"/>
  <c r="I64" i="22"/>
  <c r="H64" i="21"/>
  <c r="H79" i="21"/>
  <c r="I79" i="22"/>
  <c r="I62" i="22"/>
  <c r="H62" i="21"/>
  <c r="J53" i="22"/>
  <c r="I53" i="21"/>
  <c r="I80" i="21"/>
  <c r="J80" i="22"/>
  <c r="J74" i="22"/>
  <c r="I74" i="21"/>
  <c r="I87" i="22"/>
  <c r="H87" i="21"/>
  <c r="I82" i="22"/>
  <c r="H82" i="21"/>
  <c r="I78" i="22"/>
  <c r="H78" i="21"/>
  <c r="J86" i="22"/>
  <c r="I86" i="21"/>
  <c r="J82" i="22"/>
  <c r="I82" i="21"/>
  <c r="H75" i="21"/>
  <c r="I75" i="22"/>
  <c r="J59" i="22"/>
  <c r="I59" i="21"/>
  <c r="I63" i="22"/>
  <c r="H63" i="21"/>
  <c r="I70" i="22"/>
  <c r="H70" i="21"/>
  <c r="J79" i="22"/>
  <c r="I79" i="21"/>
  <c r="I56" i="22"/>
  <c r="H56" i="21"/>
  <c r="I84" i="22"/>
  <c r="H84" i="21"/>
  <c r="I92" i="22"/>
  <c r="H92" i="21"/>
  <c r="I77" i="21"/>
  <c r="J77" i="22"/>
  <c r="I96" i="21"/>
  <c r="J96" i="22"/>
  <c r="J101" i="22"/>
  <c r="I101" i="21"/>
  <c r="I53" i="22"/>
  <c r="H53" i="21"/>
  <c r="J90" i="22"/>
  <c r="I90" i="21"/>
  <c r="I90" i="22"/>
  <c r="H90" i="21"/>
  <c r="J100" i="22"/>
  <c r="I100" i="21"/>
  <c r="H52" i="21"/>
  <c r="I52" i="22"/>
  <c r="J54" i="22"/>
  <c r="I54" i="21"/>
  <c r="J81" i="22"/>
  <c r="I81" i="21"/>
  <c r="I89" i="22"/>
  <c r="H89" i="21"/>
  <c r="I76" i="22"/>
  <c r="H76" i="21"/>
  <c r="J65" i="22"/>
  <c r="I65" i="21"/>
  <c r="J91" i="22"/>
  <c r="I91" i="21"/>
  <c r="I67" i="22"/>
  <c r="H67" i="21"/>
  <c r="I69" i="22"/>
  <c r="H69" i="21"/>
  <c r="J68" i="22"/>
  <c r="I68" i="21"/>
  <c r="J94" i="22"/>
  <c r="I94" i="21"/>
  <c r="J97" i="22"/>
  <c r="I97" i="21"/>
  <c r="I99" i="22"/>
  <c r="H99" i="21"/>
  <c r="J76" i="22"/>
  <c r="I76" i="21"/>
  <c r="H68" i="21"/>
  <c r="I68" i="22"/>
  <c r="H73" i="21"/>
  <c r="I73" i="22"/>
  <c r="I81" i="22"/>
  <c r="H81" i="21"/>
  <c r="I73" i="21"/>
  <c r="J73" i="22"/>
  <c r="I65" i="22"/>
  <c r="H65" i="21"/>
  <c r="I93" i="22"/>
  <c r="H93" i="21"/>
  <c r="H57" i="21"/>
  <c r="I57" i="22"/>
  <c r="J78" i="22"/>
  <c r="I78" i="21"/>
  <c r="I97" i="22"/>
  <c r="H97" i="21"/>
  <c r="I85" i="22"/>
  <c r="H85" i="21"/>
  <c r="J70" i="22"/>
  <c r="I70" i="21"/>
  <c r="I60" i="22"/>
  <c r="H60" i="21"/>
  <c r="I62" i="21"/>
  <c r="J62" i="22"/>
</calcChain>
</file>

<file path=xl/sharedStrings.xml><?xml version="1.0" encoding="utf-8"?>
<sst xmlns="http://schemas.openxmlformats.org/spreadsheetml/2006/main" count="5586" uniqueCount="2252">
  <si>
    <t>Distance</t>
  </si>
  <si>
    <t>100 m</t>
  </si>
  <si>
    <t>200 m</t>
  </si>
  <si>
    <t>400 m</t>
  </si>
  <si>
    <t>800 m</t>
  </si>
  <si>
    <t>1500</t>
  </si>
  <si>
    <t>Mile</t>
  </si>
  <si>
    <t>5000</t>
  </si>
  <si>
    <t>10000</t>
  </si>
  <si>
    <t>H. Mar</t>
  </si>
  <si>
    <t>Marathon</t>
  </si>
  <si>
    <t>5K</t>
  </si>
  <si>
    <t>6K</t>
  </si>
  <si>
    <t>4MI</t>
  </si>
  <si>
    <t>8K</t>
  </si>
  <si>
    <t>5 Miles</t>
  </si>
  <si>
    <t>10K</t>
  </si>
  <si>
    <t>12K</t>
  </si>
  <si>
    <t>15K</t>
  </si>
  <si>
    <t>10MI</t>
  </si>
  <si>
    <t>20K</t>
  </si>
  <si>
    <t>25K</t>
  </si>
  <si>
    <t>30K</t>
  </si>
  <si>
    <t>50K</t>
  </si>
  <si>
    <t>50MI</t>
  </si>
  <si>
    <t>100K</t>
  </si>
  <si>
    <t>150K</t>
  </si>
  <si>
    <t>100MI</t>
  </si>
  <si>
    <t>200K</t>
  </si>
  <si>
    <t>km</t>
  </si>
  <si>
    <t>Pace per km</t>
  </si>
  <si>
    <t>Record (min)</t>
  </si>
  <si>
    <t>Record</t>
  </si>
  <si>
    <t>Record (s)</t>
  </si>
  <si>
    <t>Adjusted record (s)</t>
  </si>
  <si>
    <t>Adjusted record track</t>
  </si>
  <si>
    <t>Adjusted pace road</t>
  </si>
  <si>
    <t>Adjusted pace track</t>
  </si>
  <si>
    <t>log(km)</t>
  </si>
  <si>
    <t>log(pace)</t>
  </si>
  <si>
    <t>Computed pace</t>
  </si>
  <si>
    <t>Youth Coef-1 - B</t>
  </si>
  <si>
    <t>Youth Coef-2 - A</t>
  </si>
  <si>
    <t>Masters Coef-1 - E</t>
  </si>
  <si>
    <t>Masters Coef-2 - F</t>
  </si>
  <si>
    <t>Youth age 1 - c</t>
  </si>
  <si>
    <t>Youth age 1 - b</t>
  </si>
  <si>
    <t>Youth age 2 - a</t>
  </si>
  <si>
    <t>Masters age 1 - d</t>
  </si>
  <si>
    <t>Masters age 1 - e</t>
  </si>
  <si>
    <t>Masters age 2 - f</t>
  </si>
  <si>
    <t>5MI</t>
  </si>
  <si>
    <t>Interpolation:</t>
  </si>
  <si>
    <t>d</t>
  </si>
  <si>
    <t>e</t>
  </si>
  <si>
    <t>f</t>
  </si>
  <si>
    <t>E</t>
  </si>
  <si>
    <t>F</t>
  </si>
  <si>
    <t>Male Road Adjusted pace</t>
  </si>
  <si>
    <t>Record pace</t>
  </si>
  <si>
    <t>Male PF</t>
  </si>
  <si>
    <t>Female Pf</t>
  </si>
  <si>
    <t>World rec pf</t>
  </si>
  <si>
    <t>WR 30:21 Paula Radcliffe GBR San Juan, PUR, 23 02 2003</t>
  </si>
  <si>
    <t>Dist</t>
  </si>
  <si>
    <t>x</t>
  </si>
  <si>
    <t>Percentage for 5K</t>
  </si>
  <si>
    <t>Percentage for Marathon</t>
  </si>
  <si>
    <t>p1*(1-x)+p2*x</t>
  </si>
  <si>
    <t>Age</t>
  </si>
  <si>
    <t>Records</t>
  </si>
  <si>
    <t>Decimal record</t>
  </si>
  <si>
    <t>Youth Coefficient</t>
  </si>
  <si>
    <t>Masters Coefficient</t>
  </si>
  <si>
    <t>Maximum Youth age</t>
  </si>
  <si>
    <t>Minimum Masters age</t>
  </si>
  <si>
    <t>Female 6 km</t>
  </si>
  <si>
    <t>Female 4 Mile</t>
  </si>
  <si>
    <t xml:space="preserve"> </t>
  </si>
  <si>
    <t>Female 5 Mile</t>
  </si>
  <si>
    <t>Female 12 km</t>
  </si>
  <si>
    <t>Female 15 km</t>
  </si>
  <si>
    <t>Female 10 Mile</t>
  </si>
  <si>
    <t>Female 20 km</t>
  </si>
  <si>
    <t>World Ultra records</t>
  </si>
  <si>
    <t>World Ultra minutes</t>
  </si>
  <si>
    <t xml:space="preserve">R 3.28.34  Ann TRASON (USA)  30.08.60    Nantes   (FRA) 28.09.1996  </t>
  </si>
  <si>
    <t xml:space="preserve">T 3.37.25  Maria   AUXILIADOR  (BRA)  2.05.58   Sao Paulo  (BRA) 27.07.2000   </t>
  </si>
  <si>
    <t>T 3.39.37  Eleanor ROBINSON   (GBR)   20.11.47  Barry    (GBR) 6.03.1994</t>
  </si>
  <si>
    <t>50 km</t>
  </si>
  <si>
    <t>R 3.46.57   Karin RISCH (GER)  1.04.46  Rodenbach   (GER) 13.11.1999</t>
  </si>
  <si>
    <t xml:space="preserve">R 4.24.28  SCHMITZ Ursula (GER)  28.05.32  Rodenbach  (GER) 16.04.1994 </t>
  </si>
  <si>
    <t xml:space="preserve">T 4.38.22 Shirley YOUNG  (AUS)  24.12.29 East  Burwood (AUS) 1995 </t>
  </si>
  <si>
    <t xml:space="preserve">5.13.57  Shirley YOUNG  (AUS)  24.12.29  AdelaÃ¯de  (AUS) 20.10.2002 </t>
  </si>
  <si>
    <t>Frith Van Der Merwe   (RSA)</t>
  </si>
  <si>
    <t>R</t>
  </si>
  <si>
    <t>Claremont</t>
  </si>
  <si>
    <t>MYRA RHODES   (CA/67)</t>
  </si>
  <si>
    <t>SANDRA KIDDY   (CA/47)</t>
  </si>
  <si>
    <t>SANDRA KIDDY   (CA/55)</t>
  </si>
  <si>
    <t>SACRAMENTO,   CA</t>
  </si>
  <si>
    <t>TALLAHASSEE,   FLÂ </t>
  </si>
  <si>
    <t>WASHINGTON,   DC</t>
  </si>
  <si>
    <t xml:space="preserve">R 7.00.47  Ann TRASON  (USA)   30.08.60    Winschoten   (NED) 16.09.1995 </t>
  </si>
  <si>
    <t xml:space="preserve">R 7.20.22  Maria   AUXILIADORA    (BRA)  2.05.58     Sao Paulo    (BRA) 09.  08.1998  </t>
  </si>
  <si>
    <t>R '7.46.42  Huguette JOUAULT  (FRA)   8.07.51   Mulhouse   (FRA)  5.07.1997</t>
  </si>
  <si>
    <t xml:space="preserve">R 7.54.08  Danielle GEFFROY  (FRA)   14.05.45  Chavagnes   (FRA) 27.05.1995 </t>
  </si>
  <si>
    <t xml:space="preserve">R 8.42.36   Sandra KIDDY   (USA)   27.11.36   Palamos  (ESP)  16.02.1992  </t>
  </si>
  <si>
    <t>R 9.20.07   Ursula SCHMITZ   (GER)     28.05.32   Rodenbach   (GER)  16.04.1994</t>
  </si>
  <si>
    <t xml:space="preserve">R 10.21.21 Â   Ursula SCHMITZ    (GER)   28.05.32 Troisdorf    (GER) 10.04.1999  </t>
  </si>
  <si>
    <t xml:space="preserve">T 11.36.17   Shirley YOUNG  (AUS) 24.12.29 Adela¯de  (AUS)     20.10.2002 </t>
  </si>
  <si>
    <t>R 17.19.18 Marie-Claude NOYEL (FRA)    29.06.17   Millau(FRA)   24/25.09.2000</t>
  </si>
  <si>
    <t xml:space="preserve">R 18.15.17  Marie-Claude NOYEL (FRA)   29.06.17     Millau (FRA)   28/29.09.2002  </t>
  </si>
  <si>
    <t>OC sec</t>
  </si>
  <si>
    <t>OC</t>
  </si>
  <si>
    <t>5 km</t>
  </si>
  <si>
    <t>6 km</t>
  </si>
  <si>
    <t>4 Mile</t>
  </si>
  <si>
    <t>8 km</t>
  </si>
  <si>
    <t>5 MIle</t>
  </si>
  <si>
    <t>10 km</t>
  </si>
  <si>
    <t>12 km</t>
  </si>
  <si>
    <t>15 km</t>
  </si>
  <si>
    <t>10 Mile</t>
  </si>
  <si>
    <t>20 km</t>
  </si>
  <si>
    <t>25 km</t>
  </si>
  <si>
    <t>30 km</t>
  </si>
  <si>
    <t>50 Mile</t>
  </si>
  <si>
    <t>100 km</t>
  </si>
  <si>
    <t>150 km</t>
  </si>
  <si>
    <t>100 Mile</t>
  </si>
  <si>
    <t>200 km</t>
  </si>
  <si>
    <t>Female pace min/km</t>
  </si>
  <si>
    <t>5 Mile</t>
  </si>
  <si>
    <t>Female Performance Factors</t>
  </si>
  <si>
    <t>Female Performance factors using 2010</t>
  </si>
  <si>
    <t>Female Performance Factors using proposed 2015</t>
  </si>
  <si>
    <t>standards and 2014 records</t>
  </si>
  <si>
    <t>Single age performance based on proposed 2015 standards</t>
  </si>
  <si>
    <t>Proposed Standards</t>
  </si>
  <si>
    <t>World Record</t>
  </si>
  <si>
    <t>Proposed standard</t>
  </si>
  <si>
    <t>Perf factor %</t>
  </si>
  <si>
    <t>Proposed factors</t>
  </si>
  <si>
    <t>Proprosed factor</t>
  </si>
  <si>
    <t>Proposed factor</t>
  </si>
  <si>
    <t>Performance factor %</t>
  </si>
  <si>
    <t>Age Factors</t>
  </si>
  <si>
    <t>D</t>
  </si>
  <si>
    <t>Interpolated</t>
  </si>
  <si>
    <t>Time (s)</t>
  </si>
  <si>
    <t>Time(min)</t>
  </si>
  <si>
    <t>2020 Bernhard Single Age Bests</t>
  </si>
  <si>
    <t>Proposed 2020 Age factor</t>
  </si>
  <si>
    <t>O'Neill</t>
  </si>
  <si>
    <t>USA</t>
  </si>
  <si>
    <t>Huntsville AL USA</t>
  </si>
  <si>
    <t>San Jose CA USA</t>
  </si>
  <si>
    <t>JPN</t>
  </si>
  <si>
    <t>Himeji JPN</t>
  </si>
  <si>
    <t>KEN</t>
  </si>
  <si>
    <t>Bolzano ITA</t>
  </si>
  <si>
    <t>Tirunesh</t>
  </si>
  <si>
    <t>ETH</t>
  </si>
  <si>
    <t>Carlsbad 5000</t>
  </si>
  <si>
    <t>Carlsbad CA USA</t>
  </si>
  <si>
    <t>Rose</t>
  </si>
  <si>
    <t>Lydia</t>
  </si>
  <si>
    <t>Cheromei Kogo</t>
  </si>
  <si>
    <t>Bern SUI</t>
  </si>
  <si>
    <t>Boston MA USA</t>
  </si>
  <si>
    <t>Paula</t>
  </si>
  <si>
    <t>ENG</t>
  </si>
  <si>
    <t>London ENG</t>
  </si>
  <si>
    <t>Elana</t>
  </si>
  <si>
    <t>Meyer</t>
  </si>
  <si>
    <t>RSA</t>
  </si>
  <si>
    <t>Providence RI USA</t>
  </si>
  <si>
    <t>Lornah</t>
  </si>
  <si>
    <t>NED</t>
  </si>
  <si>
    <t>Molly</t>
  </si>
  <si>
    <t>Huddle</t>
  </si>
  <si>
    <t>Mamitu</t>
  </si>
  <si>
    <t>Daska Molisa</t>
  </si>
  <si>
    <t>Sonia</t>
  </si>
  <si>
    <t>IRL</t>
  </si>
  <si>
    <t>Colleen</t>
  </si>
  <si>
    <t>De Reuck</t>
  </si>
  <si>
    <t>Mary</t>
  </si>
  <si>
    <t>Edith</t>
  </si>
  <si>
    <t>Masai</t>
  </si>
  <si>
    <t>Jennifer</t>
  </si>
  <si>
    <t>Rhines</t>
  </si>
  <si>
    <t>Deena</t>
  </si>
  <si>
    <t>Kastor</t>
  </si>
  <si>
    <t>Firiya</t>
  </si>
  <si>
    <t>Sultanova</t>
  </si>
  <si>
    <t>RUS</t>
  </si>
  <si>
    <t>Dublin IRL</t>
  </si>
  <si>
    <t>Tatyana</t>
  </si>
  <si>
    <t>Pozdniakova</t>
  </si>
  <si>
    <t>UKR</t>
  </si>
  <si>
    <t>Linda</t>
  </si>
  <si>
    <t>Monica</t>
  </si>
  <si>
    <t>Joyce</t>
  </si>
  <si>
    <t>Fiona</t>
  </si>
  <si>
    <t>SCO</t>
  </si>
  <si>
    <t>Joan</t>
  </si>
  <si>
    <t>Samuelson</t>
  </si>
  <si>
    <t>GER</t>
  </si>
  <si>
    <t>Doncaster ENG</t>
  </si>
  <si>
    <t>Christine</t>
  </si>
  <si>
    <t>Kennedy</t>
  </si>
  <si>
    <t>Horwich ENG</t>
  </si>
  <si>
    <t>Kathryn</t>
  </si>
  <si>
    <t>Martin</t>
  </si>
  <si>
    <t>Syracuse NY USA</t>
  </si>
  <si>
    <t>Sabra</t>
  </si>
  <si>
    <t>Houston TX USA</t>
  </si>
  <si>
    <t>Angela</t>
  </si>
  <si>
    <t>Houston, TX</t>
  </si>
  <si>
    <t>Jeannie</t>
  </si>
  <si>
    <t>Rice</t>
  </si>
  <si>
    <t>Libby</t>
  </si>
  <si>
    <t>James</t>
  </si>
  <si>
    <t>CAN</t>
  </si>
  <si>
    <t>Anne</t>
  </si>
  <si>
    <t>Clarke</t>
  </si>
  <si>
    <t>Park Ridge Charity Classic</t>
  </si>
  <si>
    <t>Park Ridge, IL</t>
  </si>
  <si>
    <t>Leona</t>
  </si>
  <si>
    <t>Lugers</t>
  </si>
  <si>
    <t>Berwyn 5000</t>
  </si>
  <si>
    <t>Berwyn, IL</t>
  </si>
  <si>
    <t>CA</t>
  </si>
  <si>
    <t>Charlotte, NC</t>
  </si>
  <si>
    <t>Washington, DC</t>
  </si>
  <si>
    <t>FNAME</t>
  </si>
  <si>
    <t>LNAME</t>
  </si>
  <si>
    <t>Country</t>
  </si>
  <si>
    <t>DOB</t>
  </si>
  <si>
    <t>RACE_NAME</t>
  </si>
  <si>
    <t>RACE_LOC</t>
  </si>
  <si>
    <t>RACE_DATE</t>
  </si>
  <si>
    <t>COURSE_CERT_SOURCE</t>
  </si>
  <si>
    <t>38:37</t>
  </si>
  <si>
    <t>Washington DC USA</t>
  </si>
  <si>
    <t>Reagan</t>
  </si>
  <si>
    <t xml:space="preserve">Jones </t>
  </si>
  <si>
    <t>Phoenix AZ USA</t>
  </si>
  <si>
    <t>SUI</t>
  </si>
  <si>
    <t>CHN</t>
  </si>
  <si>
    <t>Beijing CHN</t>
  </si>
  <si>
    <t>Irvette</t>
  </si>
  <si>
    <t xml:space="preserve">vanZyl </t>
  </si>
  <si>
    <t>Durban RSA</t>
  </si>
  <si>
    <t>NOR</t>
  </si>
  <si>
    <t>Winnie</t>
  </si>
  <si>
    <t xml:space="preserve">Chepkemoi </t>
  </si>
  <si>
    <t>Utrecht NED</t>
  </si>
  <si>
    <t>Gladys</t>
  </si>
  <si>
    <t>Berlin GER</t>
  </si>
  <si>
    <t>Peres</t>
  </si>
  <si>
    <t xml:space="preserve">Chepchirchir </t>
  </si>
  <si>
    <t>Prague CZE</t>
  </si>
  <si>
    <t>Liz</t>
  </si>
  <si>
    <t xml:space="preserve">McColgan </t>
  </si>
  <si>
    <t>Orlando FL USA</t>
  </si>
  <si>
    <t xml:space="preserve">Radcliffe </t>
  </si>
  <si>
    <t>New York NY USA</t>
  </si>
  <si>
    <t xml:space="preserve">Dibaba </t>
  </si>
  <si>
    <t>Tilburg NED</t>
  </si>
  <si>
    <t xml:space="preserve">Kiplagat </t>
  </si>
  <si>
    <t>Ottawa ON CAN</t>
  </si>
  <si>
    <t>Ingrid</t>
  </si>
  <si>
    <t xml:space="preserve">Kristiansen </t>
  </si>
  <si>
    <t>Shalane</t>
  </si>
  <si>
    <t xml:space="preserve">Flanagan </t>
  </si>
  <si>
    <t>Manchester ENG</t>
  </si>
  <si>
    <t xml:space="preserve">Masai </t>
  </si>
  <si>
    <t>Paderborn GER</t>
  </si>
  <si>
    <t>Christelle</t>
  </si>
  <si>
    <t xml:space="preserve">Daunay </t>
  </si>
  <si>
    <t>FRA</t>
  </si>
  <si>
    <t xml:space="preserve">Pozdniakova </t>
  </si>
  <si>
    <t>Priscilla</t>
  </si>
  <si>
    <t xml:space="preserve">Welch </t>
  </si>
  <si>
    <t>Stephanie</t>
  </si>
  <si>
    <t>Herbst-Lucke</t>
  </si>
  <si>
    <t>Mobile AL USA</t>
  </si>
  <si>
    <t>Evy</t>
  </si>
  <si>
    <t xml:space="preserve">Palm </t>
  </si>
  <si>
    <t>SWE</t>
  </si>
  <si>
    <t>Goteborg SWE</t>
  </si>
  <si>
    <t>Nicole</t>
  </si>
  <si>
    <t xml:space="preserve">Leveque </t>
  </si>
  <si>
    <t xml:space="preserve">Matheson </t>
  </si>
  <si>
    <t>Glasgow SCO</t>
  </si>
  <si>
    <t>Houria</t>
  </si>
  <si>
    <t xml:space="preserve">Martin </t>
  </si>
  <si>
    <t>Alexandria VA USA</t>
  </si>
  <si>
    <t xml:space="preserve">Copson </t>
  </si>
  <si>
    <t>AUS</t>
  </si>
  <si>
    <t>Melbourne AUS</t>
  </si>
  <si>
    <t>Louise</t>
  </si>
  <si>
    <t xml:space="preserve">Gilchrist </t>
  </si>
  <si>
    <t>Hedy</t>
  </si>
  <si>
    <t>Marque</t>
  </si>
  <si>
    <t>Ruth</t>
  </si>
  <si>
    <t>Rothfarb</t>
  </si>
  <si>
    <t>1:25:52</t>
  </si>
  <si>
    <t>1:05:09</t>
  </si>
  <si>
    <t>1:05:52</t>
  </si>
  <si>
    <t>1:08:48</t>
  </si>
  <si>
    <t>1:24:54</t>
  </si>
  <si>
    <t>1:37:38</t>
  </si>
  <si>
    <t>Time</t>
  </si>
  <si>
    <t>Hayward CA USA</t>
  </si>
  <si>
    <t>Philadelphia PA USA</t>
  </si>
  <si>
    <t>Kobe JPN</t>
  </si>
  <si>
    <t>Kosice SVK</t>
  </si>
  <si>
    <t>Copenhagen DEN</t>
  </si>
  <si>
    <t>Ras Al Khaimah UAE</t>
  </si>
  <si>
    <t>Esther</t>
  </si>
  <si>
    <t>Valencia ESP</t>
  </si>
  <si>
    <t>BRN</t>
  </si>
  <si>
    <t>Barcelona ESP</t>
  </si>
  <si>
    <t>Keitany Chepkosgei</t>
  </si>
  <si>
    <t>Cardiff WAL</t>
  </si>
  <si>
    <t>Edna</t>
  </si>
  <si>
    <t>Kiplagat Ngeringwony</t>
  </si>
  <si>
    <t>ITA</t>
  </si>
  <si>
    <t>Joanne</t>
  </si>
  <si>
    <t>Leveque</t>
  </si>
  <si>
    <t>New York, NY</t>
  </si>
  <si>
    <t>Paris FRA</t>
  </si>
  <si>
    <t>Los Angeles CA USA</t>
  </si>
  <si>
    <t>Frechou</t>
  </si>
  <si>
    <t>NZL</t>
  </si>
  <si>
    <t>Den Haag NED</t>
  </si>
  <si>
    <t>Stefica</t>
  </si>
  <si>
    <t>Gajic</t>
  </si>
  <si>
    <t>Thionville FRA</t>
  </si>
  <si>
    <t>Bath ENG</t>
  </si>
  <si>
    <t>Emmi</t>
  </si>
  <si>
    <t>Luthi</t>
  </si>
  <si>
    <t>Rae</t>
  </si>
  <si>
    <t>Baymiller</t>
  </si>
  <si>
    <t>GBR</t>
  </si>
  <si>
    <t>Margaret</t>
  </si>
  <si>
    <t>San Diego, CA</t>
  </si>
  <si>
    <t>old legal course</t>
  </si>
  <si>
    <t>Manuela</t>
  </si>
  <si>
    <t xml:space="preserve">Zipse </t>
  </si>
  <si>
    <t>Dubai Marathon</t>
  </si>
  <si>
    <t>Dubai UAE</t>
  </si>
  <si>
    <t>London Marathon</t>
  </si>
  <si>
    <t>Chicago Marathon</t>
  </si>
  <si>
    <t>Chicago, IL</t>
  </si>
  <si>
    <t>Berlin Marathon</t>
  </si>
  <si>
    <t>Mizuki</t>
  </si>
  <si>
    <t>Chicago IL USA</t>
  </si>
  <si>
    <t>Nancy</t>
  </si>
  <si>
    <t>Vienna AUT</t>
  </si>
  <si>
    <t xml:space="preserve">Smith </t>
  </si>
  <si>
    <t>Ramilya</t>
  </si>
  <si>
    <t xml:space="preserve">Burangulova </t>
  </si>
  <si>
    <t>Frankfurt GER</t>
  </si>
  <si>
    <t xml:space="preserve">Samuelson </t>
  </si>
  <si>
    <t xml:space="preserve">Baymiller </t>
  </si>
  <si>
    <t>Jane</t>
  </si>
  <si>
    <t xml:space="preserve">Davies </t>
  </si>
  <si>
    <t xml:space="preserve">Rice </t>
  </si>
  <si>
    <t>Columbus Marathon</t>
  </si>
  <si>
    <t>Essen GER</t>
  </si>
  <si>
    <t>Sylvia</t>
  </si>
  <si>
    <t>Mavis</t>
  </si>
  <si>
    <t>Portland Marathon</t>
  </si>
  <si>
    <t>Portland OR USA</t>
  </si>
  <si>
    <t>tlbernhard2@gmail.com</t>
  </si>
  <si>
    <t>1 Mile</t>
  </si>
  <si>
    <t>Percent change</t>
  </si>
  <si>
    <t>2020 Age-Grade Standards</t>
  </si>
  <si>
    <t>https://github.com/AlanLyttonJones/Age-Grade-Tables</t>
  </si>
  <si>
    <t>2025 Bernard Single Age Bests</t>
  </si>
  <si>
    <t>49:14</t>
  </si>
  <si>
    <t>Agnes</t>
  </si>
  <si>
    <t>WR</t>
  </si>
  <si>
    <t>Adizero Road to Records</t>
  </si>
  <si>
    <t>Herzogenaurach, Ger</t>
  </si>
  <si>
    <t>The Giants Geneva 10K</t>
  </si>
  <si>
    <t>Geneva, SWI</t>
  </si>
  <si>
    <t>Chicago,IL</t>
  </si>
  <si>
    <t>2025 Bernhard Single Age Bests</t>
  </si>
  <si>
    <t>2025 Bernhard Bests</t>
  </si>
  <si>
    <t>2025 Proposed Age-Grade Standards</t>
  </si>
  <si>
    <t>Performance 2025 data vs 2025 standards</t>
  </si>
  <si>
    <t>Cursa dels Nassos in Barcelona 5K</t>
  </si>
  <si>
    <t>Barcelona SPN</t>
  </si>
  <si>
    <t>Monaco</t>
  </si>
  <si>
    <t>Proposed 2025 Age factor</t>
  </si>
  <si>
    <t>Letesenbet</t>
  </si>
  <si>
    <t>Gidey</t>
  </si>
  <si>
    <t>Medio Maratón Valencia Trinidad Alfonso EDP</t>
  </si>
  <si>
    <t>Jenny</t>
  </si>
  <si>
    <t>Hitchings</t>
  </si>
  <si>
    <t>Sacramento, CA</t>
  </si>
  <si>
    <t>MEX</t>
  </si>
  <si>
    <t>Proposed 2025 Age-Grade Standards</t>
  </si>
  <si>
    <t>Performance 2025 data vs 2020 standards</t>
  </si>
  <si>
    <t>2020 Barnard Single Age Bests</t>
  </si>
  <si>
    <t>Suffan</t>
  </si>
  <si>
    <t>Hassan</t>
  </si>
  <si>
    <t>2020 Barnhard Single Age Bests</t>
  </si>
  <si>
    <t>Adjusted record</t>
  </si>
  <si>
    <t>Track: World Records</t>
  </si>
  <si>
    <t>Road: World Records</t>
  </si>
  <si>
    <t>38:08</t>
  </si>
  <si>
    <t>Slope</t>
  </si>
  <si>
    <t>COMMENTS</t>
  </si>
  <si>
    <t>Elizabeth-Ann</t>
  </si>
  <si>
    <t>Westrip</t>
  </si>
  <si>
    <t>Aberdeen NC USA</t>
  </si>
  <si>
    <t>TIME_SEC</t>
  </si>
  <si>
    <t>51:26</t>
  </si>
  <si>
    <t>Morgan</t>
  </si>
  <si>
    <t>Lucason</t>
  </si>
  <si>
    <t>Canastota NY USA</t>
  </si>
  <si>
    <t>41:22</t>
  </si>
  <si>
    <t>Lilac Bloomsday Run 12K</t>
  </si>
  <si>
    <t>Spokane WA USA</t>
  </si>
  <si>
    <t>39:35</t>
  </si>
  <si>
    <t>Ondeyo</t>
  </si>
  <si>
    <t>39:37</t>
  </si>
  <si>
    <t>Chemutai</t>
  </si>
  <si>
    <t>Zandvoort NED</t>
  </si>
  <si>
    <t>39:53</t>
  </si>
  <si>
    <t>Rita</t>
  </si>
  <si>
    <t>Cheptoo Sitienei</t>
  </si>
  <si>
    <t>Voghera ITA</t>
  </si>
  <si>
    <t>39:34</t>
  </si>
  <si>
    <t>Leah</t>
  </si>
  <si>
    <t>Cherotich</t>
  </si>
  <si>
    <t>Santiago de Compostela ESP</t>
  </si>
  <si>
    <t>Lineth</t>
  </si>
  <si>
    <t>Chepkurui</t>
  </si>
  <si>
    <t>38:10</t>
  </si>
  <si>
    <t>38:21</t>
  </si>
  <si>
    <t>Emily</t>
  </si>
  <si>
    <t>Sisson</t>
  </si>
  <si>
    <t>.US National 12K</t>
  </si>
  <si>
    <t>38:50</t>
  </si>
  <si>
    <t>Muge Chebet</t>
  </si>
  <si>
    <t>39:15</t>
  </si>
  <si>
    <t>Cherono</t>
  </si>
  <si>
    <t>38:03</t>
  </si>
  <si>
    <t>Cynthia</t>
  </si>
  <si>
    <t>Cherotich Limo</t>
  </si>
  <si>
    <t>38:52</t>
  </si>
  <si>
    <t>38:26</t>
  </si>
  <si>
    <t>37:50</t>
  </si>
  <si>
    <t>38:36</t>
  </si>
  <si>
    <t>37:58</t>
  </si>
  <si>
    <t>Flanagan</t>
  </si>
  <si>
    <t>39:05</t>
  </si>
  <si>
    <t>Alisha</t>
  </si>
  <si>
    <t>Williams</t>
  </si>
  <si>
    <t>39:23</t>
  </si>
  <si>
    <t>39:17</t>
  </si>
  <si>
    <t>Brianne</t>
  </si>
  <si>
    <t>Nelson</t>
  </si>
  <si>
    <t>40:01</t>
  </si>
  <si>
    <t>Dulce-Maria</t>
  </si>
  <si>
    <t>Rodriguez delaCruz</t>
  </si>
  <si>
    <t>39:58</t>
  </si>
  <si>
    <t>Kerryn</t>
  </si>
  <si>
    <t>McCann</t>
  </si>
  <si>
    <t>38:53</t>
  </si>
  <si>
    <t>40:22</t>
  </si>
  <si>
    <t>40:31</t>
  </si>
  <si>
    <t>40:04</t>
  </si>
  <si>
    <t>40:49</t>
  </si>
  <si>
    <t>41:28</t>
  </si>
  <si>
    <t>42:04</t>
  </si>
  <si>
    <t>Perry</t>
  </si>
  <si>
    <t>Shoemaker</t>
  </si>
  <si>
    <t>43:18</t>
  </si>
  <si>
    <t>42:56</t>
  </si>
  <si>
    <t>Welch</t>
  </si>
  <si>
    <t>42:58</t>
  </si>
  <si>
    <t>46:13</t>
  </si>
  <si>
    <t>Marilyn</t>
  </si>
  <si>
    <t>Arsenault</t>
  </si>
  <si>
    <t>45:52</t>
  </si>
  <si>
    <t>45:55</t>
  </si>
  <si>
    <t>Daniela</t>
  </si>
  <si>
    <t>Gassmann</t>
  </si>
  <si>
    <t>Dietikon SUI</t>
  </si>
  <si>
    <t>47:05</t>
  </si>
  <si>
    <t>Sylvie</t>
  </si>
  <si>
    <t>Thevenet</t>
  </si>
  <si>
    <t>La Creche FRA</t>
  </si>
  <si>
    <t>44:56</t>
  </si>
  <si>
    <t>Shirley</t>
  </si>
  <si>
    <t>Matson</t>
  </si>
  <si>
    <t>47:38</t>
  </si>
  <si>
    <t>Bayonne FRA</t>
  </si>
  <si>
    <t>48:33</t>
  </si>
  <si>
    <t>Ottaway</t>
  </si>
  <si>
    <t>48:22</t>
  </si>
  <si>
    <t>49:04</t>
  </si>
  <si>
    <t>Carmen</t>
  </si>
  <si>
    <t>Ayala-Troncoso</t>
  </si>
  <si>
    <t>46:27</t>
  </si>
  <si>
    <t>49:39</t>
  </si>
  <si>
    <t>Rosalia</t>
  </si>
  <si>
    <t>Zanoner</t>
  </si>
  <si>
    <t>51:43</t>
  </si>
  <si>
    <t>50:49</t>
  </si>
  <si>
    <t>Barbara</t>
  </si>
  <si>
    <t>Miller</t>
  </si>
  <si>
    <t>51:18</t>
  </si>
  <si>
    <t>48:59</t>
  </si>
  <si>
    <t>48:54</t>
  </si>
  <si>
    <t>49:25</t>
  </si>
  <si>
    <t>51:27</t>
  </si>
  <si>
    <t>Kehrsatz SUI</t>
  </si>
  <si>
    <t>52:29</t>
  </si>
  <si>
    <t>57:49</t>
  </si>
  <si>
    <t>Jo-Anne</t>
  </si>
  <si>
    <t>Rowland</t>
  </si>
  <si>
    <t>Capital City Classic 12K</t>
  </si>
  <si>
    <t>Sacramento CA USA</t>
  </si>
  <si>
    <t>Judy</t>
  </si>
  <si>
    <t>Fisher</t>
  </si>
  <si>
    <t>12Ks of Christmas</t>
  </si>
  <si>
    <t>Kirkland, WA</t>
  </si>
  <si>
    <t>Algene</t>
  </si>
  <si>
    <t>Oktoberfast</t>
  </si>
  <si>
    <t>Itasca, IL</t>
  </si>
  <si>
    <t>58:22</t>
  </si>
  <si>
    <t>June</t>
  </si>
  <si>
    <t>Machala</t>
  </si>
  <si>
    <t xml:space="preserve">Sylvia </t>
  </si>
  <si>
    <t>Quinn</t>
  </si>
  <si>
    <t>59:44</t>
  </si>
  <si>
    <t>1:02:06</t>
  </si>
  <si>
    <t>1:03:20</t>
  </si>
  <si>
    <t>54:50</t>
  </si>
  <si>
    <t>USATF Masters 12 km Championships</t>
  </si>
  <si>
    <t>Highlands, NJ</t>
  </si>
  <si>
    <t>1:05:01</t>
  </si>
  <si>
    <t>Heide</t>
  </si>
  <si>
    <t>Moebius</t>
  </si>
  <si>
    <t>1:01:11</t>
  </si>
  <si>
    <t>Barnard 2025 bests</t>
  </si>
  <si>
    <t>Proposed 2025 standards</t>
  </si>
  <si>
    <t>1:54:01</t>
  </si>
  <si>
    <t>Potomac MD USA</t>
  </si>
  <si>
    <t>1:24:32</t>
  </si>
  <si>
    <t>Laura</t>
  </si>
  <si>
    <t>Cattivera</t>
  </si>
  <si>
    <t>Zuma Beach CA USA</t>
  </si>
  <si>
    <t>1:31:10</t>
  </si>
  <si>
    <t>Wazeter</t>
  </si>
  <si>
    <t>Wilkes-Barre PA USA</t>
  </si>
  <si>
    <t>1:27:30</t>
  </si>
  <si>
    <t>Suzanne</t>
  </si>
  <si>
    <t>Girard</t>
  </si>
  <si>
    <t>Vestall XX</t>
  </si>
  <si>
    <t>Vestal NY USA</t>
  </si>
  <si>
    <t>1:16:01</t>
  </si>
  <si>
    <t>Rumiko</t>
  </si>
  <si>
    <t>Kaneko</t>
  </si>
  <si>
    <t>1:09:41</t>
  </si>
  <si>
    <t>Azalech</t>
  </si>
  <si>
    <t>Masresha Woldeselasse</t>
  </si>
  <si>
    <t>Maroilles FRA</t>
  </si>
  <si>
    <t>1:06:31</t>
  </si>
  <si>
    <t>Kazue</t>
  </si>
  <si>
    <t>Ogoshi</t>
  </si>
  <si>
    <t>1:06:24</t>
  </si>
  <si>
    <t>Dera</t>
  </si>
  <si>
    <t>Dida Yami</t>
  </si>
  <si>
    <t>1:05:36</t>
  </si>
  <si>
    <t>Yurika</t>
  </si>
  <si>
    <t>Nakamura</t>
  </si>
  <si>
    <t>Debrecen HUN</t>
  </si>
  <si>
    <t>1:04:39</t>
  </si>
  <si>
    <t>Hiwot</t>
  </si>
  <si>
    <t>Gebrekidan Gebremaryam</t>
  </si>
  <si>
    <t>1:04:13</t>
  </si>
  <si>
    <t>Chepchirchir</t>
  </si>
  <si>
    <t>1:01:25</t>
  </si>
  <si>
    <t>Joyciline</t>
  </si>
  <si>
    <t>JEPKOSGEI</t>
  </si>
  <si>
    <t>Praha (CZE)</t>
  </si>
  <si>
    <t>WA Official WB</t>
  </si>
  <si>
    <t>1:05:32</t>
  </si>
  <si>
    <t>Kayoko</t>
  </si>
  <si>
    <t>Fukushi</t>
  </si>
  <si>
    <t>1:03:47</t>
  </si>
  <si>
    <t>1:03:54</t>
  </si>
  <si>
    <t>Kiplagat</t>
  </si>
  <si>
    <t>Alphen aan den Rijn NED</t>
  </si>
  <si>
    <t>1:04:19</t>
  </si>
  <si>
    <t>Wacera Ngugi</t>
  </si>
  <si>
    <t>1:06:40</t>
  </si>
  <si>
    <t>Chepchumba Koech</t>
  </si>
  <si>
    <t>1:05:03</t>
  </si>
  <si>
    <t>Sarah</t>
  </si>
  <si>
    <t>1:05:30</t>
  </si>
  <si>
    <t>Mirriam</t>
  </si>
  <si>
    <t>Wangari Karienye</t>
  </si>
  <si>
    <t>1:05:42</t>
  </si>
  <si>
    <t>Nataliya</t>
  </si>
  <si>
    <t>Berkut</t>
  </si>
  <si>
    <t>1:03:21</t>
  </si>
  <si>
    <t>1:07:04</t>
  </si>
  <si>
    <t>Eloise</t>
  </si>
  <si>
    <t>Wellings</t>
  </si>
  <si>
    <t>1:05:11</t>
  </si>
  <si>
    <t>New Haven 20K</t>
  </si>
  <si>
    <t>New Haven CT USA</t>
  </si>
  <si>
    <t>1:07:12</t>
  </si>
  <si>
    <t>Nadezhda</t>
  </si>
  <si>
    <t>Wijenberg</t>
  </si>
  <si>
    <t>1:03:23</t>
  </si>
  <si>
    <t>Constantina</t>
  </si>
  <si>
    <t>Dita</t>
  </si>
  <si>
    <t>ROM</t>
  </si>
  <si>
    <t>1:07:01</t>
  </si>
  <si>
    <t>Janet</t>
  </si>
  <si>
    <t>Bawcom</t>
  </si>
  <si>
    <t>1:07:53</t>
  </si>
  <si>
    <t>1:05:21</t>
  </si>
  <si>
    <t>1:08:59</t>
  </si>
  <si>
    <t>Blake</t>
  </si>
  <si>
    <t>Russell</t>
  </si>
  <si>
    <t>Rock 'n' Roll Philadelphia H Mar (20K split)</t>
  </si>
  <si>
    <t>Philadelphia, PA</t>
  </si>
  <si>
    <t>1:09:24</t>
  </si>
  <si>
    <t>1:11:29</t>
  </si>
  <si>
    <t>Vendome FRA</t>
  </si>
  <si>
    <t>1:07:21</t>
  </si>
  <si>
    <t>1:10:23</t>
  </si>
  <si>
    <t>1:14:27</t>
  </si>
  <si>
    <t>Filutze</t>
  </si>
  <si>
    <t>1:17:01</t>
  </si>
  <si>
    <t>Carla</t>
  </si>
  <si>
    <t>Ophorst</t>
  </si>
  <si>
    <t>1:09:42</t>
  </si>
  <si>
    <t>Somers Smith</t>
  </si>
  <si>
    <t>Rock 'n' Roll San Jose Half Marathon (20K split)</t>
  </si>
  <si>
    <t>San Jose, CA</t>
  </si>
  <si>
    <t>1:19:06</t>
  </si>
  <si>
    <t>1:17:12</t>
  </si>
  <si>
    <t>Olympic Marathon Trials (20K Split)</t>
  </si>
  <si>
    <t>Los Angles, CA</t>
  </si>
  <si>
    <t>1:17:43</t>
  </si>
  <si>
    <t>1:21:22</t>
  </si>
  <si>
    <t>1:25:40</t>
  </si>
  <si>
    <t>Jo</t>
  </si>
  <si>
    <t>Marchetti</t>
  </si>
  <si>
    <t>1:18:44</t>
  </si>
  <si>
    <t>1:20:36</t>
  </si>
  <si>
    <t>Mission Bay 25K (20K Split)</t>
  </si>
  <si>
    <t>1:23:27</t>
  </si>
  <si>
    <t>Chantal</t>
  </si>
  <si>
    <t>Langlace</t>
  </si>
  <si>
    <t>1:29:22</t>
  </si>
  <si>
    <t>Capitol City Classic 12K</t>
  </si>
  <si>
    <t>1:17:20</t>
  </si>
  <si>
    <t xml:space="preserve">London Marathon, 20K split </t>
  </si>
  <si>
    <t>1:19:12</t>
  </si>
  <si>
    <t>Chicago Marathon (20K split)</t>
  </si>
  <si>
    <t>1:26:37</t>
  </si>
  <si>
    <t>1:35:21</t>
  </si>
  <si>
    <t>Cory</t>
  </si>
  <si>
    <t>Benson</t>
  </si>
  <si>
    <t>1:36:31</t>
  </si>
  <si>
    <t>Patrica</t>
  </si>
  <si>
    <t>Dixon</t>
  </si>
  <si>
    <t>Pear Blossom</t>
  </si>
  <si>
    <t>Medford, OR</t>
  </si>
  <si>
    <t>1:39:48</t>
  </si>
  <si>
    <t>Sharon</t>
  </si>
  <si>
    <t>Dolan</t>
  </si>
  <si>
    <t>Volkslauffe</t>
  </si>
  <si>
    <t>Frankenmuth, MI</t>
  </si>
  <si>
    <t>1:27:45</t>
  </si>
  <si>
    <t>USATF 50km Champs (20K split)</t>
  </si>
  <si>
    <t>Lloyd Neck, NY</t>
  </si>
  <si>
    <t>1:40:22</t>
  </si>
  <si>
    <t>Margret</t>
  </si>
  <si>
    <t>Betz</t>
  </si>
  <si>
    <t>1:42:50</t>
  </si>
  <si>
    <t>Jaclyn</t>
  </si>
  <si>
    <t>Casseli</t>
  </si>
  <si>
    <t>Oakland Double</t>
  </si>
  <si>
    <t>Oakland, CA</t>
  </si>
  <si>
    <t>1:49:52</t>
  </si>
  <si>
    <t>1:45:32</t>
  </si>
  <si>
    <t>Anna</t>
  </si>
  <si>
    <t>Thornhill</t>
  </si>
  <si>
    <t>New Haven, CT</t>
  </si>
  <si>
    <t>1:34:36</t>
  </si>
  <si>
    <t>1:56:51</t>
  </si>
  <si>
    <t>Loretta</t>
  </si>
  <si>
    <t>Shehan</t>
  </si>
  <si>
    <t>Phelps Sauerkraut</t>
  </si>
  <si>
    <t>Phelps, NY</t>
  </si>
  <si>
    <t>2:01:08</t>
  </si>
  <si>
    <t>Avon Women's</t>
  </si>
  <si>
    <t>1:59:33</t>
  </si>
  <si>
    <t>1:54:57</t>
  </si>
  <si>
    <t>Tulip Time</t>
  </si>
  <si>
    <t>Holland, MI</t>
  </si>
  <si>
    <t>1:37:46</t>
  </si>
  <si>
    <t>1:56:37</t>
  </si>
  <si>
    <t>1:52:57</t>
  </si>
  <si>
    <t>2:26:34</t>
  </si>
  <si>
    <t>Avon</t>
  </si>
  <si>
    <t xml:space="preserve">    </t>
  </si>
  <si>
    <t>2:19:53</t>
  </si>
  <si>
    <t>Alexandra</t>
  </si>
  <si>
    <t xml:space="preserve">Trigg </t>
  </si>
  <si>
    <t>Beacon On The Bay 2K</t>
  </si>
  <si>
    <t>Oklahoma City OK USA</t>
  </si>
  <si>
    <t>1:36:59</t>
  </si>
  <si>
    <t>Shona</t>
  </si>
  <si>
    <t>Lincoln NE USA</t>
  </si>
  <si>
    <t>1:37:18</t>
  </si>
  <si>
    <t>Bellheim GER</t>
  </si>
  <si>
    <t>1:41:32</t>
  </si>
  <si>
    <t>1:30:40</t>
  </si>
  <si>
    <t>Tausi</t>
  </si>
  <si>
    <t>Juma Ngaa</t>
  </si>
  <si>
    <t>TAN</t>
  </si>
  <si>
    <t>1:38:34</t>
  </si>
  <si>
    <t>Karlene</t>
  </si>
  <si>
    <t xml:space="preserve">Herrell </t>
  </si>
  <si>
    <t>Ames IA USA</t>
  </si>
  <si>
    <t>1:35:54</t>
  </si>
  <si>
    <t>Birgit</t>
  </si>
  <si>
    <t xml:space="preserve">Lennartz </t>
  </si>
  <si>
    <t>Solothurn SUI</t>
  </si>
  <si>
    <t>1:24:47</t>
  </si>
  <si>
    <t>Dire</t>
  </si>
  <si>
    <t>Tune Arissi</t>
  </si>
  <si>
    <t>1:26:50</t>
  </si>
  <si>
    <t xml:space="preserve">Mosqueda </t>
  </si>
  <si>
    <t>San Diego CA USA</t>
  </si>
  <si>
    <t>1:24:53</t>
  </si>
  <si>
    <t>Susan</t>
  </si>
  <si>
    <t xml:space="preserve">Chepkemei </t>
  </si>
  <si>
    <t>1:25:11</t>
  </si>
  <si>
    <t>Magdalena</t>
  </si>
  <si>
    <t>Chemjor Chepkorir</t>
  </si>
  <si>
    <t>1:24:29</t>
  </si>
  <si>
    <t>1:23:15</t>
  </si>
  <si>
    <t>Chemutai Ndiema</t>
  </si>
  <si>
    <t>1:24:37</t>
  </si>
  <si>
    <t>Rono Chelegat</t>
  </si>
  <si>
    <t>1:23:06</t>
  </si>
  <si>
    <t>Katunga Mutune</t>
  </si>
  <si>
    <t>1:24:38</t>
  </si>
  <si>
    <t>Alice</t>
  </si>
  <si>
    <t>Timbilili Chemeli</t>
  </si>
  <si>
    <t>1:19:53</t>
  </si>
  <si>
    <t>1:18:47</t>
  </si>
  <si>
    <t>Sutume</t>
  </si>
  <si>
    <t>Kebede</t>
  </si>
  <si>
    <t>Tata Steel Kolkata 25K</t>
  </si>
  <si>
    <t>Kolka IND</t>
  </si>
  <si>
    <t>1:22:31</t>
  </si>
  <si>
    <t>Peninah</t>
  </si>
  <si>
    <t>Arusei Cherop</t>
  </si>
  <si>
    <t>1:26:35</t>
  </si>
  <si>
    <t>Melissa</t>
  </si>
  <si>
    <t xml:space="preserve">White </t>
  </si>
  <si>
    <t>River Bank Run 25K</t>
  </si>
  <si>
    <t>Grand Rapids MI USA</t>
  </si>
  <si>
    <t>1:22:28</t>
  </si>
  <si>
    <t>Grete</t>
  </si>
  <si>
    <t xml:space="preserve">Waitz </t>
  </si>
  <si>
    <t>1:24:36</t>
  </si>
  <si>
    <t xml:space="preserve">Bawcom </t>
  </si>
  <si>
    <t>1:25:23</t>
  </si>
  <si>
    <t xml:space="preserve">Beurskens </t>
  </si>
  <si>
    <t>Griesheim GER</t>
  </si>
  <si>
    <t>1:26:01</t>
  </si>
  <si>
    <t>Madina</t>
  </si>
  <si>
    <t xml:space="preserve">Biktagirova </t>
  </si>
  <si>
    <t>Dorothy</t>
  </si>
  <si>
    <t xml:space="preserve">McMahon </t>
  </si>
  <si>
    <t>1:25:27</t>
  </si>
  <si>
    <t>1:28:32</t>
  </si>
  <si>
    <t>Zoya</t>
  </si>
  <si>
    <t xml:space="preserve">Ivanova </t>
  </si>
  <si>
    <t>KAZ</t>
  </si>
  <si>
    <t>1:26:54</t>
  </si>
  <si>
    <t>Kim</t>
  </si>
  <si>
    <t>1:26:31</t>
  </si>
  <si>
    <t>Mitcham ENG</t>
  </si>
  <si>
    <t>1:25:15</t>
  </si>
  <si>
    <t>1:28:18</t>
  </si>
  <si>
    <t>Brugge BEL</t>
  </si>
  <si>
    <t>1:27:01</t>
  </si>
  <si>
    <t xml:space="preserve">Sultanova </t>
  </si>
  <si>
    <t>1:29:50</t>
  </si>
  <si>
    <t>1:34:00</t>
  </si>
  <si>
    <t xml:space="preserve">Prigge </t>
  </si>
  <si>
    <t>Losser NED</t>
  </si>
  <si>
    <t>1:34:05</t>
  </si>
  <si>
    <t>1:31:06</t>
  </si>
  <si>
    <t>1:37:29</t>
  </si>
  <si>
    <t xml:space="preserve">Welzel </t>
  </si>
  <si>
    <t>1:38:00</t>
  </si>
  <si>
    <t>1:44:55</t>
  </si>
  <si>
    <t xml:space="preserve">Ray </t>
  </si>
  <si>
    <t>City of Lakes 25k</t>
  </si>
  <si>
    <t>Minneapolis MN USA</t>
  </si>
  <si>
    <t>1:36:38</t>
  </si>
  <si>
    <t>1:41:39</t>
  </si>
  <si>
    <t>1:36:45</t>
  </si>
  <si>
    <t>Chicago Marathon (25K Split)</t>
  </si>
  <si>
    <t>1:45:14</t>
  </si>
  <si>
    <t xml:space="preserve">Miller </t>
  </si>
  <si>
    <t>Ventura CA USA</t>
  </si>
  <si>
    <t>1:49:07</t>
  </si>
  <si>
    <t xml:space="preserve">Gaskin </t>
  </si>
  <si>
    <t>1:41:01</t>
  </si>
  <si>
    <t xml:space="preserve">Matson </t>
  </si>
  <si>
    <t>1:50:54</t>
  </si>
  <si>
    <t>Victoria</t>
  </si>
  <si>
    <t xml:space="preserve">Crisp </t>
  </si>
  <si>
    <t>1:46:37</t>
  </si>
  <si>
    <t>SPA/TAC</t>
  </si>
  <si>
    <t>Ventura, CA</t>
  </si>
  <si>
    <t>2:01:33</t>
  </si>
  <si>
    <t>Gloria</t>
  </si>
  <si>
    <t xml:space="preserve">Brown </t>
  </si>
  <si>
    <t>1:39:24</t>
  </si>
  <si>
    <t>Chicago Marathon, 25K split</t>
  </si>
  <si>
    <t>1:50:50</t>
  </si>
  <si>
    <t>Edie</t>
  </si>
  <si>
    <t xml:space="preserve">Stevenson </t>
  </si>
  <si>
    <t>1:58:24</t>
  </si>
  <si>
    <t>2:02:32</t>
  </si>
  <si>
    <t xml:space="preserve">Prejean </t>
  </si>
  <si>
    <t>HMSA 25k</t>
  </si>
  <si>
    <t>2:02:44</t>
  </si>
  <si>
    <t xml:space="preserve">Dolan </t>
  </si>
  <si>
    <t>2:03:53</t>
  </si>
  <si>
    <t>2:07:00</t>
  </si>
  <si>
    <t>2:12:45</t>
  </si>
  <si>
    <t>2:10:53</t>
  </si>
  <si>
    <t>2:20:21</t>
  </si>
  <si>
    <t>Gerry</t>
  </si>
  <si>
    <t xml:space="preserve">Davidson </t>
  </si>
  <si>
    <t>1:58:52</t>
  </si>
  <si>
    <t>Chicago Marathon (25K split)</t>
  </si>
  <si>
    <t>2:31:55</t>
  </si>
  <si>
    <t>2:26:13</t>
  </si>
  <si>
    <t>Carol</t>
  </si>
  <si>
    <t>Bender</t>
  </si>
  <si>
    <t>2:28:29</t>
  </si>
  <si>
    <t xml:space="preserve">Clarke </t>
  </si>
  <si>
    <t>Deerfield IL USA</t>
  </si>
  <si>
    <t>2:30:11</t>
  </si>
  <si>
    <t>2:02:12</t>
  </si>
  <si>
    <t>2:29:34</t>
  </si>
  <si>
    <t>Toshiko</t>
  </si>
  <si>
    <t xml:space="preserve">D'Elia </t>
  </si>
  <si>
    <t>2:42:25</t>
  </si>
  <si>
    <t>Mission Bay 25K</t>
  </si>
  <si>
    <t>2:49:48</t>
  </si>
  <si>
    <t xml:space="preserve">Lugers </t>
  </si>
  <si>
    <t>3:07:41</t>
  </si>
  <si>
    <t>Berhard 2025 Single Age Bests</t>
  </si>
  <si>
    <t>2025 proposed Standards</t>
  </si>
  <si>
    <t>Barnard 2025 Single Age Bests</t>
  </si>
  <si>
    <t>3:26:17</t>
  </si>
  <si>
    <t>Kingston TN USA</t>
  </si>
  <si>
    <t>2:04:34</t>
  </si>
  <si>
    <t>Annick</t>
  </si>
  <si>
    <t>Loir</t>
  </si>
  <si>
    <t>Le Havre FRA</t>
  </si>
  <si>
    <t>1:52:11</t>
  </si>
  <si>
    <t>Naomi</t>
  </si>
  <si>
    <t>Kurahashi</t>
  </si>
  <si>
    <t>Ome JPN</t>
  </si>
  <si>
    <t>1:46:30</t>
  </si>
  <si>
    <t>Kinuyo</t>
  </si>
  <si>
    <t>Yoshida</t>
  </si>
  <si>
    <t>1:43:57</t>
  </si>
  <si>
    <t>Mirai</t>
  </si>
  <si>
    <t>Waku</t>
  </si>
  <si>
    <t>1:43:26</t>
  </si>
  <si>
    <t>Yuka</t>
  </si>
  <si>
    <t>Hakoyama</t>
  </si>
  <si>
    <t>Kumamoto JPN</t>
  </si>
  <si>
    <t>1:39:57</t>
  </si>
  <si>
    <t>Hirut</t>
  </si>
  <si>
    <t>Aga Sora</t>
  </si>
  <si>
    <t>1:39:06</t>
  </si>
  <si>
    <t>Birhane</t>
  </si>
  <si>
    <t>Dibaba Adugna</t>
  </si>
  <si>
    <t>1:43:05</t>
  </si>
  <si>
    <t>Megumi</t>
  </si>
  <si>
    <t>Kobayashi</t>
  </si>
  <si>
    <t>1:39:09</t>
  </si>
  <si>
    <t>Noguchi</t>
  </si>
  <si>
    <t>1:44:36</t>
  </si>
  <si>
    <t>Tomoe</t>
  </si>
  <si>
    <t>Yokoyama</t>
  </si>
  <si>
    <t>1:43:45</t>
  </si>
  <si>
    <t>1:41:57</t>
  </si>
  <si>
    <t>Naoko</t>
  </si>
  <si>
    <t>Takahashi</t>
  </si>
  <si>
    <t>1:46:29</t>
  </si>
  <si>
    <t>Mika</t>
  </si>
  <si>
    <t>Okunaga</t>
  </si>
  <si>
    <t>Chicago Marathon, 30K split</t>
  </si>
  <si>
    <t>1:46:26</t>
  </si>
  <si>
    <t>Irma</t>
  </si>
  <si>
    <t>Heeren</t>
  </si>
  <si>
    <t>Schoorl NED</t>
  </si>
  <si>
    <t>Eriko</t>
  </si>
  <si>
    <t>Asai</t>
  </si>
  <si>
    <t>Osaka JPN</t>
  </si>
  <si>
    <t>1:44:09</t>
  </si>
  <si>
    <t>Aurica</t>
  </si>
  <si>
    <t>Buia</t>
  </si>
  <si>
    <t>Snagov ROM</t>
  </si>
  <si>
    <t>1:43:49</t>
  </si>
  <si>
    <t>Hiromi</t>
  </si>
  <si>
    <t>Ominami</t>
  </si>
  <si>
    <t>1:36:05</t>
  </si>
  <si>
    <t>Jepkosgei KEITANY</t>
  </si>
  <si>
    <t>London Marathon, 30K split</t>
  </si>
  <si>
    <t>London, ENG</t>
  </si>
  <si>
    <t>1:43:24</t>
  </si>
  <si>
    <t>Mara</t>
  </si>
  <si>
    <t>Yamauchi</t>
  </si>
  <si>
    <t>1:46:07</t>
  </si>
  <si>
    <t>Kara</t>
  </si>
  <si>
    <t>Goucher</t>
  </si>
  <si>
    <t>1:47:03</t>
  </si>
  <si>
    <t>Yoshimi</t>
  </si>
  <si>
    <t>Hoshino</t>
  </si>
  <si>
    <t>1:47:15</t>
  </si>
  <si>
    <t>1:43:47</t>
  </si>
  <si>
    <t>Desiree</t>
  </si>
  <si>
    <t>Linden</t>
  </si>
  <si>
    <t>1:53:13</t>
  </si>
  <si>
    <t>Yoshiko</t>
  </si>
  <si>
    <t>Fukuchi</t>
  </si>
  <si>
    <t>1:45:04</t>
  </si>
  <si>
    <t>Chicago Marathon (30K split)</t>
  </si>
  <si>
    <t>1:51:37</t>
  </si>
  <si>
    <t>Mieke</t>
  </si>
  <si>
    <t>Pullen</t>
  </si>
  <si>
    <t>1:53:20</t>
  </si>
  <si>
    <t>1:53:24</t>
  </si>
  <si>
    <t>1:53:05</t>
  </si>
  <si>
    <t>2:00:23</t>
  </si>
  <si>
    <t>Claudia</t>
  </si>
  <si>
    <t>Gelsomino</t>
  </si>
  <si>
    <t>Monza ITA</t>
  </si>
  <si>
    <t>1:59:25</t>
  </si>
  <si>
    <t>Clarksburg Country Run</t>
  </si>
  <si>
    <t>Clarksburg CA USA</t>
  </si>
  <si>
    <t>2:03:55</t>
  </si>
  <si>
    <t>Donatella</t>
  </si>
  <si>
    <t>Vinci</t>
  </si>
  <si>
    <t>Lugano SUI</t>
  </si>
  <si>
    <t>2:00:41</t>
  </si>
  <si>
    <t>1:56:43</t>
  </si>
  <si>
    <t>2:02:07</t>
  </si>
  <si>
    <t>Inez-Anne</t>
  </si>
  <si>
    <t>Haagen</t>
  </si>
  <si>
    <t>1:57:01</t>
  </si>
  <si>
    <t>Chicago Marathon (30K Split)</t>
  </si>
  <si>
    <t>Chicago, IL USA</t>
  </si>
  <si>
    <t>2:02:11</t>
  </si>
  <si>
    <t>Manna</t>
  </si>
  <si>
    <t>Kwak</t>
  </si>
  <si>
    <t>2:14:49</t>
  </si>
  <si>
    <t>2:13:28</t>
  </si>
  <si>
    <t>2:11:57</t>
  </si>
  <si>
    <t>Ray</t>
  </si>
  <si>
    <t>2:13:38</t>
  </si>
  <si>
    <t>2:16:08</t>
  </si>
  <si>
    <t>1:59:31</t>
  </si>
  <si>
    <t>2:24:42</t>
  </si>
  <si>
    <t>2:20:20</t>
  </si>
  <si>
    <t>2:23:30</t>
  </si>
  <si>
    <t>2:46:10</t>
  </si>
  <si>
    <t>2:27:54</t>
  </si>
  <si>
    <t>2:32:32</t>
  </si>
  <si>
    <t>2:58:06</t>
  </si>
  <si>
    <t>2:38:46</t>
  </si>
  <si>
    <t>2:45:38</t>
  </si>
  <si>
    <t>2:22:29</t>
  </si>
  <si>
    <t>3:14:48</t>
  </si>
  <si>
    <t>2:51:25</t>
  </si>
  <si>
    <t>4:33:17</t>
  </si>
  <si>
    <t>3:32:14</t>
  </si>
  <si>
    <t>2:26:51</t>
  </si>
  <si>
    <t>3:37:52</t>
  </si>
  <si>
    <t>3:54:42</t>
  </si>
  <si>
    <t>4:04:24</t>
  </si>
  <si>
    <t>4:13:32</t>
  </si>
  <si>
    <t>4:17:53</t>
  </si>
  <si>
    <t>4:33:24</t>
  </si>
  <si>
    <t>Saunders</t>
  </si>
  <si>
    <t>Uitenhage RSA</t>
  </si>
  <si>
    <t>Will</t>
  </si>
  <si>
    <t>Cape Town RSA</t>
  </si>
  <si>
    <t>Storey</t>
  </si>
  <si>
    <t>Caselli</t>
  </si>
  <si>
    <t>Myra</t>
  </si>
  <si>
    <t>Rhodes</t>
  </si>
  <si>
    <t>Chicago Marathon (30k split)</t>
  </si>
  <si>
    <t>Around The Bay</t>
  </si>
  <si>
    <t xml:space="preserve">Hamilton/Ontario, </t>
  </si>
  <si>
    <t>Elizabeth</t>
  </si>
  <si>
    <t>Vinerman</t>
  </si>
  <si>
    <t>Farias</t>
  </si>
  <si>
    <t>NYC Marathon Tune-Up</t>
  </si>
  <si>
    <t>Davidson</t>
  </si>
  <si>
    <t>Benchmark Blast</t>
  </si>
  <si>
    <t>Bess</t>
  </si>
  <si>
    <t>SCA/TAC Championship</t>
  </si>
  <si>
    <t>Lindgren</t>
  </si>
  <si>
    <t>Clarksburg Country Run 30K</t>
  </si>
  <si>
    <t>Po</t>
  </si>
  <si>
    <t>Adams</t>
  </si>
  <si>
    <t>2024-10-14</t>
  </si>
  <si>
    <t>Running age bests by Tom Bernhard</t>
  </si>
  <si>
    <t>Compiled by Alan Jones, alanjones@grests.com</t>
  </si>
  <si>
    <t>Proposed Female Road Age Standards in H:MM:SS 2025</t>
  </si>
  <si>
    <t>2025 Bernhard Single age Bests</t>
  </si>
  <si>
    <t>2025 Age-Grade Factors</t>
  </si>
  <si>
    <t>1:22:35</t>
  </si>
  <si>
    <t>1:15:52</t>
  </si>
  <si>
    <t>1:17:44</t>
  </si>
  <si>
    <t>1:12:19</t>
  </si>
  <si>
    <t>1:05:00</t>
  </si>
  <si>
    <t>1:01:00</t>
  </si>
  <si>
    <t>55:31</t>
  </si>
  <si>
    <t>51:06</t>
  </si>
  <si>
    <t>51:39</t>
  </si>
  <si>
    <t>49:46</t>
  </si>
  <si>
    <t>49:06</t>
  </si>
  <si>
    <t>44:20</t>
  </si>
  <si>
    <t>48:14</t>
  </si>
  <si>
    <t>44.20</t>
  </si>
  <si>
    <t>46:28</t>
  </si>
  <si>
    <t>46:57</t>
  </si>
  <si>
    <t>47:48</t>
  </si>
  <si>
    <t>47:02</t>
  </si>
  <si>
    <t>47:32</t>
  </si>
  <si>
    <t>48:00</t>
  </si>
  <si>
    <t>46:59</t>
  </si>
  <si>
    <t>47:17</t>
  </si>
  <si>
    <t>47:00</t>
  </si>
  <si>
    <t>47:37</t>
  </si>
  <si>
    <t>47:20</t>
  </si>
  <si>
    <t>49:24</t>
  </si>
  <si>
    <t>49:31</t>
  </si>
  <si>
    <t>48:43</t>
  </si>
  <si>
    <t>49:02</t>
  </si>
  <si>
    <t>49:35</t>
  </si>
  <si>
    <t>50:25</t>
  </si>
  <si>
    <t>50:58</t>
  </si>
  <si>
    <t>49:55</t>
  </si>
  <si>
    <t>49:48</t>
  </si>
  <si>
    <t>52:34</t>
  </si>
  <si>
    <t>51:46</t>
  </si>
  <si>
    <t>51:25</t>
  </si>
  <si>
    <t>50:16</t>
  </si>
  <si>
    <t>52:38</t>
  </si>
  <si>
    <t>57:19</t>
  </si>
  <si>
    <t>55:49</t>
  </si>
  <si>
    <t>57:09</t>
  </si>
  <si>
    <t>57:52</t>
  </si>
  <si>
    <t>59:05</t>
  </si>
  <si>
    <t>59:35</t>
  </si>
  <si>
    <t>1:01:17</t>
  </si>
  <si>
    <t>1:01:02</t>
  </si>
  <si>
    <t>58:55</t>
  </si>
  <si>
    <t>59:17</t>
  </si>
  <si>
    <t>1:04:01</t>
  </si>
  <si>
    <t>1:00:43</t>
  </si>
  <si>
    <t>1:04:05</t>
  </si>
  <si>
    <t>1:05:04</t>
  </si>
  <si>
    <t>1:06:43</t>
  </si>
  <si>
    <t>1:07:24</t>
  </si>
  <si>
    <t>1:10:09</t>
  </si>
  <si>
    <t>1:12:52</t>
  </si>
  <si>
    <t>1:17:10</t>
  </si>
  <si>
    <t>1:14:31</t>
  </si>
  <si>
    <t>1:14:39</t>
  </si>
  <si>
    <t>1:16:35</t>
  </si>
  <si>
    <t>1:13:23</t>
  </si>
  <si>
    <t>1:21:37</t>
  </si>
  <si>
    <t>1:19:44</t>
  </si>
  <si>
    <t>1:29:21</t>
  </si>
  <si>
    <t>1:25:05</t>
  </si>
  <si>
    <t>1:25:09</t>
  </si>
  <si>
    <t>1:41:55</t>
  </si>
  <si>
    <t>1:50:33</t>
  </si>
  <si>
    <t>1:44:26</t>
  </si>
  <si>
    <t>2:38:58</t>
  </si>
  <si>
    <t xml:space="preserve">Westrip </t>
  </si>
  <si>
    <t xml:space="preserve">Turkey Trot 15K </t>
  </si>
  <si>
    <t>Tallahasse FL USA</t>
  </si>
  <si>
    <t>Wool Market MS USA</t>
  </si>
  <si>
    <t xml:space="preserve">Gates River Run 15k </t>
  </si>
  <si>
    <t>Jacksonville FL USA</t>
  </si>
  <si>
    <t>Madison</t>
  </si>
  <si>
    <t xml:space="preserve">Denny </t>
  </si>
  <si>
    <t>San Francisco CA USA</t>
  </si>
  <si>
    <t>Vickie</t>
  </si>
  <si>
    <t xml:space="preserve">Cook </t>
  </si>
  <si>
    <t>Santa Barbara CA USA</t>
  </si>
  <si>
    <t>Omaha NE USA</t>
  </si>
  <si>
    <t>Nijmegen NED</t>
  </si>
  <si>
    <t>Breda NED</t>
  </si>
  <si>
    <t>Massamagrell ESP</t>
  </si>
  <si>
    <t>Muliye</t>
  </si>
  <si>
    <t>Dekebo Haylemariyam</t>
  </si>
  <si>
    <t>Le Puy-en-Velay FRA</t>
  </si>
  <si>
    <t>Mekasha</t>
  </si>
  <si>
    <t>Waganesh Amare</t>
  </si>
  <si>
    <t>Mestawat</t>
  </si>
  <si>
    <t>Tufa Demissie</t>
  </si>
  <si>
    <t>Nijmegen, NED</t>
  </si>
  <si>
    <t>Medio Maraton Valencia Trinidad Alfonso EDP (15K split)</t>
  </si>
  <si>
    <t>Bizunesh</t>
  </si>
  <si>
    <t>Bekele Sertsu</t>
  </si>
  <si>
    <t>Cheruiyot Kosgei</t>
  </si>
  <si>
    <t xml:space="preserve">Cheptoo </t>
  </si>
  <si>
    <t>Monte Carlo MON</t>
  </si>
  <si>
    <t xml:space="preserve">Kastor </t>
  </si>
  <si>
    <t xml:space="preserve">Rhines </t>
  </si>
  <si>
    <t>s'Heerenberg NED</t>
  </si>
  <si>
    <t>Francie</t>
  </si>
  <si>
    <t xml:space="preserve">Larrieu </t>
  </si>
  <si>
    <t>Gasparilla Distance Classic 15K</t>
  </si>
  <si>
    <t>Tampa FL USA</t>
  </si>
  <si>
    <t>La Courneuve FRA</t>
  </si>
  <si>
    <t xml:space="preserve">Joyce </t>
  </si>
  <si>
    <t>Lucy</t>
  </si>
  <si>
    <t xml:space="preserve">Brennan </t>
  </si>
  <si>
    <t>Crozon FRA</t>
  </si>
  <si>
    <t>Cascade Run Off 15K</t>
  </si>
  <si>
    <t>Portland, OR</t>
  </si>
  <si>
    <t xml:space="preserve">Kwak </t>
  </si>
  <si>
    <t>Marion</t>
  </si>
  <si>
    <t>Irvine</t>
  </si>
  <si>
    <t>Avon 15K</t>
  </si>
  <si>
    <t>San Francisco, CA</t>
  </si>
  <si>
    <t>Diane</t>
  </si>
  <si>
    <t xml:space="preserve">Legare </t>
  </si>
  <si>
    <t>Stockade-athon 15K</t>
  </si>
  <si>
    <t>Schenectady NY USA</t>
  </si>
  <si>
    <t>Cindy</t>
  </si>
  <si>
    <t>Conant</t>
  </si>
  <si>
    <t>Great Allegany Run 15K</t>
  </si>
  <si>
    <t>Cumberland, MD</t>
  </si>
  <si>
    <t>Bronwen</t>
  </si>
  <si>
    <t xml:space="preserve">Cardy </t>
  </si>
  <si>
    <t>WAL</t>
  </si>
  <si>
    <t>Buffalo NY USA</t>
  </si>
  <si>
    <t xml:space="preserve">London Marathon, 15K split </t>
  </si>
  <si>
    <t>Chicago Marathon (15K split)</t>
  </si>
  <si>
    <t xml:space="preserve">Saunders </t>
  </si>
  <si>
    <t>Port Elizabeth RSA</t>
  </si>
  <si>
    <t>USATF Masters 15 km Championships</t>
  </si>
  <si>
    <t>Tulsa, OK</t>
  </si>
  <si>
    <t xml:space="preserve">Gajic </t>
  </si>
  <si>
    <t>Kerzers SUI</t>
  </si>
  <si>
    <t xml:space="preserve">Harvey </t>
  </si>
  <si>
    <t>Caumsett Park 50K (15K split)</t>
  </si>
  <si>
    <t>USATF Masters 15K Championships</t>
  </si>
  <si>
    <t>Tulsa OK USA</t>
  </si>
  <si>
    <t xml:space="preserve">Klein </t>
  </si>
  <si>
    <t>Norma</t>
  </si>
  <si>
    <t xml:space="preserve">Thomas </t>
  </si>
  <si>
    <t>Sandra</t>
  </si>
  <si>
    <t>Baker</t>
  </si>
  <si>
    <t>Gasparilla Distance Classic, 15K</t>
  </si>
  <si>
    <t>Tampa, FL</t>
  </si>
  <si>
    <t>George Washington Parkway Classic</t>
  </si>
  <si>
    <t>Alexandria, VA</t>
  </si>
  <si>
    <t xml:space="preserve">James </t>
  </si>
  <si>
    <t>Fenya</t>
  </si>
  <si>
    <t>Crown</t>
  </si>
  <si>
    <t>WA</t>
  </si>
  <si>
    <t>Haley</t>
  </si>
  <si>
    <t xml:space="preserve">Olson </t>
  </si>
  <si>
    <t>Judith</t>
  </si>
  <si>
    <t xml:space="preserve">Baizan </t>
  </si>
  <si>
    <t>2025 Barnhard  Single Age Bests</t>
  </si>
  <si>
    <t>2025 Proposed standards</t>
  </si>
  <si>
    <t>2025 Proposed factors</t>
  </si>
  <si>
    <t>1:28:23</t>
  </si>
  <si>
    <t>Dalton GA USA</t>
  </si>
  <si>
    <t>1:26:02</t>
  </si>
  <si>
    <t>Bay Saint Louis MS USA</t>
  </si>
  <si>
    <t>1:09:43</t>
  </si>
  <si>
    <t xml:space="preserve">Schwald </t>
  </si>
  <si>
    <t>Redmond WA USA</t>
  </si>
  <si>
    <t>58:39</t>
  </si>
  <si>
    <t>59:32</t>
  </si>
  <si>
    <t>1:00:15</t>
  </si>
  <si>
    <t>Atwood KS USA</t>
  </si>
  <si>
    <t>54:03</t>
  </si>
  <si>
    <t>Cherry Blossom 10 Mile</t>
  </si>
  <si>
    <t>56:19</t>
  </si>
  <si>
    <t>Naali Xwaymay</t>
  </si>
  <si>
    <t>Schortens GER</t>
  </si>
  <si>
    <t>53:46</t>
  </si>
  <si>
    <t>Ogla</t>
  </si>
  <si>
    <t>Kimaiyo Cherono</t>
  </si>
  <si>
    <t>Portsmouth ENG</t>
  </si>
  <si>
    <t>51:40</t>
  </si>
  <si>
    <t>52:55</t>
  </si>
  <si>
    <t>Teyiba</t>
  </si>
  <si>
    <t>Erkiso Waka</t>
  </si>
  <si>
    <t>51:28</t>
  </si>
  <si>
    <t>52:44</t>
  </si>
  <si>
    <t>Cathy</t>
  </si>
  <si>
    <t xml:space="preserve">O'Brien </t>
  </si>
  <si>
    <t>51:38</t>
  </si>
  <si>
    <t>Buze</t>
  </si>
  <si>
    <t>Diriba Kejela</t>
  </si>
  <si>
    <t>Pittsburgh PA USA</t>
  </si>
  <si>
    <t>49:29</t>
  </si>
  <si>
    <t xml:space="preserve">Caroline </t>
  </si>
  <si>
    <t>Chepkoech KIPKIRUI</t>
  </si>
  <si>
    <t>Ras Al Khaimah 10 Mile</t>
  </si>
  <si>
    <t>UAE</t>
  </si>
  <si>
    <t>51:41</t>
  </si>
  <si>
    <t>Jill</t>
  </si>
  <si>
    <t xml:space="preserve">Boltz </t>
  </si>
  <si>
    <t>52:03</t>
  </si>
  <si>
    <t xml:space="preserve">Sisson </t>
  </si>
  <si>
    <t>52:23</t>
  </si>
  <si>
    <t>Lisa</t>
  </si>
  <si>
    <t xml:space="preserve">Ondieki </t>
  </si>
  <si>
    <t>51:16</t>
  </si>
  <si>
    <t>Veronica</t>
  </si>
  <si>
    <t>Nyaruai Wanjiru</t>
  </si>
  <si>
    <t>52:14</t>
  </si>
  <si>
    <t>Sandiacre ENG</t>
  </si>
  <si>
    <t>51:52</t>
  </si>
  <si>
    <t>Lyudmila</t>
  </si>
  <si>
    <t xml:space="preserve">Biktasheva </t>
  </si>
  <si>
    <t>Crim 10 Mile</t>
  </si>
  <si>
    <t>Flint MI USA</t>
  </si>
  <si>
    <t>52:05</t>
  </si>
  <si>
    <t>51:49</t>
  </si>
  <si>
    <t>51:00</t>
  </si>
  <si>
    <t xml:space="preserve">O'Sullivan </t>
  </si>
  <si>
    <t>51:11</t>
  </si>
  <si>
    <t>52:12</t>
  </si>
  <si>
    <t>52:52</t>
  </si>
  <si>
    <t>53:43</t>
  </si>
  <si>
    <t>Irene</t>
  </si>
  <si>
    <t>Cherotich Kosgei</t>
  </si>
  <si>
    <t>54:29</t>
  </si>
  <si>
    <t>Elena</t>
  </si>
  <si>
    <t xml:space="preserve">Vyazova </t>
  </si>
  <si>
    <t>53:00</t>
  </si>
  <si>
    <t xml:space="preserve">Pavey </t>
  </si>
  <si>
    <t>54:31</t>
  </si>
  <si>
    <t>54:32</t>
  </si>
  <si>
    <t>Heerlen NED</t>
  </si>
  <si>
    <t>55:33</t>
  </si>
  <si>
    <t>Guildford ENG</t>
  </si>
  <si>
    <t>55:18</t>
  </si>
  <si>
    <t>55:56</t>
  </si>
  <si>
    <t>56:33</t>
  </si>
  <si>
    <t>56:38</t>
  </si>
  <si>
    <t>Hendon ENG</t>
  </si>
  <si>
    <t>56:31</t>
  </si>
  <si>
    <t>58:13</t>
  </si>
  <si>
    <t>59:00</t>
  </si>
  <si>
    <t>1:01:22</t>
  </si>
  <si>
    <t xml:space="preserve">Roden </t>
  </si>
  <si>
    <t>Woking ENG</t>
  </si>
  <si>
    <t>1:02:27</t>
  </si>
  <si>
    <t>1:01:20</t>
  </si>
  <si>
    <t>Buffalo Stampede 10 Mile</t>
  </si>
  <si>
    <t xml:space="preserve">Kennedy </t>
  </si>
  <si>
    <t>NorCal 10 Mile</t>
  </si>
  <si>
    <t>Redding CA USA</t>
  </si>
  <si>
    <t>1:04:42</t>
  </si>
  <si>
    <t>California 10</t>
  </si>
  <si>
    <t>Stockton, CA</t>
  </si>
  <si>
    <t>1:00:38</t>
  </si>
  <si>
    <t>SACTOWN Run</t>
  </si>
  <si>
    <t>1:03:55</t>
  </si>
  <si>
    <t>1:02:58</t>
  </si>
  <si>
    <t>1:04:51</t>
  </si>
  <si>
    <t>Aarau SUI</t>
  </si>
  <si>
    <t>1:04:53</t>
  </si>
  <si>
    <t>1:07:31</t>
  </si>
  <si>
    <t>1:08:54</t>
  </si>
  <si>
    <t>Sayville Brewery 10 Mile</t>
  </si>
  <si>
    <t>Patchogue, NY</t>
  </si>
  <si>
    <t>1:11:24</t>
  </si>
  <si>
    <t>1:11:55</t>
  </si>
  <si>
    <t>1:13:31</t>
  </si>
  <si>
    <t>1:14:43</t>
  </si>
  <si>
    <t>Barby ENG</t>
  </si>
  <si>
    <t>1:11:41</t>
  </si>
  <si>
    <t>1:19:28</t>
  </si>
  <si>
    <t>Llandudno WAL</t>
  </si>
  <si>
    <t>1:20:57</t>
  </si>
  <si>
    <t>Preston ENG</t>
  </si>
  <si>
    <t>1:20:33</t>
  </si>
  <si>
    <t>Army 10-Miler</t>
  </si>
  <si>
    <t>Washington DC</t>
  </si>
  <si>
    <t>1:19:22</t>
  </si>
  <si>
    <t>Park To Park</t>
  </si>
  <si>
    <t>Denver, CO</t>
  </si>
  <si>
    <t>Colfax 10 Miler</t>
  </si>
  <si>
    <t>1:36:18</t>
  </si>
  <si>
    <t xml:space="preserve">Moebius </t>
  </si>
  <si>
    <t>1:30:46</t>
  </si>
  <si>
    <t>1:35:26</t>
  </si>
  <si>
    <t>1:55:25</t>
  </si>
  <si>
    <t>Giuseppina</t>
  </si>
  <si>
    <t xml:space="preserve">Gurtner </t>
  </si>
  <si>
    <t>1:31:24</t>
  </si>
  <si>
    <t>1:37:12</t>
  </si>
  <si>
    <t>2:02:26</t>
  </si>
  <si>
    <t>Clark</t>
  </si>
  <si>
    <t>Valley Fox Trot</t>
  </si>
  <si>
    <t>Elgin, IL</t>
  </si>
  <si>
    <t>1:54:03</t>
  </si>
  <si>
    <t>2:12:49</t>
  </si>
  <si>
    <t>1:57:38</t>
  </si>
  <si>
    <t xml:space="preserve">Marque </t>
  </si>
  <si>
    <t>3:29:08</t>
  </si>
  <si>
    <t>2025 Barnhard Single Age Bests</t>
  </si>
  <si>
    <t>2025 Barnhard Sing Age Bests</t>
  </si>
  <si>
    <t>2025 Proposed Standards</t>
  </si>
  <si>
    <t>2025 oposed factors</t>
  </si>
  <si>
    <t>Distance from 5K to 10 Mile</t>
  </si>
  <si>
    <t>Distance from 5K to Half</t>
  </si>
  <si>
    <t>Distance from 5K to 15K</t>
  </si>
  <si>
    <t>Distance from Half to 25K</t>
  </si>
  <si>
    <t>Distance from Half to 30K</t>
  </si>
  <si>
    <t>Distance from 5K to 12K</t>
  </si>
  <si>
    <t>Distance from 5K to 5 Mi</t>
  </si>
  <si>
    <t>Distance from 5K to 8K</t>
  </si>
  <si>
    <t>Distance from 5K to 4 Mile</t>
  </si>
  <si>
    <t>2020 Standards</t>
  </si>
  <si>
    <t>31:06</t>
  </si>
  <si>
    <t>26:10</t>
  </si>
  <si>
    <t>25:00</t>
  </si>
  <si>
    <t>25:07</t>
  </si>
  <si>
    <t>25:23</t>
  </si>
  <si>
    <t>25:43</t>
  </si>
  <si>
    <t>26:04</t>
  </si>
  <si>
    <t>28:24</t>
  </si>
  <si>
    <t>Brea Classic 8K</t>
  </si>
  <si>
    <t>Brea CA USA</t>
  </si>
  <si>
    <t>Bishop GA USA</t>
  </si>
  <si>
    <t>Columbus OH USA</t>
  </si>
  <si>
    <t>Toronto ON CAN</t>
  </si>
  <si>
    <t>Kingsport TN USA</t>
  </si>
  <si>
    <t>Balmoral SCO</t>
  </si>
  <si>
    <t>Richmond VA USA</t>
  </si>
  <si>
    <t>MAR</t>
  </si>
  <si>
    <t>Shamrock Shuffle 8K</t>
  </si>
  <si>
    <t>Attleboro MA USA</t>
  </si>
  <si>
    <t>Newport Beach CA USA</t>
  </si>
  <si>
    <t>Shamrock 8K</t>
  </si>
  <si>
    <t>Virginia Beach VA USA</t>
  </si>
  <si>
    <t>Saanichton BC CAN</t>
  </si>
  <si>
    <t>USATF Masters 8 km Championships</t>
  </si>
  <si>
    <t>Wellingborough ENG</t>
  </si>
  <si>
    <t>Leeds ENG</t>
  </si>
  <si>
    <t>Moorestown, NJ</t>
  </si>
  <si>
    <t>Virginia Beach, VA</t>
  </si>
  <si>
    <t>2025 Proposed factor</t>
  </si>
  <si>
    <t>2025 Proposed Standard</t>
  </si>
  <si>
    <t>u</t>
  </si>
  <si>
    <t>Male Road Mile</t>
  </si>
  <si>
    <t>Aaron</t>
  </si>
  <si>
    <t>Duncan SC USA</t>
  </si>
  <si>
    <t>Marietta GA USA</t>
  </si>
  <si>
    <t>Reed</t>
  </si>
  <si>
    <t>Duluth GA USA</t>
  </si>
  <si>
    <t>Salvatore</t>
  </si>
  <si>
    <t>Dubon</t>
  </si>
  <si>
    <t>Oxnard CA USA</t>
  </si>
  <si>
    <t>Daniel</t>
  </si>
  <si>
    <t>Skandera</t>
  </si>
  <si>
    <t>Chico CA USA</t>
  </si>
  <si>
    <t>San Mateo CA USA</t>
  </si>
  <si>
    <t>William</t>
  </si>
  <si>
    <t>Pluma</t>
  </si>
  <si>
    <t>Tustin CA USA</t>
  </si>
  <si>
    <t>Aidan</t>
  </si>
  <si>
    <t>Cox</t>
  </si>
  <si>
    <t>Newington NH USA</t>
  </si>
  <si>
    <t>Riley</t>
  </si>
  <si>
    <t>Nedrow</t>
  </si>
  <si>
    <t>Flower Mound TX USA</t>
  </si>
  <si>
    <t>Puffer</t>
  </si>
  <si>
    <t>Yohei</t>
  </si>
  <si>
    <t>Kondo</t>
  </si>
  <si>
    <t>Eiji</t>
  </si>
  <si>
    <t>Nakao</t>
  </si>
  <si>
    <t>Abraham</t>
  </si>
  <si>
    <t>Cherkos Feleke</t>
  </si>
  <si>
    <t>Hagos</t>
  </si>
  <si>
    <t>Gebrehiwit</t>
  </si>
  <si>
    <t>Sammy</t>
  </si>
  <si>
    <t>Kipketer</t>
  </si>
  <si>
    <t xml:space="preserve">Berihu </t>
  </si>
  <si>
    <t>Aregawi</t>
  </si>
  <si>
    <t>Dejene</t>
  </si>
  <si>
    <t>Gebremeskel</t>
  </si>
  <si>
    <t xml:space="preserve">Joshua </t>
  </si>
  <si>
    <t>Cheptegei</t>
  </si>
  <si>
    <t>UGA</t>
  </si>
  <si>
    <t>Monaco Run 5km</t>
  </si>
  <si>
    <t>Birhanu</t>
  </si>
  <si>
    <t>Eliud</t>
  </si>
  <si>
    <t>Kipchoge</t>
  </si>
  <si>
    <t>Paul</t>
  </si>
  <si>
    <t>Koech</t>
  </si>
  <si>
    <t>Benjamin</t>
  </si>
  <si>
    <t>True</t>
  </si>
  <si>
    <t>Khalid</t>
  </si>
  <si>
    <t>Kairouani</t>
  </si>
  <si>
    <t>Koskei Kimutai</t>
  </si>
  <si>
    <t>Gardena CA USA</t>
  </si>
  <si>
    <t>Doug</t>
  </si>
  <si>
    <t>Padilla</t>
  </si>
  <si>
    <t>John</t>
  </si>
  <si>
    <t>Kibowen</t>
  </si>
  <si>
    <t>Michael</t>
  </si>
  <si>
    <t>McLeod</t>
  </si>
  <si>
    <t>Newcastle ENG</t>
  </si>
  <si>
    <t>Keith</t>
  </si>
  <si>
    <t>Anderson</t>
  </si>
  <si>
    <t>Wilson</t>
  </si>
  <si>
    <t>Waigwa</t>
  </si>
  <si>
    <t>Bernard</t>
  </si>
  <si>
    <t>Lagat</t>
  </si>
  <si>
    <t>Campbell</t>
  </si>
  <si>
    <t>Ft Myers FL USA</t>
  </si>
  <si>
    <t>Jackson</t>
  </si>
  <si>
    <t>Kipngok Yegon</t>
  </si>
  <si>
    <t>Bell</t>
  </si>
  <si>
    <t>Kevin</t>
  </si>
  <si>
    <t>Castille</t>
  </si>
  <si>
    <t>USATF Master's 5 km Championships</t>
  </si>
  <si>
    <t>Peter</t>
  </si>
  <si>
    <t>Magill</t>
  </si>
  <si>
    <t>Dennis</t>
  </si>
  <si>
    <t>Simonaitis</t>
  </si>
  <si>
    <t>Rees</t>
  </si>
  <si>
    <t>Gloucester ENG</t>
  </si>
  <si>
    <t>Magic Shoe 5K</t>
  </si>
  <si>
    <t>Corona Del Mar, CA</t>
  </si>
  <si>
    <t>Andrew</t>
  </si>
  <si>
    <t>Green</t>
  </si>
  <si>
    <t>Barrowford ENG</t>
  </si>
  <si>
    <t>Gunther</t>
  </si>
  <si>
    <t>Mielke</t>
  </si>
  <si>
    <t>Darmstadt GER</t>
  </si>
  <si>
    <t>Brian</t>
  </si>
  <si>
    <t>Pilcher</t>
  </si>
  <si>
    <t>Bob</t>
  </si>
  <si>
    <t>Atkinson</t>
  </si>
  <si>
    <t>Lancaster ENG</t>
  </si>
  <si>
    <t>Jack</t>
  </si>
  <si>
    <t>Run By The River 5K</t>
  </si>
  <si>
    <t>Clarksville, TN</t>
  </si>
  <si>
    <t>Sandhurst ENG</t>
  </si>
  <si>
    <t>Tom</t>
  </si>
  <si>
    <t>Bernhard</t>
  </si>
  <si>
    <t>Freedom Fest 5K</t>
  </si>
  <si>
    <t>Morgan Hill CA USA</t>
  </si>
  <si>
    <t>Ed</t>
  </si>
  <si>
    <t>Whitlock</t>
  </si>
  <si>
    <t>Jacob</t>
  </si>
  <si>
    <t>Nur</t>
  </si>
  <si>
    <t>Warren</t>
  </si>
  <si>
    <t>Utes</t>
  </si>
  <si>
    <t>Alden/Norsom 5K</t>
  </si>
  <si>
    <t>Naperville, IL</t>
  </si>
  <si>
    <t>Joseph</t>
  </si>
  <si>
    <t>Gigante</t>
  </si>
  <si>
    <t>MA</t>
  </si>
  <si>
    <t>Charles</t>
  </si>
  <si>
    <t>CPCC Skyline 5K</t>
  </si>
  <si>
    <t>Band On The Run 5K</t>
  </si>
  <si>
    <t>Orland Park, IL</t>
  </si>
  <si>
    <t>Flossmoor Fest</t>
  </si>
  <si>
    <t>Flossmoor, IL</t>
  </si>
  <si>
    <t>Stephen</t>
  </si>
  <si>
    <t>Charlton</t>
  </si>
  <si>
    <t>Battersea ENG</t>
  </si>
  <si>
    <t>Geoffrey</t>
  </si>
  <si>
    <t>Etherington</t>
  </si>
  <si>
    <t>Standown House 5K</t>
  </si>
  <si>
    <t>West Palm Beach, FL</t>
  </si>
  <si>
    <t>Jerry</t>
  </si>
  <si>
    <t>Johncock</t>
  </si>
  <si>
    <t>Brian Diemer 5K</t>
  </si>
  <si>
    <t>Cutlerville, MI</t>
  </si>
  <si>
    <t>Henry</t>
  </si>
  <si>
    <t>Sypniewski</t>
  </si>
  <si>
    <t>Nickel City 5K</t>
  </si>
  <si>
    <t>Buffalo, NY</t>
  </si>
  <si>
    <t>Hugh</t>
  </si>
  <si>
    <t>Haddonfield NJ USA</t>
  </si>
  <si>
    <t>Robert</t>
  </si>
  <si>
    <t>McKeague</t>
  </si>
  <si>
    <t>Park Ridge Charity Classic 5K</t>
  </si>
  <si>
    <t>Bob Ivory 5k</t>
  </si>
  <si>
    <t>Roy</t>
  </si>
  <si>
    <t>Englert</t>
  </si>
  <si>
    <t>Birmingham AL USA</t>
  </si>
  <si>
    <t>Male 10 km</t>
  </si>
  <si>
    <t xml:space="preserve">      </t>
  </si>
  <si>
    <t>Performance 2024 data vs 2025 standards</t>
  </si>
  <si>
    <t>2020 Bernhard Single-Age Bests</t>
  </si>
  <si>
    <t>Smyna GA USA</t>
  </si>
  <si>
    <t>Gavin</t>
  </si>
  <si>
    <t xml:space="preserve">Clewley </t>
  </si>
  <si>
    <t>Charlottesville VA USA</t>
  </si>
  <si>
    <t>Grattan</t>
  </si>
  <si>
    <t xml:space="preserve">O'Neill </t>
  </si>
  <si>
    <t>Florence AL USA</t>
  </si>
  <si>
    <t>Hunt</t>
  </si>
  <si>
    <t xml:space="preserve">Dickson </t>
  </si>
  <si>
    <t>Constantine</t>
  </si>
  <si>
    <t xml:space="preserve">Yap </t>
  </si>
  <si>
    <t>Santa Monica CA USA</t>
  </si>
  <si>
    <t>Caleb</t>
  </si>
  <si>
    <t xml:space="preserve">Hymans </t>
  </si>
  <si>
    <t>Reston VA USA</t>
  </si>
  <si>
    <t>Quantico VA USA</t>
  </si>
  <si>
    <t>Damian Paul</t>
  </si>
  <si>
    <t xml:space="preserve">Chopa </t>
  </si>
  <si>
    <t>Arusha TAN</t>
  </si>
  <si>
    <t>Dida</t>
  </si>
  <si>
    <t xml:space="preserve">Deriba Bonsa </t>
  </si>
  <si>
    <t>Luanda ANG</t>
  </si>
  <si>
    <t>Abayneh</t>
  </si>
  <si>
    <t>Degu Tsehay</t>
  </si>
  <si>
    <t>Eric</t>
  </si>
  <si>
    <t xml:space="preserve">Ndiema </t>
  </si>
  <si>
    <t>Appingedam NED</t>
  </si>
  <si>
    <t>Stanley</t>
  </si>
  <si>
    <t>Kipkosgei Salil</t>
  </si>
  <si>
    <t xml:space="preserve">Tadese </t>
  </si>
  <si>
    <t>Worku</t>
  </si>
  <si>
    <t>Rhonex</t>
  </si>
  <si>
    <t>Kipruto</t>
  </si>
  <si>
    <t>Valencia Ibercaja</t>
  </si>
  <si>
    <t>Leonard</t>
  </si>
  <si>
    <t>Patrick Komon</t>
  </si>
  <si>
    <t>Micah</t>
  </si>
  <si>
    <t>Kogo Kemboi</t>
  </si>
  <si>
    <t>Brunssum NED</t>
  </si>
  <si>
    <t>Kibiwott</t>
  </si>
  <si>
    <t>Kandie</t>
  </si>
  <si>
    <t>Zane</t>
  </si>
  <si>
    <t xml:space="preserve">Robertson </t>
  </si>
  <si>
    <t>Mutai Kiprono</t>
  </si>
  <si>
    <t>Voorthuizen NED</t>
  </si>
  <si>
    <t>Deribe</t>
  </si>
  <si>
    <t>Merga Ejigu</t>
  </si>
  <si>
    <t>Josphat</t>
  </si>
  <si>
    <t>Kiprono Menjo</t>
  </si>
  <si>
    <t xml:space="preserve">Ronoh </t>
  </si>
  <si>
    <t>Kamais Lotagor</t>
  </si>
  <si>
    <t xml:space="preserve">Kibowen </t>
  </si>
  <si>
    <t>Gilbert</t>
  </si>
  <si>
    <t>Haile</t>
  </si>
  <si>
    <t xml:space="preserve">Gebreselasie </t>
  </si>
  <si>
    <t xml:space="preserve">Lagat </t>
  </si>
  <si>
    <t>Andrea</t>
  </si>
  <si>
    <t>Sipe Sambu</t>
  </si>
  <si>
    <t>Dar es Salaam TAN</t>
  </si>
  <si>
    <t xml:space="preserve">Chirchir </t>
  </si>
  <si>
    <t xml:space="preserve">Castille </t>
  </si>
  <si>
    <t>Rodeo Run 10K</t>
  </si>
  <si>
    <t xml:space="preserve">Moneghetti </t>
  </si>
  <si>
    <t>Launceston AUS</t>
  </si>
  <si>
    <t>Cooper River Bridge Run 10K</t>
  </si>
  <si>
    <t>Charleston, SC</t>
  </si>
  <si>
    <t>Antonio</t>
  </si>
  <si>
    <t xml:space="preserve">Villanueva </t>
  </si>
  <si>
    <t xml:space="preserve">Rees </t>
  </si>
  <si>
    <t>Tecwyn</t>
  </si>
  <si>
    <t>Reading ENG</t>
  </si>
  <si>
    <t>Vladimir</t>
  </si>
  <si>
    <t xml:space="preserve">Kotov </t>
  </si>
  <si>
    <t>BLR</t>
  </si>
  <si>
    <t>Bourton on the Water ENG</t>
  </si>
  <si>
    <t>Llanelli WAL</t>
  </si>
  <si>
    <t>Jim</t>
  </si>
  <si>
    <t>Blade Run 10K</t>
  </si>
  <si>
    <t>Toledo, OH</t>
  </si>
  <si>
    <t>Aart</t>
  </si>
  <si>
    <t xml:space="preserve">Stigter </t>
  </si>
  <si>
    <t>Nunspeet NED</t>
  </si>
  <si>
    <t xml:space="preserve">Hager </t>
  </si>
  <si>
    <t>Swansea WAL</t>
  </si>
  <si>
    <t xml:space="preserve">Whitlock </t>
  </si>
  <si>
    <t>Alan</t>
  </si>
  <si>
    <t xml:space="preserve">Lessing </t>
  </si>
  <si>
    <t>Rheinzabern GER</t>
  </si>
  <si>
    <t>Albert</t>
  </si>
  <si>
    <t xml:space="preserve">Anderegg </t>
  </si>
  <si>
    <t>Lyss SUI</t>
  </si>
  <si>
    <t>Patrick</t>
  </si>
  <si>
    <t xml:space="preserve">Roussel </t>
  </si>
  <si>
    <t>Ales FRA</t>
  </si>
  <si>
    <t>Grimsby ON CAN</t>
  </si>
  <si>
    <t xml:space="preserve">Utes </t>
  </si>
  <si>
    <t>Condell Distance Classic</t>
  </si>
  <si>
    <t>Libertyville, IL</t>
  </si>
  <si>
    <t>Joop</t>
  </si>
  <si>
    <t xml:space="preserve">Ruter </t>
  </si>
  <si>
    <t>Rotterdam NED</t>
  </si>
  <si>
    <t xml:space="preserve">Charlton </t>
  </si>
  <si>
    <t>Pac Sun 10K</t>
  </si>
  <si>
    <t>Kentfield CA USA</t>
  </si>
  <si>
    <t>Benham</t>
  </si>
  <si>
    <t>NJ</t>
  </si>
  <si>
    <t>Prestwold Hall ENG</t>
  </si>
  <si>
    <t>Luciano</t>
  </si>
  <si>
    <t xml:space="preserve">Acquarone </t>
  </si>
  <si>
    <t>Vado Ligure ITA</t>
  </si>
  <si>
    <t xml:space="preserve">Johncock </t>
  </si>
  <si>
    <t>Decatur MI USA</t>
  </si>
  <si>
    <t>Raymond</t>
  </si>
  <si>
    <t xml:space="preserve">Bonet </t>
  </si>
  <si>
    <t>Tulle FRA</t>
  </si>
  <si>
    <t>Futrell</t>
  </si>
  <si>
    <t>Ernest</t>
  </si>
  <si>
    <t>Van Leeuwen</t>
  </si>
  <si>
    <t>Paramount 10K</t>
  </si>
  <si>
    <t>Paramount, CA</t>
  </si>
  <si>
    <t>Julian</t>
  </si>
  <si>
    <t>Bernal Medina</t>
  </si>
  <si>
    <t>ESP</t>
  </si>
  <si>
    <t>Ribadavia ESP</t>
  </si>
  <si>
    <t>Spangler</t>
  </si>
  <si>
    <t>3/18/1899</t>
  </si>
  <si>
    <t>George</t>
  </si>
  <si>
    <t>Etzweiler</t>
  </si>
  <si>
    <t xml:space="preserve">Arts Festival 10k </t>
  </si>
  <si>
    <t>State College, PA</t>
  </si>
  <si>
    <t>expired</t>
  </si>
  <si>
    <t>Male Half Marathon</t>
  </si>
  <si>
    <t>Matthew</t>
  </si>
  <si>
    <t>Feibush</t>
  </si>
  <si>
    <t>Irvine CA USA</t>
  </si>
  <si>
    <t>Charlie</t>
  </si>
  <si>
    <t>Jaden</t>
  </si>
  <si>
    <t xml:space="preserve">Merrick </t>
  </si>
  <si>
    <t>Waterloo IA USA</t>
  </si>
  <si>
    <t>Elkmont AL USA</t>
  </si>
  <si>
    <t>Nathaniel</t>
  </si>
  <si>
    <t xml:space="preserve">Lee </t>
  </si>
  <si>
    <t>Norwalk CT USA</t>
  </si>
  <si>
    <t>Jerome-Dino</t>
  </si>
  <si>
    <t xml:space="preserve">Daniels </t>
  </si>
  <si>
    <t>Ayden</t>
  </si>
  <si>
    <t xml:space="preserve">Buchanan </t>
  </si>
  <si>
    <t>Valencia CA USA</t>
  </si>
  <si>
    <t>Wesley</t>
  </si>
  <si>
    <t xml:space="preserve">Paul </t>
  </si>
  <si>
    <t>Kansas City MO USA</t>
  </si>
  <si>
    <t xml:space="preserve">Bragg </t>
  </si>
  <si>
    <t>Brisbane AUS</t>
  </si>
  <si>
    <t>Jeff</t>
  </si>
  <si>
    <t xml:space="preserve">Taylor </t>
  </si>
  <si>
    <t>Alene</t>
  </si>
  <si>
    <t>Emere Reta</t>
  </si>
  <si>
    <t>Faustin</t>
  </si>
  <si>
    <t>Baha Sulle</t>
  </si>
  <si>
    <t>Vitry-sur-Seine FRA</t>
  </si>
  <si>
    <t>Samuel</t>
  </si>
  <si>
    <t>Wanjiru Kamau</t>
  </si>
  <si>
    <t>Jorum</t>
  </si>
  <si>
    <t>Lumbasi Okombo</t>
  </si>
  <si>
    <t>Abadi</t>
  </si>
  <si>
    <t>Hadis</t>
  </si>
  <si>
    <t>Jemal</t>
  </si>
  <si>
    <t>Yimer</t>
  </si>
  <si>
    <t>Makau Musyoki</t>
  </si>
  <si>
    <t>Cheroben Naibei</t>
  </si>
  <si>
    <t>Steven</t>
  </si>
  <si>
    <t>Kibet Kosgei</t>
  </si>
  <si>
    <t>Alexander</t>
  </si>
  <si>
    <t>Korio Oloitiptip</t>
  </si>
  <si>
    <t>Kosgei Malakwen</t>
  </si>
  <si>
    <t>Zersenay</t>
  </si>
  <si>
    <t>ERI</t>
  </si>
  <si>
    <t>Lisbon POR</t>
  </si>
  <si>
    <t>Kiptum</t>
  </si>
  <si>
    <t>Kenneth</t>
  </si>
  <si>
    <t>Kiprop Kipkemoi</t>
  </si>
  <si>
    <t>New Delhi IND</t>
  </si>
  <si>
    <t>Jaouad</t>
  </si>
  <si>
    <t xml:space="preserve">Gharib </t>
  </si>
  <si>
    <t xml:space="preserve">Campbell </t>
  </si>
  <si>
    <t>Great North Run Half Marathon</t>
  </si>
  <si>
    <t>Newcastle GB</t>
  </si>
  <si>
    <t>Houston Half Marathon</t>
  </si>
  <si>
    <t xml:space="preserve">Foster </t>
  </si>
  <si>
    <t>Coamo PUR</t>
  </si>
  <si>
    <t>Guadalajara MEX</t>
  </si>
  <si>
    <t>Bristol ENG</t>
  </si>
  <si>
    <t>Las Vegas NV USA</t>
  </si>
  <si>
    <t>Cheddar ENG</t>
  </si>
  <si>
    <t>Titus</t>
  </si>
  <si>
    <t xml:space="preserve">Mamabolo </t>
  </si>
  <si>
    <t>East London RSA</t>
  </si>
  <si>
    <t>Norman</t>
  </si>
  <si>
    <t xml:space="preserve">Green </t>
  </si>
  <si>
    <t>Dayton, OH</t>
  </si>
  <si>
    <t>Sergio</t>
  </si>
  <si>
    <t>Fernandez Infestus</t>
  </si>
  <si>
    <t>Granollers ESP</t>
  </si>
  <si>
    <t>Aubiere FRA</t>
  </si>
  <si>
    <t>Nancy FRA</t>
  </si>
  <si>
    <t>Bologna ITA</t>
  </si>
  <si>
    <t>Wil</t>
  </si>
  <si>
    <t xml:space="preserve">vanderLee </t>
  </si>
  <si>
    <t>Rosmalen NED</t>
  </si>
  <si>
    <t>Grand Island NY USA</t>
  </si>
  <si>
    <t xml:space="preserve">Newell </t>
  </si>
  <si>
    <t>Maassluis NED</t>
  </si>
  <si>
    <t>Aurora ON CAN</t>
  </si>
  <si>
    <t>Schaumburg IL USA</t>
  </si>
  <si>
    <t>Karl-Walter</t>
  </si>
  <si>
    <t xml:space="preserve">Trumper </t>
  </si>
  <si>
    <t>London ON CAN</t>
  </si>
  <si>
    <t>Indianapolis IN USA</t>
  </si>
  <si>
    <t xml:space="preserve">Keston </t>
  </si>
  <si>
    <t>Saint Cloud MN USA</t>
  </si>
  <si>
    <t>Milton ON CAN</t>
  </si>
  <si>
    <t>Johnny</t>
  </si>
  <si>
    <t>A Kelley</t>
  </si>
  <si>
    <t>n/a MA USA</t>
  </si>
  <si>
    <t>Waterloo ON CAN</t>
  </si>
  <si>
    <t xml:space="preserve">Benham </t>
  </si>
  <si>
    <t>n/a FL USA</t>
  </si>
  <si>
    <t xml:space="preserve">Bancarel </t>
  </si>
  <si>
    <t>Villeneuve de Marsan FRA</t>
  </si>
  <si>
    <t>Eddie</t>
  </si>
  <si>
    <t xml:space="preserve">Naisby </t>
  </si>
  <si>
    <t>Chester ENG</t>
  </si>
  <si>
    <t>Knut</t>
  </si>
  <si>
    <t xml:space="preserve">Angstrom </t>
  </si>
  <si>
    <t>Stockholm SWE</t>
  </si>
  <si>
    <t>Mike</t>
  </si>
  <si>
    <t xml:space="preserve">Fremont </t>
  </si>
  <si>
    <t>Morrow OH USA</t>
  </si>
  <si>
    <t>Knoxville TN USA</t>
  </si>
  <si>
    <t>3:02:58</t>
  </si>
  <si>
    <t>2:06:51</t>
  </si>
  <si>
    <t>1:43:36</t>
  </si>
  <si>
    <t>1:38:22</t>
  </si>
  <si>
    <t>1:28:42</t>
  </si>
  <si>
    <t>1:25:41</t>
  </si>
  <si>
    <t>1:23:58</t>
  </si>
  <si>
    <t>1:19:26</t>
  </si>
  <si>
    <t>1:18:53</t>
  </si>
  <si>
    <t>1:13:18</t>
  </si>
  <si>
    <t>1:02:44</t>
  </si>
  <si>
    <t>1:00:45</t>
  </si>
  <si>
    <t>1:00:18</t>
  </si>
  <si>
    <t>1:00:52</t>
  </si>
  <si>
    <t>1:01:14</t>
  </si>
  <si>
    <t>1:02:28</t>
  </si>
  <si>
    <t>1:03:02</t>
  </si>
  <si>
    <t>1:02:00</t>
  </si>
  <si>
    <t>1:06:33</t>
  </si>
  <si>
    <t>1:05:44</t>
  </si>
  <si>
    <t>1:06:29</t>
  </si>
  <si>
    <t>1:06:44</t>
  </si>
  <si>
    <t>1:06:23</t>
  </si>
  <si>
    <t>1:08:49</t>
  </si>
  <si>
    <t>1:09:30</t>
  </si>
  <si>
    <t>1:09:57</t>
  </si>
  <si>
    <t>1:10:11</t>
  </si>
  <si>
    <t>1:09:17</t>
  </si>
  <si>
    <t>1:11:45</t>
  </si>
  <si>
    <t>1:12:39</t>
  </si>
  <si>
    <t>1:14:18</t>
  </si>
  <si>
    <t>1:12:15</t>
  </si>
  <si>
    <t>1:11:09</t>
  </si>
  <si>
    <t>1:12:27</t>
  </si>
  <si>
    <t>1:13:22</t>
  </si>
  <si>
    <t>1:13:49</t>
  </si>
  <si>
    <t>1:17:33</t>
  </si>
  <si>
    <t>1:17:05</t>
  </si>
  <si>
    <t>1:19:19</t>
  </si>
  <si>
    <t>1:16:25</t>
  </si>
  <si>
    <t>1:20:14</t>
  </si>
  <si>
    <t>1:22:23</t>
  </si>
  <si>
    <t>1:25:31</t>
  </si>
  <si>
    <t>1:26:39</t>
  </si>
  <si>
    <t>1:28:02</t>
  </si>
  <si>
    <t>1:30:14</t>
  </si>
  <si>
    <t>1:29:26</t>
  </si>
  <si>
    <t>1:36:40</t>
  </si>
  <si>
    <t>1:34:27</t>
  </si>
  <si>
    <t>1:39:28</t>
  </si>
  <si>
    <t>1:38:59</t>
  </si>
  <si>
    <t>1:59:21</t>
  </si>
  <si>
    <t>1:46:12</t>
  </si>
  <si>
    <t>1:47:33</t>
  </si>
  <si>
    <t>1:50:47</t>
  </si>
  <si>
    <t>2:09:16</t>
  </si>
  <si>
    <t>2:30:36</t>
  </si>
  <si>
    <t>2:36:28</t>
  </si>
  <si>
    <t>2:46:38</t>
  </si>
  <si>
    <t>2:55:56</t>
  </si>
  <si>
    <t>3:03:56</t>
  </si>
  <si>
    <t>Male Marathon</t>
  </si>
  <si>
    <t>First Name</t>
  </si>
  <si>
    <t>Last Name</t>
  </si>
  <si>
    <t>Event</t>
  </si>
  <si>
    <t>Location</t>
  </si>
  <si>
    <t>Race date</t>
  </si>
  <si>
    <t xml:space="preserve">Nakano  </t>
  </si>
  <si>
    <t>Juneau AK USA</t>
  </si>
  <si>
    <t xml:space="preserve">McHugh  </t>
  </si>
  <si>
    <t>Gulf Shores AL USA</t>
  </si>
  <si>
    <t>Columbia MO USA</t>
  </si>
  <si>
    <t>Sedalia MO USA</t>
  </si>
  <si>
    <t xml:space="preserve">Ansberry </t>
  </si>
  <si>
    <t xml:space="preserve">Kitze </t>
  </si>
  <si>
    <t>Allendale MI USA</t>
  </si>
  <si>
    <t>Mitch</t>
  </si>
  <si>
    <t xml:space="preserve">Kingery </t>
  </si>
  <si>
    <t>Burlingame CA USA</t>
  </si>
  <si>
    <t>Zhu-hong</t>
  </si>
  <si>
    <t xml:space="preserve">Li </t>
  </si>
  <si>
    <t>Tsegay</t>
  </si>
  <si>
    <t>Mekonen Assefa</t>
  </si>
  <si>
    <t>Berhanu</t>
  </si>
  <si>
    <t>Shiferaw Tolcha</t>
  </si>
  <si>
    <t>Ayele</t>
  </si>
  <si>
    <t>Abshiro Biza</t>
  </si>
  <si>
    <t>Feyisa</t>
  </si>
  <si>
    <t>Lelisa Gemechu</t>
  </si>
  <si>
    <t>Kelvin</t>
  </si>
  <si>
    <t>Leul</t>
  </si>
  <si>
    <t xml:space="preserve">Gebrselasie </t>
  </si>
  <si>
    <t>Legese Gurmese</t>
  </si>
  <si>
    <t>Mosinet</t>
  </si>
  <si>
    <t>Geremew Bayih</t>
  </si>
  <si>
    <t>Sisay</t>
  </si>
  <si>
    <t>Lemma Kasaye</t>
  </si>
  <si>
    <t>Emanuel</t>
  </si>
  <si>
    <t>Mutai Kipchirchir</t>
  </si>
  <si>
    <t>Kipruto Kimetto</t>
  </si>
  <si>
    <t xml:space="preserve">Kipchoge </t>
  </si>
  <si>
    <t>Kenenisa</t>
  </si>
  <si>
    <t>Bekele Beyeche</t>
  </si>
  <si>
    <t>Mark</t>
  </si>
  <si>
    <t>Kiptoo Kosgei</t>
  </si>
  <si>
    <t>Eindhoven NED</t>
  </si>
  <si>
    <t>02:05:53</t>
  </si>
  <si>
    <t>Mburu Mungara</t>
  </si>
  <si>
    <t>Gold Coast Marathon</t>
  </si>
  <si>
    <t>Gold Coast AUS</t>
  </si>
  <si>
    <t>Hong Kong HKG</t>
  </si>
  <si>
    <t>Reuben</t>
  </si>
  <si>
    <t>Chesang Kambich</t>
  </si>
  <si>
    <t>Twin Cities Marathon</t>
  </si>
  <si>
    <t>Saint Paul MN USA</t>
  </si>
  <si>
    <t>Monterrey MEX</t>
  </si>
  <si>
    <t xml:space="preserve">Setegne </t>
  </si>
  <si>
    <t>ISR</t>
  </si>
  <si>
    <t>Tiberias ISR</t>
  </si>
  <si>
    <t>Kjell-Erik</t>
  </si>
  <si>
    <t xml:space="preserve">Stahl </t>
  </si>
  <si>
    <t>Piet</t>
  </si>
  <si>
    <t xml:space="preserve">vanAlphen </t>
  </si>
  <si>
    <t>Eugene OR USA</t>
  </si>
  <si>
    <t>Rotterdam Marathon</t>
  </si>
  <si>
    <t>Etten-Leur NED</t>
  </si>
  <si>
    <t>Erik-Verner</t>
  </si>
  <si>
    <t xml:space="preserve">Ostbye </t>
  </si>
  <si>
    <t>Alex</t>
  </si>
  <si>
    <t xml:space="preserve">Ratelle </t>
  </si>
  <si>
    <t>Thomas</t>
  </si>
  <si>
    <t xml:space="preserve">Hughes </t>
  </si>
  <si>
    <t>Yoshihisa</t>
  </si>
  <si>
    <t xml:space="preserve">Hosaka </t>
  </si>
  <si>
    <t>Oita JPN</t>
  </si>
  <si>
    <t xml:space="preserve">Gilmour </t>
  </si>
  <si>
    <t>Albany AUS</t>
  </si>
  <si>
    <t xml:space="preserve">Shaw </t>
  </si>
  <si>
    <t>Clive</t>
  </si>
  <si>
    <t>Derek</t>
  </si>
  <si>
    <t xml:space="preserve">Turnbull </t>
  </si>
  <si>
    <t>Luigi</t>
  </si>
  <si>
    <t xml:space="preserve">Passerini </t>
  </si>
  <si>
    <t>Mirandola ITA</t>
  </si>
  <si>
    <t>Gene</t>
  </si>
  <si>
    <t xml:space="preserve">Dykes </t>
  </si>
  <si>
    <t>Jacksonville Marathon</t>
  </si>
  <si>
    <t>Toronto Waterfront Marathon</t>
  </si>
  <si>
    <t>Wigal Champ</t>
  </si>
  <si>
    <t>Antonino</t>
  </si>
  <si>
    <t xml:space="preserve">Caponetto </t>
  </si>
  <si>
    <t>Bergamo ITA</t>
  </si>
  <si>
    <t>Porto San Giorgio ITA</t>
  </si>
  <si>
    <t xml:space="preserve">Horman </t>
  </si>
  <si>
    <t>Toulouse FRA</t>
  </si>
  <si>
    <t>Cincinnati OH USA</t>
  </si>
  <si>
    <t>Sam</t>
  </si>
  <si>
    <t xml:space="preserve">Gadless </t>
  </si>
  <si>
    <t>Huntington WV USA</t>
  </si>
  <si>
    <t>Gadless</t>
  </si>
  <si>
    <t>NYC Marathon</t>
  </si>
  <si>
    <t>Fauja</t>
  </si>
  <si>
    <t>Singh</t>
  </si>
  <si>
    <t>India</t>
  </si>
  <si>
    <t>2025 Barnhard Single-Age Bests</t>
  </si>
  <si>
    <t>Proposed Male Road Age Standards in Seconds 2025</t>
  </si>
  <si>
    <t>Male 25 km</t>
  </si>
  <si>
    <t>Male 30 km</t>
  </si>
  <si>
    <t>Male 50 km Road</t>
  </si>
  <si>
    <t>Male 100 km Road</t>
  </si>
  <si>
    <t>Male 200 km Road</t>
  </si>
  <si>
    <t>Male 5 km Road</t>
  </si>
  <si>
    <t>3:55</t>
  </si>
  <si>
    <t>Emmanuel</t>
  </si>
  <si>
    <t>Wanyony</t>
  </si>
  <si>
    <t>adizero Road to Record</t>
  </si>
  <si>
    <t>3:52</t>
  </si>
  <si>
    <t>Elliot</t>
  </si>
  <si>
    <t>Giles</t>
  </si>
  <si>
    <t>GB</t>
  </si>
  <si>
    <t>New Balance KÖ MEILE</t>
  </si>
  <si>
    <t>Düsseldorf, Ger</t>
  </si>
  <si>
    <t>4:31</t>
  </si>
  <si>
    <t>Philippe</t>
  </si>
  <si>
    <t>Rolly</t>
  </si>
  <si>
    <t>USATF Masters 1 Mile Championships</t>
  </si>
  <si>
    <t>Pittsburgh, PA</t>
  </si>
  <si>
    <t>4:28</t>
  </si>
  <si>
    <t>Joey</t>
  </si>
  <si>
    <t>Keilor</t>
  </si>
  <si>
    <t>Medtronic TC Mile</t>
  </si>
  <si>
    <t>Minneapolis, MN</t>
  </si>
  <si>
    <t>Bryan</t>
  </si>
  <si>
    <t>Lindsay</t>
  </si>
  <si>
    <t>Indianapolis, IN</t>
  </si>
  <si>
    <t>4:22</t>
  </si>
  <si>
    <t>Neville</t>
  </si>
  <si>
    <t>Davey</t>
  </si>
  <si>
    <t>Mile of Truth</t>
  </si>
  <si>
    <t>Danville, CA</t>
  </si>
  <si>
    <t>Nicholas</t>
  </si>
  <si>
    <t>Berra</t>
  </si>
  <si>
    <t>4:24</t>
  </si>
  <si>
    <t>USATF Master's 1 Mile Championships</t>
  </si>
  <si>
    <t>Flint, MI</t>
  </si>
  <si>
    <t>Madson</t>
  </si>
  <si>
    <t>4:42</t>
  </si>
  <si>
    <t>Novak</t>
  </si>
  <si>
    <t>4:30</t>
  </si>
  <si>
    <t>Jerome</t>
  </si>
  <si>
    <t>Vermeulen</t>
  </si>
  <si>
    <t>4:38</t>
  </si>
  <si>
    <t>Mbarak</t>
  </si>
  <si>
    <t>Hussein</t>
  </si>
  <si>
    <t>4:50</t>
  </si>
  <si>
    <t>4:56</t>
  </si>
  <si>
    <t>5:01</t>
  </si>
  <si>
    <t>5:05</t>
  </si>
  <si>
    <t>5:13</t>
  </si>
  <si>
    <t>5:18</t>
  </si>
  <si>
    <t>5:28</t>
  </si>
  <si>
    <t>6:01</t>
  </si>
  <si>
    <t>5:33</t>
  </si>
  <si>
    <t>6:05</t>
  </si>
  <si>
    <t>5:55</t>
  </si>
  <si>
    <t>5:56</t>
  </si>
  <si>
    <t>6:24</t>
  </si>
  <si>
    <t>6:20</t>
  </si>
  <si>
    <t>7:44</t>
  </si>
  <si>
    <t>8:43</t>
  </si>
  <si>
    <t>10:13</t>
  </si>
  <si>
    <t>10:11</t>
  </si>
  <si>
    <t>12:50</t>
  </si>
  <si>
    <t>13:30</t>
  </si>
  <si>
    <t>Madsen</t>
  </si>
  <si>
    <t>USATF Masters Mile Championships</t>
  </si>
  <si>
    <t>Glenn</t>
  </si>
  <si>
    <t>Edwards</t>
  </si>
  <si>
    <t>Liberty Mile</t>
  </si>
  <si>
    <t>Jaime</t>
  </si>
  <si>
    <t>Heilpern</t>
  </si>
  <si>
    <t>Fleet Feet Liberty Mile</t>
  </si>
  <si>
    <t>Christian</t>
  </si>
  <si>
    <t xml:space="preserve">Cushing-Murray </t>
  </si>
  <si>
    <t>Dever</t>
  </si>
  <si>
    <t>USATF Masters 1 Mile Road Championships</t>
  </si>
  <si>
    <t>Nat</t>
  </si>
  <si>
    <t>Larson</t>
  </si>
  <si>
    <t>David</t>
  </si>
  <si>
    <t>Noyes</t>
  </si>
  <si>
    <t>Big Bang Mile</t>
  </si>
  <si>
    <t>Holmdel, NJ</t>
  </si>
  <si>
    <t>Westenberg</t>
  </si>
  <si>
    <t>King</t>
  </si>
  <si>
    <t>Lincoln Running Company Mile</t>
  </si>
  <si>
    <t>Lincoln, NE</t>
  </si>
  <si>
    <t xml:space="preserve">Doug </t>
  </si>
  <si>
    <t>Steedman</t>
  </si>
  <si>
    <t>Giambalvo</t>
  </si>
  <si>
    <t>Qualls</t>
  </si>
  <si>
    <t>Goodhue</t>
  </si>
  <si>
    <t>Gary</t>
  </si>
  <si>
    <t>Patton</t>
  </si>
  <si>
    <t>Sherwood</t>
  </si>
  <si>
    <t>Sagedahl</t>
  </si>
  <si>
    <t>Askew</t>
  </si>
  <si>
    <t>Christopher</t>
  </si>
  <si>
    <t>Rush</t>
  </si>
  <si>
    <t>Joe</t>
  </si>
  <si>
    <t>Desenberg</t>
  </si>
  <si>
    <t>Donald</t>
  </si>
  <si>
    <t>Hildebrandt</t>
  </si>
  <si>
    <t>Lou</t>
  </si>
  <si>
    <t>Lodovico</t>
  </si>
  <si>
    <t>Finestone</t>
  </si>
  <si>
    <t>Richard</t>
  </si>
  <si>
    <t>Soller</t>
  </si>
  <si>
    <t>Fremont</t>
  </si>
  <si>
    <t>Grand Blue Mile</t>
  </si>
  <si>
    <t>Des Moine, IA</t>
  </si>
  <si>
    <t xml:space="preserve">   </t>
  </si>
  <si>
    <t xml:space="preserve">       </t>
  </si>
  <si>
    <t>0:03:52</t>
  </si>
  <si>
    <t>Performance</t>
  </si>
  <si>
    <t>Male 8 km</t>
  </si>
  <si>
    <t>48:35</t>
  </si>
  <si>
    <t>41:04</t>
  </si>
  <si>
    <t>34:09</t>
  </si>
  <si>
    <t>33:38</t>
  </si>
  <si>
    <t>31:29</t>
  </si>
  <si>
    <t>30:30</t>
  </si>
  <si>
    <t>30:15</t>
  </si>
  <si>
    <t>28:58</t>
  </si>
  <si>
    <t>22:59</t>
  </si>
  <si>
    <t>22:06</t>
  </si>
  <si>
    <t>22:25</t>
  </si>
  <si>
    <t>22:08</t>
  </si>
  <si>
    <t>22:04</t>
  </si>
  <si>
    <t>22:16</t>
  </si>
  <si>
    <t>22:12</t>
  </si>
  <si>
    <t>22:02</t>
  </si>
  <si>
    <t>22:18</t>
  </si>
  <si>
    <t>22:03</t>
  </si>
  <si>
    <t>22:15</t>
  </si>
  <si>
    <t>22:14</t>
  </si>
  <si>
    <t>22:22</t>
  </si>
  <si>
    <t>22:32</t>
  </si>
  <si>
    <t>22:24</t>
  </si>
  <si>
    <t>22:37</t>
  </si>
  <si>
    <t>22:23</t>
  </si>
  <si>
    <t>23:06</t>
  </si>
  <si>
    <t>22:56</t>
  </si>
  <si>
    <t>22:49</t>
  </si>
  <si>
    <t>23:13</t>
  </si>
  <si>
    <t>22:39</t>
  </si>
  <si>
    <t>23:42</t>
  </si>
  <si>
    <t>23:46</t>
  </si>
  <si>
    <t>23:43</t>
  </si>
  <si>
    <t>24:15</t>
  </si>
  <si>
    <t>24:41</t>
  </si>
  <si>
    <t>24:14</t>
  </si>
  <si>
    <t>23:59</t>
  </si>
  <si>
    <t>24:44</t>
  </si>
  <si>
    <t>25:18</t>
  </si>
  <si>
    <t>26:11</t>
  </si>
  <si>
    <t>26:40</t>
  </si>
  <si>
    <t>26:42</t>
  </si>
  <si>
    <t>27:24</t>
  </si>
  <si>
    <t>26:31</t>
  </si>
  <si>
    <t>27:00</t>
  </si>
  <si>
    <t>27:05</t>
  </si>
  <si>
    <t>27:59</t>
  </si>
  <si>
    <t>28:36</t>
  </si>
  <si>
    <t>28:57</t>
  </si>
  <si>
    <t>29:45</t>
  </si>
  <si>
    <t>29:49</t>
  </si>
  <si>
    <t>30:34</t>
  </si>
  <si>
    <t>30:25</t>
  </si>
  <si>
    <t>31:58</t>
  </si>
  <si>
    <t>32:56</t>
  </si>
  <si>
    <t>32:00</t>
  </si>
  <si>
    <t>31:52</t>
  </si>
  <si>
    <t>33:08</t>
  </si>
  <si>
    <t>33:27</t>
  </si>
  <si>
    <t>34:21</t>
  </si>
  <si>
    <t>37:40</t>
  </si>
  <si>
    <t>35:41</t>
  </si>
  <si>
    <t>36:25</t>
  </si>
  <si>
    <t>36:43</t>
  </si>
  <si>
    <t>42:08</t>
  </si>
  <si>
    <t>37:56</t>
  </si>
  <si>
    <t>41:14</t>
  </si>
  <si>
    <t>47:40</t>
  </si>
  <si>
    <t>1:03:36</t>
  </si>
  <si>
    <t>59:36</t>
  </si>
  <si>
    <t>56:10</t>
  </si>
  <si>
    <t>1:20:56</t>
  </si>
  <si>
    <t>1:20:44</t>
  </si>
  <si>
    <t>1:24:49</t>
  </si>
  <si>
    <t>2:00:42</t>
  </si>
  <si>
    <t>Judah</t>
  </si>
  <si>
    <t xml:space="preserve">Hall </t>
  </si>
  <si>
    <t>Carrboro NC USA</t>
  </si>
  <si>
    <t>Montgomery AL USA</t>
  </si>
  <si>
    <t>Zachary</t>
  </si>
  <si>
    <t xml:space="preserve">Blum </t>
  </si>
  <si>
    <t>Reese</t>
  </si>
  <si>
    <t xml:space="preserve">Vannerson </t>
  </si>
  <si>
    <t>Fairfax VA USA</t>
  </si>
  <si>
    <t>Dan</t>
  </si>
  <si>
    <t xml:space="preserve">Hennigar </t>
  </si>
  <si>
    <t>Newburyport MA USA</t>
  </si>
  <si>
    <t>Korschenbroich GER</t>
  </si>
  <si>
    <t>Shadrack</t>
  </si>
  <si>
    <t xml:space="preserve">Kosgei </t>
  </si>
  <si>
    <t>Chamer Mnangat</t>
  </si>
  <si>
    <t>Ismael</t>
  </si>
  <si>
    <t xml:space="preserve">Kirui </t>
  </si>
  <si>
    <t>Enock</t>
  </si>
  <si>
    <t>Mitei Kipchirchir</t>
  </si>
  <si>
    <t>Simon</t>
  </si>
  <si>
    <t>Ndirangu Githuka</t>
  </si>
  <si>
    <t>Alberto</t>
  </si>
  <si>
    <t xml:space="preserve">Salazar </t>
  </si>
  <si>
    <t>Los Altos CA USA</t>
  </si>
  <si>
    <t>Salel Lemashon</t>
  </si>
  <si>
    <t xml:space="preserve">Kipketer </t>
  </si>
  <si>
    <t>Dallas TX USA</t>
  </si>
  <si>
    <t xml:space="preserve">Sambu </t>
  </si>
  <si>
    <t>WB</t>
  </si>
  <si>
    <t>Chebii Kosgei</t>
  </si>
  <si>
    <t>Githuka Mwangi</t>
  </si>
  <si>
    <t xml:space="preserve">Sawe </t>
  </si>
  <si>
    <t>Nick</t>
  </si>
  <si>
    <t xml:space="preserve">Rose </t>
  </si>
  <si>
    <t xml:space="preserve">Whitehead </t>
  </si>
  <si>
    <t xml:space="preserve">Doherty </t>
  </si>
  <si>
    <t>Dathan</t>
  </si>
  <si>
    <t xml:space="preserve">Ritzenhein </t>
  </si>
  <si>
    <t>Fernando</t>
  </si>
  <si>
    <t xml:space="preserve">Mamede </t>
  </si>
  <si>
    <t>POR</t>
  </si>
  <si>
    <t>York ENG</t>
  </si>
  <si>
    <t>Gianni</t>
  </si>
  <si>
    <t xml:space="preserve">Truschi </t>
  </si>
  <si>
    <t>Cento ITA</t>
  </si>
  <si>
    <t>Trier GER</t>
  </si>
  <si>
    <t>Mondragon Avila</t>
  </si>
  <si>
    <t>San Juan PUR</t>
  </si>
  <si>
    <t xml:space="preserve">Nzau </t>
  </si>
  <si>
    <t>Abdihakim</t>
  </si>
  <si>
    <t xml:space="preserve">Abdirahman </t>
  </si>
  <si>
    <t>Giuseppe</t>
  </si>
  <si>
    <t xml:space="preserve">Pambianchi </t>
  </si>
  <si>
    <t>Andrey</t>
  </si>
  <si>
    <t xml:space="preserve">Kuznetzov </t>
  </si>
  <si>
    <t xml:space="preserve">Waigwa </t>
  </si>
  <si>
    <t>Maggie Valley NC USA</t>
  </si>
  <si>
    <t xml:space="preserve">Hussein </t>
  </si>
  <si>
    <t>Williamsburg VA USA</t>
  </si>
  <si>
    <t xml:space="preserve">Simonaitis </t>
  </si>
  <si>
    <t>Rod</t>
  </si>
  <si>
    <t xml:space="preserve">Dixon </t>
  </si>
  <si>
    <t>Wimbledon Village ENG</t>
  </si>
  <si>
    <t>Glynneath WAL</t>
  </si>
  <si>
    <t>Ruislip ENG</t>
  </si>
  <si>
    <t>Allen Park MI USA</t>
  </si>
  <si>
    <t xml:space="preserve">Pilcher </t>
  </si>
  <si>
    <t>Marin Memorial Day 10K (8K split)</t>
  </si>
  <si>
    <t>Kentfield, CA</t>
  </si>
  <si>
    <t>Andy Carr</t>
  </si>
  <si>
    <t>Jiri</t>
  </si>
  <si>
    <t xml:space="preserve">Civrny </t>
  </si>
  <si>
    <t>CZE</t>
  </si>
  <si>
    <t>Seebach FRA</t>
  </si>
  <si>
    <t>Burlington ON CAN</t>
  </si>
  <si>
    <t>Davies</t>
  </si>
  <si>
    <t>Viking Classic 8K</t>
  </si>
  <si>
    <t>RRIC &amp; Andy Carr</t>
  </si>
  <si>
    <t>M70-74 AR</t>
  </si>
  <si>
    <t xml:space="preserve">Oram </t>
  </si>
  <si>
    <t>Fifty Plus 8K</t>
  </si>
  <si>
    <t>Stanford, CA</t>
  </si>
  <si>
    <t>Cedar Rapids IA USA</t>
  </si>
  <si>
    <t>Shamrock Shuffle</t>
  </si>
  <si>
    <t>Pacificare Bastille Day</t>
  </si>
  <si>
    <t>National TAC Masters</t>
  </si>
  <si>
    <t>Liverpool, NY</t>
  </si>
  <si>
    <t>Maurice</t>
  </si>
  <si>
    <t xml:space="preserve">Tarrant </t>
  </si>
  <si>
    <t>ICI/USATF TAC National</t>
  </si>
  <si>
    <t>Naples, FL</t>
  </si>
  <si>
    <t>Overton</t>
  </si>
  <si>
    <t>Learn Not To Burn</t>
  </si>
  <si>
    <t>Phoenix, AZ</t>
  </si>
  <si>
    <t>Shamrock Sportsfest</t>
  </si>
  <si>
    <t>Lodovoco</t>
  </si>
  <si>
    <t>Butler Road Race</t>
  </si>
  <si>
    <t>Butler, PA</t>
  </si>
  <si>
    <t>Moorestown Rotary 8K</t>
  </si>
  <si>
    <t>changed to net time</t>
  </si>
  <si>
    <t>Williamsburg, VA</t>
  </si>
  <si>
    <t>Fifty Plus</t>
  </si>
  <si>
    <t>Palo Alto, CA</t>
  </si>
  <si>
    <t>M90-94 AR</t>
  </si>
  <si>
    <t>VA09048RT</t>
  </si>
  <si>
    <t xml:space="preserve">Weintraub </t>
  </si>
  <si>
    <t>5 miles</t>
  </si>
  <si>
    <t>Rono</t>
  </si>
  <si>
    <t>Kipkurgat</t>
  </si>
  <si>
    <t>Barnhard Single-Age Bests</t>
  </si>
  <si>
    <t>Proposed Male Road Running Age Standard factors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</si>
</sst>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000"/>
    <numFmt numFmtId="165" formatCode="0.000000"/>
    <numFmt numFmtId="166" formatCode="0.00000"/>
    <numFmt numFmtId="167" formatCode="hh:mm:ss"/>
    <numFmt numFmtId="168" formatCode="0.0"/>
    <numFmt numFmtId="169" formatCode="0.000"/>
    <numFmt numFmtId="170" formatCode="h:mm:ss;@"/>
    <numFmt numFmtId="171" formatCode="m/d/yyyy;@"/>
    <numFmt numFmtId="172" formatCode="yyyy\-mm\-dd;@"/>
    <numFmt numFmtId="173" formatCode="mm/dd/yyyy"/>
    <numFmt numFmtId="174" formatCode="[hh]:mm:ss"/>
  </numFmts>
  <fonts count="40">
    <font>
      <sz val="12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8"/>
      <name val="Times New Roman"/>
      <family val="1"/>
    </font>
    <font>
      <b/>
      <sz val="12"/>
      <name val="Arial"/>
      <family val="2"/>
    </font>
    <font>
      <sz val="8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8"/>
      <name val="Times New Roman"/>
      <family val="1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u/>
      <sz val="12"/>
      <color theme="10"/>
      <name val="Arial"/>
      <family val="2"/>
    </font>
    <font>
      <sz val="10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rgb="FF212529"/>
      <name val="-apple-system"/>
    </font>
    <font>
      <sz val="12"/>
      <color theme="1"/>
      <name val="Calibri"/>
      <family val="2"/>
      <scheme val="minor"/>
    </font>
    <font>
      <sz val="12"/>
      <color rgb="FF262626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rgb="FF000000"/>
      <name val="Arial"/>
      <family val="2"/>
    </font>
    <font>
      <sz val="12"/>
      <name val="Calibri"/>
      <family val="2"/>
      <scheme val="minor"/>
    </font>
    <font>
      <b/>
      <sz val="12"/>
      <name val="Times New Roman"/>
      <family val="1"/>
    </font>
    <font>
      <u/>
      <sz val="10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indexed="8"/>
      <name val="Arial"/>
      <family val="2"/>
    </font>
    <font>
      <sz val="12"/>
      <color indexed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22" fillId="0" borderId="0" applyNumberFormat="0" applyFill="0" applyBorder="0" applyAlignment="0" applyProtection="0"/>
    <xf numFmtId="0" fontId="3" fillId="0" borderId="0"/>
    <xf numFmtId="0" fontId="7" fillId="0" borderId="0"/>
    <xf numFmtId="0" fontId="2" fillId="0" borderId="0"/>
    <xf numFmtId="0" fontId="1" fillId="0" borderId="0"/>
    <xf numFmtId="0" fontId="37" fillId="0" borderId="0" applyNumberFormat="0" applyFill="0" applyBorder="0" applyAlignment="0" applyProtection="0"/>
    <xf numFmtId="0" fontId="38" fillId="0" borderId="0"/>
  </cellStyleXfs>
  <cellXfs count="509">
    <xf numFmtId="0" fontId="0" fillId="0" borderId="0" xfId="0"/>
    <xf numFmtId="0" fontId="4" fillId="0" borderId="0" xfId="0" applyFont="1"/>
    <xf numFmtId="0" fontId="5" fillId="0" borderId="0" xfId="0" applyFont="1" applyAlignment="1">
      <alignment horizontal="center" vertical="top" wrapText="1"/>
    </xf>
    <xf numFmtId="0" fontId="6" fillId="0" borderId="0" xfId="0" applyFont="1"/>
    <xf numFmtId="164" fontId="4" fillId="0" borderId="0" xfId="0" applyNumberFormat="1" applyFont="1"/>
    <xf numFmtId="2" fontId="4" fillId="0" borderId="0" xfId="0" applyNumberFormat="1" applyFont="1"/>
    <xf numFmtId="165" fontId="4" fillId="0" borderId="0" xfId="0" applyNumberFormat="1" applyFont="1"/>
    <xf numFmtId="166" fontId="4" fillId="0" borderId="0" xfId="0" applyNumberFormat="1" applyFont="1"/>
    <xf numFmtId="167" fontId="4" fillId="0" borderId="0" xfId="0" applyNumberFormat="1" applyFont="1"/>
    <xf numFmtId="1" fontId="4" fillId="0" borderId="0" xfId="0" applyNumberFormat="1" applyFont="1"/>
    <xf numFmtId="166" fontId="6" fillId="0" borderId="0" xfId="0" applyNumberFormat="1" applyFont="1"/>
    <xf numFmtId="165" fontId="6" fillId="0" borderId="0" xfId="0" applyNumberFormat="1" applyFont="1"/>
    <xf numFmtId="167" fontId="6" fillId="0" borderId="0" xfId="0" applyNumberFormat="1" applyFont="1"/>
    <xf numFmtId="165" fontId="4" fillId="0" borderId="1" xfId="0" applyNumberFormat="1" applyFont="1" applyBorder="1"/>
    <xf numFmtId="166" fontId="4" fillId="0" borderId="1" xfId="0" applyNumberFormat="1" applyFont="1" applyBorder="1"/>
    <xf numFmtId="0" fontId="6" fillId="0" borderId="0" xfId="0" applyFont="1" applyAlignment="1">
      <alignment horizontal="center"/>
    </xf>
    <xf numFmtId="164" fontId="4" fillId="0" borderId="1" xfId="0" applyNumberFormat="1" applyFont="1" applyBorder="1"/>
    <xf numFmtId="0" fontId="4" fillId="0" borderId="1" xfId="0" applyFont="1" applyBorder="1"/>
    <xf numFmtId="2" fontId="6" fillId="0" borderId="0" xfId="0" applyNumberFormat="1" applyFont="1" applyAlignment="1">
      <alignment horizontal="center"/>
    </xf>
    <xf numFmtId="168" fontId="4" fillId="0" borderId="0" xfId="0" applyNumberFormat="1" applyFont="1"/>
    <xf numFmtId="168" fontId="4" fillId="0" borderId="1" xfId="0" applyNumberFormat="1" applyFont="1" applyBorder="1"/>
    <xf numFmtId="164" fontId="6" fillId="0" borderId="0" xfId="0" applyNumberFormat="1" applyFont="1"/>
    <xf numFmtId="2" fontId="6" fillId="0" borderId="0" xfId="0" applyNumberFormat="1" applyFont="1"/>
    <xf numFmtId="0" fontId="7" fillId="0" borderId="0" xfId="0" applyFont="1"/>
    <xf numFmtId="2" fontId="8" fillId="0" borderId="0" xfId="0" applyNumberFormat="1" applyFont="1" applyAlignment="1">
      <alignment horizontal="right"/>
    </xf>
    <xf numFmtId="169" fontId="4" fillId="0" borderId="0" xfId="0" applyNumberFormat="1" applyFont="1"/>
    <xf numFmtId="168" fontId="8" fillId="0" borderId="0" xfId="0" applyNumberFormat="1" applyFont="1" applyAlignment="1">
      <alignment horizontal="center" vertical="top" wrapText="1"/>
    </xf>
    <xf numFmtId="168" fontId="8" fillId="0" borderId="0" xfId="0" applyNumberFormat="1" applyFont="1" applyAlignment="1">
      <alignment horizontal="right" vertical="top" wrapText="1"/>
    </xf>
    <xf numFmtId="1" fontId="8" fillId="0" borderId="0" xfId="0" applyNumberFormat="1" applyFont="1" applyAlignment="1">
      <alignment horizontal="right"/>
    </xf>
    <xf numFmtId="1" fontId="8" fillId="0" borderId="0" xfId="0" applyNumberFormat="1" applyFont="1"/>
    <xf numFmtId="0" fontId="9" fillId="0" borderId="0" xfId="0" applyFont="1" applyAlignment="1">
      <alignment vertical="top"/>
    </xf>
    <xf numFmtId="0" fontId="10" fillId="0" borderId="0" xfId="0" applyFont="1"/>
    <xf numFmtId="0" fontId="10" fillId="0" borderId="0" xfId="0" applyFont="1" applyAlignment="1">
      <alignment wrapText="1"/>
    </xf>
    <xf numFmtId="0" fontId="10" fillId="0" borderId="0" xfId="0" applyFont="1" applyAlignment="1">
      <alignment horizontal="center" vertical="top" wrapText="1"/>
    </xf>
    <xf numFmtId="166" fontId="10" fillId="0" borderId="0" xfId="0" applyNumberFormat="1" applyFont="1"/>
    <xf numFmtId="167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vertical="top" wrapText="1"/>
    </xf>
    <xf numFmtId="21" fontId="4" fillId="0" borderId="0" xfId="0" applyNumberFormat="1" applyFont="1"/>
    <xf numFmtId="0" fontId="6" fillId="3" borderId="0" xfId="0" applyFont="1" applyFill="1"/>
    <xf numFmtId="167" fontId="7" fillId="3" borderId="0" xfId="0" applyNumberFormat="1" applyFont="1" applyFill="1"/>
    <xf numFmtId="167" fontId="7" fillId="0" borderId="0" xfId="0" applyNumberFormat="1" applyFont="1"/>
    <xf numFmtId="0" fontId="11" fillId="0" borderId="0" xfId="0" applyFont="1"/>
    <xf numFmtId="0" fontId="12" fillId="0" borderId="0" xfId="0" applyFont="1" applyAlignment="1">
      <alignment horizontal="left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4" fillId="0" borderId="4" xfId="0" applyFont="1" applyBorder="1"/>
    <xf numFmtId="164" fontId="7" fillId="3" borderId="3" xfId="0" applyNumberFormat="1" applyFont="1" applyFill="1" applyBorder="1" applyAlignment="1">
      <alignment horizontal="center"/>
    </xf>
    <xf numFmtId="0" fontId="7" fillId="0" borderId="5" xfId="0" applyFont="1" applyBorder="1"/>
    <xf numFmtId="1" fontId="7" fillId="0" borderId="6" xfId="0" applyNumberFormat="1" applyFont="1" applyBorder="1" applyAlignment="1">
      <alignment horizontal="center"/>
    </xf>
    <xf numFmtId="21" fontId="7" fillId="0" borderId="6" xfId="0" applyNumberFormat="1" applyFont="1" applyBorder="1" applyAlignment="1">
      <alignment horizontal="center"/>
    </xf>
    <xf numFmtId="167" fontId="7" fillId="0" borderId="6" xfId="0" applyNumberFormat="1" applyFont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1" fontId="7" fillId="2" borderId="3" xfId="0" applyNumberFormat="1" applyFont="1" applyFill="1" applyBorder="1" applyAlignment="1">
      <alignment horizontal="center"/>
    </xf>
    <xf numFmtId="1" fontId="7" fillId="2" borderId="6" xfId="0" applyNumberFormat="1" applyFont="1" applyFill="1" applyBorder="1" applyAlignment="1">
      <alignment horizontal="center"/>
    </xf>
    <xf numFmtId="1" fontId="7" fillId="2" borderId="5" xfId="0" applyNumberFormat="1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164" fontId="7" fillId="3" borderId="6" xfId="0" applyNumberFormat="1" applyFont="1" applyFill="1" applyBorder="1" applyAlignment="1">
      <alignment horizontal="center"/>
    </xf>
    <xf numFmtId="167" fontId="7" fillId="0" borderId="4" xfId="0" applyNumberFormat="1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1" fontId="6" fillId="2" borderId="3" xfId="0" applyNumberFormat="1" applyFont="1" applyFill="1" applyBorder="1" applyAlignment="1">
      <alignment horizontal="center"/>
    </xf>
    <xf numFmtId="0" fontId="4" fillId="0" borderId="5" xfId="0" applyFont="1" applyBorder="1"/>
    <xf numFmtId="1" fontId="6" fillId="0" borderId="6" xfId="0" applyNumberFormat="1" applyFont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1" fontId="6" fillId="2" borderId="6" xfId="0" applyNumberFormat="1" applyFont="1" applyFill="1" applyBorder="1" applyAlignment="1">
      <alignment horizontal="center"/>
    </xf>
    <xf numFmtId="1" fontId="6" fillId="0" borderId="2" xfId="0" applyNumberFormat="1" applyFont="1" applyBorder="1" applyAlignment="1">
      <alignment horizontal="center"/>
    </xf>
    <xf numFmtId="1" fontId="6" fillId="0" borderId="5" xfId="0" applyNumberFormat="1" applyFont="1" applyBorder="1" applyAlignment="1">
      <alignment horizontal="center"/>
    </xf>
    <xf numFmtId="1" fontId="6" fillId="2" borderId="2" xfId="0" applyNumberFormat="1" applyFont="1" applyFill="1" applyBorder="1" applyAlignment="1">
      <alignment horizontal="center"/>
    </xf>
    <xf numFmtId="1" fontId="6" fillId="2" borderId="5" xfId="0" applyNumberFormat="1" applyFont="1" applyFill="1" applyBorder="1" applyAlignment="1">
      <alignment horizontal="center"/>
    </xf>
    <xf numFmtId="0" fontId="7" fillId="0" borderId="6" xfId="0" applyFont="1" applyBorder="1"/>
    <xf numFmtId="0" fontId="4" fillId="0" borderId="7" xfId="0" applyFont="1" applyBorder="1"/>
    <xf numFmtId="168" fontId="7" fillId="2" borderId="3" xfId="0" applyNumberFormat="1" applyFont="1" applyFill="1" applyBorder="1" applyAlignment="1">
      <alignment horizontal="center"/>
    </xf>
    <xf numFmtId="168" fontId="7" fillId="0" borderId="5" xfId="0" applyNumberFormat="1" applyFont="1" applyBorder="1" applyAlignment="1">
      <alignment horizontal="center"/>
    </xf>
    <xf numFmtId="168" fontId="7" fillId="0" borderId="6" xfId="0" applyNumberFormat="1" applyFont="1" applyBorder="1" applyAlignment="1">
      <alignment horizontal="center"/>
    </xf>
    <xf numFmtId="168" fontId="7" fillId="2" borderId="5" xfId="0" applyNumberFormat="1" applyFont="1" applyFill="1" applyBorder="1" applyAlignment="1">
      <alignment horizontal="center"/>
    </xf>
    <xf numFmtId="168" fontId="7" fillId="2" borderId="6" xfId="0" applyNumberFormat="1" applyFont="1" applyFill="1" applyBorder="1" applyAlignment="1">
      <alignment horizontal="center"/>
    </xf>
    <xf numFmtId="164" fontId="4" fillId="0" borderId="8" xfId="0" applyNumberFormat="1" applyFont="1" applyBorder="1"/>
    <xf numFmtId="167" fontId="4" fillId="0" borderId="8" xfId="0" applyNumberFormat="1" applyFont="1" applyBorder="1"/>
    <xf numFmtId="2" fontId="4" fillId="0" borderId="8" xfId="0" applyNumberFormat="1" applyFont="1" applyBorder="1"/>
    <xf numFmtId="1" fontId="4" fillId="0" borderId="8" xfId="0" applyNumberFormat="1" applyFont="1" applyBorder="1"/>
    <xf numFmtId="167" fontId="10" fillId="0" borderId="0" xfId="0" applyNumberFormat="1" applyFont="1"/>
    <xf numFmtId="166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top" wrapText="1"/>
    </xf>
    <xf numFmtId="0" fontId="13" fillId="0" borderId="0" xfId="0" applyFont="1"/>
    <xf numFmtId="170" fontId="4" fillId="0" borderId="0" xfId="0" applyNumberFormat="1" applyFont="1"/>
    <xf numFmtId="0" fontId="14" fillId="0" borderId="0" xfId="0" applyFont="1" applyAlignment="1">
      <alignment horizontal="left"/>
    </xf>
    <xf numFmtId="0" fontId="15" fillId="0" borderId="0" xfId="0" applyFont="1"/>
    <xf numFmtId="0" fontId="16" fillId="3" borderId="2" xfId="0" applyFont="1" applyFill="1" applyBorder="1" applyAlignment="1">
      <alignment horizontal="center"/>
    </xf>
    <xf numFmtId="0" fontId="16" fillId="3" borderId="3" xfId="0" applyFont="1" applyFill="1" applyBorder="1" applyAlignment="1">
      <alignment horizontal="center"/>
    </xf>
    <xf numFmtId="0" fontId="16" fillId="3" borderId="11" xfId="0" applyFont="1" applyFill="1" applyBorder="1" applyAlignment="1">
      <alignment horizontal="center"/>
    </xf>
    <xf numFmtId="0" fontId="16" fillId="0" borderId="0" xfId="0" applyFont="1"/>
    <xf numFmtId="0" fontId="16" fillId="2" borderId="2" xfId="0" applyFont="1" applyFill="1" applyBorder="1" applyAlignment="1">
      <alignment horizontal="center"/>
    </xf>
    <xf numFmtId="168" fontId="16" fillId="2" borderId="3" xfId="0" applyNumberFormat="1" applyFont="1" applyFill="1" applyBorder="1" applyAlignment="1">
      <alignment horizontal="center"/>
    </xf>
    <xf numFmtId="168" fontId="16" fillId="2" borderId="11" xfId="0" applyNumberFormat="1" applyFont="1" applyFill="1" applyBorder="1" applyAlignment="1">
      <alignment horizontal="center"/>
    </xf>
    <xf numFmtId="0" fontId="16" fillId="0" borderId="5" xfId="0" applyFont="1" applyBorder="1"/>
    <xf numFmtId="168" fontId="16" fillId="0" borderId="5" xfId="0" applyNumberFormat="1" applyFont="1" applyBorder="1" applyAlignment="1">
      <alignment horizontal="center"/>
    </xf>
    <xf numFmtId="168" fontId="16" fillId="0" borderId="6" xfId="0" applyNumberFormat="1" applyFont="1" applyBorder="1" applyAlignment="1">
      <alignment horizontal="center"/>
    </xf>
    <xf numFmtId="168" fontId="16" fillId="0" borderId="12" xfId="0" applyNumberFormat="1" applyFont="1" applyBorder="1" applyAlignment="1">
      <alignment horizontal="center"/>
    </xf>
    <xf numFmtId="0" fontId="16" fillId="2" borderId="5" xfId="0" applyFont="1" applyFill="1" applyBorder="1" applyAlignment="1">
      <alignment horizontal="center"/>
    </xf>
    <xf numFmtId="168" fontId="16" fillId="2" borderId="5" xfId="0" applyNumberFormat="1" applyFont="1" applyFill="1" applyBorder="1" applyAlignment="1">
      <alignment horizontal="center"/>
    </xf>
    <xf numFmtId="168" fontId="16" fillId="2" borderId="6" xfId="0" applyNumberFormat="1" applyFont="1" applyFill="1" applyBorder="1" applyAlignment="1">
      <alignment horizontal="center"/>
    </xf>
    <xf numFmtId="168" fontId="16" fillId="2" borderId="12" xfId="0" applyNumberFormat="1" applyFont="1" applyFill="1" applyBorder="1" applyAlignment="1">
      <alignment horizontal="center"/>
    </xf>
    <xf numFmtId="0" fontId="16" fillId="2" borderId="9" xfId="0" applyFont="1" applyFill="1" applyBorder="1" applyAlignment="1">
      <alignment horizontal="center"/>
    </xf>
    <xf numFmtId="168" fontId="16" fillId="2" borderId="9" xfId="0" applyNumberFormat="1" applyFont="1" applyFill="1" applyBorder="1" applyAlignment="1">
      <alignment horizontal="center"/>
    </xf>
    <xf numFmtId="168" fontId="16" fillId="2" borderId="10" xfId="0" applyNumberFormat="1" applyFont="1" applyFill="1" applyBorder="1" applyAlignment="1">
      <alignment horizontal="center"/>
    </xf>
    <xf numFmtId="168" fontId="16" fillId="2" borderId="13" xfId="0" applyNumberFormat="1" applyFont="1" applyFill="1" applyBorder="1" applyAlignment="1">
      <alignment horizontal="center"/>
    </xf>
    <xf numFmtId="0" fontId="14" fillId="0" borderId="0" xfId="0" applyFont="1"/>
    <xf numFmtId="0" fontId="7" fillId="3" borderId="11" xfId="0" applyFont="1" applyFill="1" applyBorder="1" applyAlignment="1">
      <alignment horizontal="center"/>
    </xf>
    <xf numFmtId="168" fontId="7" fillId="2" borderId="11" xfId="0" applyNumberFormat="1" applyFont="1" applyFill="1" applyBorder="1" applyAlignment="1">
      <alignment horizontal="center"/>
    </xf>
    <xf numFmtId="168" fontId="7" fillId="0" borderId="12" xfId="0" applyNumberFormat="1" applyFont="1" applyBorder="1" applyAlignment="1">
      <alignment horizontal="center"/>
    </xf>
    <xf numFmtId="168" fontId="7" fillId="2" borderId="12" xfId="0" applyNumberFormat="1" applyFont="1" applyFill="1" applyBorder="1" applyAlignment="1">
      <alignment horizontal="center"/>
    </xf>
    <xf numFmtId="0" fontId="7" fillId="0" borderId="9" xfId="0" applyFont="1" applyBorder="1"/>
    <xf numFmtId="168" fontId="7" fillId="0" borderId="9" xfId="0" applyNumberFormat="1" applyFont="1" applyBorder="1" applyAlignment="1">
      <alignment horizontal="center"/>
    </xf>
    <xf numFmtId="168" fontId="7" fillId="0" borderId="10" xfId="0" applyNumberFormat="1" applyFont="1" applyBorder="1" applyAlignment="1">
      <alignment horizontal="center"/>
    </xf>
    <xf numFmtId="168" fontId="7" fillId="0" borderId="13" xfId="0" applyNumberFormat="1" applyFont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168" fontId="7" fillId="2" borderId="9" xfId="0" applyNumberFormat="1" applyFont="1" applyFill="1" applyBorder="1" applyAlignment="1">
      <alignment horizontal="center"/>
    </xf>
    <xf numFmtId="168" fontId="7" fillId="2" borderId="10" xfId="0" applyNumberFormat="1" applyFont="1" applyFill="1" applyBorder="1" applyAlignment="1">
      <alignment horizontal="center"/>
    </xf>
    <xf numFmtId="168" fontId="7" fillId="2" borderId="13" xfId="0" applyNumberFormat="1" applyFont="1" applyFill="1" applyBorder="1" applyAlignment="1">
      <alignment horizontal="center"/>
    </xf>
    <xf numFmtId="0" fontId="13" fillId="0" borderId="0" xfId="0" applyFont="1" applyAlignment="1">
      <alignment horizontal="left"/>
    </xf>
    <xf numFmtId="168" fontId="13" fillId="0" borderId="0" xfId="0" applyNumberFormat="1" applyFont="1"/>
    <xf numFmtId="0" fontId="17" fillId="0" borderId="0" xfId="0" applyFont="1" applyAlignment="1">
      <alignment vertical="top"/>
    </xf>
    <xf numFmtId="0" fontId="18" fillId="0" borderId="0" xfId="0" applyFont="1"/>
    <xf numFmtId="0" fontId="18" fillId="0" borderId="0" xfId="0" applyFont="1" applyAlignment="1">
      <alignment wrapText="1"/>
    </xf>
    <xf numFmtId="0" fontId="18" fillId="0" borderId="0" xfId="0" applyFont="1" applyAlignment="1">
      <alignment horizontal="center" vertical="top" wrapText="1"/>
    </xf>
    <xf numFmtId="0" fontId="19" fillId="0" borderId="0" xfId="0" applyFont="1"/>
    <xf numFmtId="166" fontId="18" fillId="0" borderId="0" xfId="0" applyNumberFormat="1" applyFont="1"/>
    <xf numFmtId="167" fontId="18" fillId="0" borderId="0" xfId="0" applyNumberFormat="1" applyFont="1" applyAlignment="1">
      <alignment horizontal="right"/>
    </xf>
    <xf numFmtId="164" fontId="18" fillId="0" borderId="0" xfId="0" applyNumberFormat="1" applyFont="1"/>
    <xf numFmtId="0" fontId="18" fillId="0" borderId="0" xfId="0" applyFont="1" applyAlignment="1">
      <alignment vertical="top" wrapText="1"/>
    </xf>
    <xf numFmtId="0" fontId="19" fillId="3" borderId="0" xfId="0" applyFont="1" applyFill="1"/>
    <xf numFmtId="169" fontId="19" fillId="0" borderId="0" xfId="0" applyNumberFormat="1" applyFont="1"/>
    <xf numFmtId="164" fontId="19" fillId="0" borderId="0" xfId="0" applyNumberFormat="1" applyFont="1"/>
    <xf numFmtId="167" fontId="20" fillId="3" borderId="0" xfId="0" applyNumberFormat="1" applyFont="1" applyFill="1"/>
    <xf numFmtId="168" fontId="19" fillId="0" borderId="0" xfId="0" applyNumberFormat="1" applyFont="1"/>
    <xf numFmtId="0" fontId="20" fillId="0" borderId="0" xfId="0" applyFont="1"/>
    <xf numFmtId="46" fontId="7" fillId="2" borderId="2" xfId="0" applyNumberFormat="1" applyFont="1" applyFill="1" applyBorder="1" applyAlignment="1">
      <alignment horizontal="center"/>
    </xf>
    <xf numFmtId="46" fontId="7" fillId="2" borderId="3" xfId="0" applyNumberFormat="1" applyFont="1" applyFill="1" applyBorder="1" applyAlignment="1">
      <alignment horizontal="center"/>
    </xf>
    <xf numFmtId="46" fontId="7" fillId="0" borderId="6" xfId="0" applyNumberFormat="1" applyFont="1" applyBorder="1" applyAlignment="1">
      <alignment horizontal="center"/>
    </xf>
    <xf numFmtId="46" fontId="7" fillId="2" borderId="6" xfId="0" applyNumberFormat="1" applyFont="1" applyFill="1" applyBorder="1" applyAlignment="1">
      <alignment horizontal="center"/>
    </xf>
    <xf numFmtId="168" fontId="6" fillId="0" borderId="0" xfId="0" applyNumberFormat="1" applyFont="1"/>
    <xf numFmtId="0" fontId="4" fillId="0" borderId="0" xfId="0" applyFont="1" applyAlignment="1">
      <alignment horizontal="center"/>
    </xf>
    <xf numFmtId="168" fontId="4" fillId="5" borderId="15" xfId="0" applyNumberFormat="1" applyFont="1" applyFill="1" applyBorder="1"/>
    <xf numFmtId="0" fontId="10" fillId="6" borderId="14" xfId="0" applyFont="1" applyFill="1" applyBorder="1" applyAlignment="1">
      <alignment horizontal="center" wrapText="1"/>
    </xf>
    <xf numFmtId="0" fontId="4" fillId="6" borderId="14" xfId="0" applyFont="1" applyFill="1" applyBorder="1"/>
    <xf numFmtId="168" fontId="4" fillId="6" borderId="14" xfId="0" applyNumberFormat="1" applyFont="1" applyFill="1" applyBorder="1"/>
    <xf numFmtId="49" fontId="25" fillId="0" borderId="0" xfId="0" applyNumberFormat="1" applyFont="1"/>
    <xf numFmtId="0" fontId="25" fillId="0" borderId="0" xfId="0" applyFont="1"/>
    <xf numFmtId="14" fontId="25" fillId="0" borderId="0" xfId="0" applyNumberFormat="1" applyFont="1" applyAlignment="1">
      <alignment horizontal="left"/>
    </xf>
    <xf numFmtId="49" fontId="21" fillId="0" borderId="0" xfId="0" applyNumberFormat="1" applyFont="1" applyAlignment="1">
      <alignment horizontal="left"/>
    </xf>
    <xf numFmtId="171" fontId="21" fillId="0" borderId="0" xfId="0" applyNumberFormat="1" applyFont="1" applyAlignment="1">
      <alignment horizontal="left"/>
    </xf>
    <xf numFmtId="0" fontId="21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49" fontId="25" fillId="0" borderId="0" xfId="0" applyNumberFormat="1" applyFont="1" applyAlignment="1">
      <alignment horizontal="left"/>
    </xf>
    <xf numFmtId="168" fontId="4" fillId="8" borderId="14" xfId="0" applyNumberFormat="1" applyFont="1" applyFill="1" applyBorder="1"/>
    <xf numFmtId="0" fontId="23" fillId="0" borderId="0" xfId="0" applyFont="1"/>
    <xf numFmtId="0" fontId="21" fillId="0" borderId="0" xfId="0" applyFont="1" applyAlignment="1">
      <alignment wrapText="1"/>
    </xf>
    <xf numFmtId="172" fontId="21" fillId="0" borderId="0" xfId="0" applyNumberFormat="1" applyFont="1" applyAlignment="1">
      <alignment horizontal="left"/>
    </xf>
    <xf numFmtId="172" fontId="4" fillId="0" borderId="0" xfId="0" applyNumberFormat="1" applyFont="1"/>
    <xf numFmtId="0" fontId="24" fillId="0" borderId="0" xfId="0" applyFont="1"/>
    <xf numFmtId="0" fontId="7" fillId="3" borderId="20" xfId="0" applyFont="1" applyFill="1" applyBorder="1" applyAlignment="1">
      <alignment horizontal="center"/>
    </xf>
    <xf numFmtId="0" fontId="7" fillId="3" borderId="19" xfId="0" applyFont="1" applyFill="1" applyBorder="1" applyAlignment="1">
      <alignment horizontal="center"/>
    </xf>
    <xf numFmtId="0" fontId="7" fillId="3" borderId="21" xfId="0" applyFont="1" applyFill="1" applyBorder="1" applyAlignment="1">
      <alignment horizontal="center"/>
    </xf>
    <xf numFmtId="10" fontId="4" fillId="0" borderId="0" xfId="0" applyNumberFormat="1" applyFont="1"/>
    <xf numFmtId="46" fontId="7" fillId="2" borderId="1" xfId="0" applyNumberFormat="1" applyFont="1" applyFill="1" applyBorder="1" applyAlignment="1">
      <alignment horizontal="center"/>
    </xf>
    <xf numFmtId="46" fontId="7" fillId="0" borderId="17" xfId="0" applyNumberFormat="1" applyFont="1" applyBorder="1" applyAlignment="1">
      <alignment horizontal="center"/>
    </xf>
    <xf numFmtId="46" fontId="7" fillId="2" borderId="17" xfId="0" applyNumberFormat="1" applyFont="1" applyFill="1" applyBorder="1" applyAlignment="1">
      <alignment horizontal="center"/>
    </xf>
    <xf numFmtId="46" fontId="7" fillId="2" borderId="22" xfId="0" applyNumberFormat="1" applyFont="1" applyFill="1" applyBorder="1" applyAlignment="1">
      <alignment horizontal="center"/>
    </xf>
    <xf numFmtId="46" fontId="7" fillId="0" borderId="23" xfId="0" applyNumberFormat="1" applyFont="1" applyBorder="1" applyAlignment="1">
      <alignment horizontal="center"/>
    </xf>
    <xf numFmtId="46" fontId="7" fillId="2" borderId="23" xfId="0" applyNumberFormat="1" applyFont="1" applyFill="1" applyBorder="1" applyAlignment="1">
      <alignment horizontal="center"/>
    </xf>
    <xf numFmtId="46" fontId="7" fillId="2" borderId="24" xfId="0" applyNumberFormat="1" applyFont="1" applyFill="1" applyBorder="1" applyAlignment="1">
      <alignment horizontal="center"/>
    </xf>
    <xf numFmtId="0" fontId="10" fillId="0" borderId="1" xfId="0" applyFont="1" applyBorder="1"/>
    <xf numFmtId="0" fontId="22" fillId="0" borderId="0" xfId="1" applyNumberFormat="1" applyAlignment="1"/>
    <xf numFmtId="0" fontId="10" fillId="0" borderId="0" xfId="0" quotePrefix="1" applyFont="1"/>
    <xf numFmtId="0" fontId="4" fillId="0" borderId="0" xfId="0" applyFont="1" applyAlignment="1">
      <alignment horizontal="left" vertical="top"/>
    </xf>
    <xf numFmtId="0" fontId="4" fillId="0" borderId="0" xfId="0" applyFont="1" applyAlignment="1">
      <alignment wrapText="1"/>
    </xf>
    <xf numFmtId="0" fontId="23" fillId="0" borderId="0" xfId="0" applyFont="1" applyAlignment="1">
      <alignment horizontal="left"/>
    </xf>
    <xf numFmtId="0" fontId="28" fillId="0" borderId="0" xfId="0" applyFont="1" applyAlignment="1">
      <alignment horizontal="left"/>
    </xf>
    <xf numFmtId="171" fontId="25" fillId="0" borderId="0" xfId="0" applyNumberFormat="1" applyFont="1" applyAlignment="1">
      <alignment horizontal="left"/>
    </xf>
    <xf numFmtId="0" fontId="25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49" fontId="25" fillId="7" borderId="0" xfId="0" applyNumberFormat="1" applyFont="1" applyFill="1"/>
    <xf numFmtId="0" fontId="25" fillId="7" borderId="0" xfId="0" applyFont="1" applyFill="1" applyAlignment="1">
      <alignment horizontal="left"/>
    </xf>
    <xf numFmtId="0" fontId="28" fillId="0" borderId="0" xfId="0" applyFont="1"/>
    <xf numFmtId="0" fontId="23" fillId="7" borderId="0" xfId="0" applyFont="1" applyFill="1"/>
    <xf numFmtId="49" fontId="25" fillId="0" borderId="0" xfId="0" applyNumberFormat="1" applyFont="1" applyAlignment="1">
      <alignment horizontal="right"/>
    </xf>
    <xf numFmtId="49" fontId="4" fillId="0" borderId="0" xfId="0" applyNumberFormat="1" applyFont="1" applyAlignment="1">
      <alignment horizontal="right"/>
    </xf>
    <xf numFmtId="49" fontId="25" fillId="7" borderId="0" xfId="0" applyNumberFormat="1" applyFont="1" applyFill="1" applyAlignment="1">
      <alignment horizontal="left"/>
    </xf>
    <xf numFmtId="0" fontId="28" fillId="7" borderId="0" xfId="0" applyFont="1" applyFill="1" applyAlignment="1">
      <alignment horizontal="left"/>
    </xf>
    <xf numFmtId="49" fontId="28" fillId="0" borderId="0" xfId="0" applyNumberFormat="1" applyFont="1"/>
    <xf numFmtId="171" fontId="28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left"/>
    </xf>
    <xf numFmtId="171" fontId="4" fillId="0" borderId="0" xfId="0" applyNumberFormat="1" applyFont="1" applyAlignment="1">
      <alignment horizontal="left"/>
    </xf>
    <xf numFmtId="49" fontId="25" fillId="7" borderId="0" xfId="0" applyNumberFormat="1" applyFont="1" applyFill="1" applyAlignment="1">
      <alignment horizontal="right"/>
    </xf>
    <xf numFmtId="0" fontId="21" fillId="0" borderId="0" xfId="0" applyFont="1"/>
    <xf numFmtId="49" fontId="24" fillId="0" borderId="0" xfId="0" applyNumberFormat="1" applyFont="1" applyAlignment="1">
      <alignment wrapText="1"/>
    </xf>
    <xf numFmtId="14" fontId="25" fillId="7" borderId="0" xfId="0" applyNumberFormat="1" applyFont="1" applyFill="1" applyAlignment="1">
      <alignment horizontal="left"/>
    </xf>
    <xf numFmtId="0" fontId="28" fillId="7" borderId="0" xfId="0" applyFont="1" applyFill="1"/>
    <xf numFmtId="49" fontId="4" fillId="0" borderId="0" xfId="0" applyNumberFormat="1" applyFont="1"/>
    <xf numFmtId="49" fontId="24" fillId="0" borderId="0" xfId="0" applyNumberFormat="1" applyFont="1" applyAlignment="1">
      <alignment horizontal="left" wrapText="1"/>
    </xf>
    <xf numFmtId="0" fontId="24" fillId="0" borderId="0" xfId="0" applyFont="1" applyAlignment="1">
      <alignment horizontal="left" wrapText="1"/>
    </xf>
    <xf numFmtId="14" fontId="24" fillId="0" borderId="0" xfId="0" applyNumberFormat="1" applyFont="1" applyAlignment="1">
      <alignment wrapText="1"/>
    </xf>
    <xf numFmtId="14" fontId="24" fillId="0" borderId="0" xfId="0" applyNumberFormat="1" applyFont="1" applyAlignment="1">
      <alignment horizontal="left" wrapText="1"/>
    </xf>
    <xf numFmtId="49" fontId="28" fillId="7" borderId="0" xfId="0" applyNumberFormat="1" applyFont="1" applyFill="1"/>
    <xf numFmtId="171" fontId="28" fillId="7" borderId="0" xfId="0" applyNumberFormat="1" applyFont="1" applyFill="1" applyAlignment="1">
      <alignment horizontal="left"/>
    </xf>
    <xf numFmtId="21" fontId="4" fillId="0" borderId="0" xfId="0" applyNumberFormat="1" applyFont="1" applyAlignment="1">
      <alignment horizontal="right"/>
    </xf>
    <xf numFmtId="49" fontId="28" fillId="0" borderId="0" xfId="0" applyNumberFormat="1" applyFont="1" applyAlignment="1">
      <alignment horizontal="right"/>
    </xf>
    <xf numFmtId="49" fontId="28" fillId="7" borderId="0" xfId="0" applyNumberFormat="1" applyFont="1" applyFill="1" applyAlignment="1">
      <alignment horizontal="right"/>
    </xf>
    <xf numFmtId="0" fontId="4" fillId="0" borderId="26" xfId="0" applyFont="1" applyBorder="1"/>
    <xf numFmtId="0" fontId="24" fillId="0" borderId="0" xfId="0" applyFont="1" applyAlignment="1">
      <alignment wrapText="1"/>
    </xf>
    <xf numFmtId="0" fontId="4" fillId="0" borderId="26" xfId="0" applyFont="1" applyBorder="1" applyAlignment="1">
      <alignment horizontal="right"/>
    </xf>
    <xf numFmtId="166" fontId="13" fillId="0" borderId="0" xfId="0" applyNumberFormat="1" applyFont="1" applyProtection="1">
      <protection locked="0"/>
    </xf>
    <xf numFmtId="0" fontId="9" fillId="0" borderId="0" xfId="0" applyFont="1" applyAlignment="1" applyProtection="1">
      <alignment vertical="top"/>
      <protection locked="0"/>
    </xf>
    <xf numFmtId="0" fontId="10" fillId="0" borderId="0" xfId="0" applyFont="1" applyProtection="1">
      <protection locked="0"/>
    </xf>
    <xf numFmtId="0" fontId="10" fillId="0" borderId="0" xfId="0" applyFont="1" applyAlignment="1" applyProtection="1">
      <alignment wrapText="1"/>
      <protection locked="0"/>
    </xf>
    <xf numFmtId="0" fontId="10" fillId="0" borderId="0" xfId="0" applyFont="1" applyAlignment="1" applyProtection="1">
      <alignment horizontal="center" vertical="top" wrapText="1"/>
      <protection locked="0"/>
    </xf>
    <xf numFmtId="0" fontId="4" fillId="0" borderId="0" xfId="0" applyFont="1" applyProtection="1">
      <protection locked="0"/>
    </xf>
    <xf numFmtId="0" fontId="13" fillId="0" borderId="0" xfId="0" applyFont="1" applyAlignment="1" applyProtection="1">
      <alignment horizontal="center" vertical="top" wrapText="1"/>
      <protection locked="0"/>
    </xf>
    <xf numFmtId="0" fontId="13" fillId="0" borderId="0" xfId="0" applyFont="1" applyProtection="1">
      <protection locked="0"/>
    </xf>
    <xf numFmtId="168" fontId="13" fillId="0" borderId="0" xfId="0" applyNumberFormat="1" applyFont="1" applyProtection="1">
      <protection locked="0"/>
    </xf>
    <xf numFmtId="167" fontId="10" fillId="0" borderId="0" xfId="0" applyNumberFormat="1" applyFont="1" applyAlignment="1" applyProtection="1">
      <alignment horizontal="right"/>
      <protection locked="0"/>
    </xf>
    <xf numFmtId="164" fontId="10" fillId="0" borderId="0" xfId="0" applyNumberFormat="1" applyFont="1" applyProtection="1">
      <protection locked="0"/>
    </xf>
    <xf numFmtId="166" fontId="10" fillId="0" borderId="0" xfId="0" applyNumberFormat="1" applyFont="1" applyProtection="1">
      <protection locked="0"/>
    </xf>
    <xf numFmtId="169" fontId="4" fillId="0" borderId="0" xfId="0" applyNumberFormat="1" applyFont="1" applyProtection="1">
      <protection locked="0"/>
    </xf>
    <xf numFmtId="0" fontId="10" fillId="0" borderId="14" xfId="0" applyFont="1" applyBorder="1" applyAlignment="1" applyProtection="1">
      <alignment horizontal="center" wrapText="1"/>
      <protection locked="0"/>
    </xf>
    <xf numFmtId="14" fontId="24" fillId="0" borderId="14" xfId="0" applyNumberFormat="1" applyFont="1" applyBorder="1" applyAlignment="1" applyProtection="1">
      <alignment horizontal="left"/>
      <protection locked="0"/>
    </xf>
    <xf numFmtId="168" fontId="4" fillId="6" borderId="14" xfId="0" applyNumberFormat="1" applyFont="1" applyFill="1" applyBorder="1" applyProtection="1">
      <protection locked="0"/>
    </xf>
    <xf numFmtId="167" fontId="6" fillId="0" borderId="0" xfId="0" applyNumberFormat="1" applyFont="1" applyAlignment="1" applyProtection="1">
      <alignment horizontal="right"/>
      <protection locked="0"/>
    </xf>
    <xf numFmtId="164" fontId="4" fillId="0" borderId="0" xfId="0" applyNumberFormat="1" applyFont="1" applyProtection="1">
      <protection locked="0"/>
    </xf>
    <xf numFmtId="10" fontId="4" fillId="0" borderId="0" xfId="0" applyNumberFormat="1" applyFont="1" applyProtection="1">
      <protection locked="0"/>
    </xf>
    <xf numFmtId="167" fontId="4" fillId="0" borderId="0" xfId="0" applyNumberFormat="1" applyFont="1" applyProtection="1">
      <protection locked="0"/>
    </xf>
    <xf numFmtId="0" fontId="28" fillId="0" borderId="0" xfId="0" applyFont="1" applyAlignment="1" applyProtection="1">
      <alignment horizontal="left"/>
      <protection locked="0"/>
    </xf>
    <xf numFmtId="14" fontId="28" fillId="0" borderId="0" xfId="0" applyNumberFormat="1" applyFont="1" applyAlignment="1" applyProtection="1">
      <alignment horizontal="left"/>
      <protection locked="0"/>
    </xf>
    <xf numFmtId="0" fontId="4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14" fontId="4" fillId="7" borderId="0" xfId="0" applyNumberFormat="1" applyFont="1" applyFill="1" applyAlignment="1" applyProtection="1">
      <alignment horizontal="left"/>
      <protection locked="0"/>
    </xf>
    <xf numFmtId="0" fontId="0" fillId="7" borderId="0" xfId="0" applyFill="1" applyAlignment="1" applyProtection="1">
      <alignment horizontal="left"/>
      <protection locked="0"/>
    </xf>
    <xf numFmtId="49" fontId="25" fillId="0" borderId="0" xfId="0" applyNumberFormat="1" applyFont="1" applyProtection="1">
      <protection locked="0"/>
    </xf>
    <xf numFmtId="0" fontId="25" fillId="0" borderId="0" xfId="0" applyFont="1" applyProtection="1">
      <protection locked="0"/>
    </xf>
    <xf numFmtId="14" fontId="4" fillId="0" borderId="0" xfId="0" applyNumberFormat="1" applyFont="1" applyAlignment="1" applyProtection="1">
      <alignment horizontal="left"/>
      <protection locked="0"/>
    </xf>
    <xf numFmtId="171" fontId="25" fillId="0" borderId="0" xfId="0" applyNumberFormat="1" applyFont="1" applyAlignment="1" applyProtection="1">
      <alignment horizontal="left"/>
      <protection locked="0"/>
    </xf>
    <xf numFmtId="0" fontId="23" fillId="0" borderId="0" xfId="0" applyFont="1" applyAlignment="1" applyProtection="1">
      <alignment horizontal="left"/>
      <protection locked="0"/>
    </xf>
    <xf numFmtId="0" fontId="25" fillId="0" borderId="0" xfId="0" applyFont="1" applyAlignment="1" applyProtection="1">
      <alignment horizontal="left"/>
      <protection locked="0"/>
    </xf>
    <xf numFmtId="0" fontId="27" fillId="0" borderId="0" xfId="0" applyFont="1" applyAlignment="1" applyProtection="1">
      <alignment horizontal="left" vertical="top" wrapText="1"/>
      <protection locked="0"/>
    </xf>
    <xf numFmtId="49" fontId="25" fillId="0" borderId="0" xfId="0" applyNumberFormat="1" applyFont="1" applyAlignment="1" applyProtection="1">
      <alignment horizontal="left"/>
      <protection locked="0"/>
    </xf>
    <xf numFmtId="14" fontId="25" fillId="0" borderId="0" xfId="0" applyNumberFormat="1" applyFont="1" applyAlignment="1" applyProtection="1">
      <alignment horizontal="left"/>
      <protection locked="0"/>
    </xf>
    <xf numFmtId="0" fontId="4" fillId="0" borderId="0" xfId="0" applyFont="1" applyAlignment="1" applyProtection="1">
      <alignment horizontal="right"/>
      <protection locked="0"/>
    </xf>
    <xf numFmtId="164" fontId="4" fillId="0" borderId="0" xfId="0" applyNumberFormat="1" applyFont="1" applyAlignment="1" applyProtection="1">
      <alignment horizontal="center"/>
      <protection locked="0"/>
    </xf>
    <xf numFmtId="170" fontId="10" fillId="0" borderId="0" xfId="0" applyNumberFormat="1" applyFont="1" applyAlignment="1" applyProtection="1">
      <alignment horizontal="right"/>
      <protection locked="0"/>
    </xf>
    <xf numFmtId="169" fontId="4" fillId="0" borderId="0" xfId="0" applyNumberFormat="1" applyFont="1" applyAlignment="1" applyProtection="1">
      <alignment horizontal="center"/>
      <protection locked="0"/>
    </xf>
    <xf numFmtId="170" fontId="4" fillId="0" borderId="0" xfId="0" applyNumberFormat="1" applyFont="1" applyProtection="1">
      <protection locked="0"/>
    </xf>
    <xf numFmtId="49" fontId="25" fillId="7" borderId="0" xfId="0" applyNumberFormat="1" applyFont="1" applyFill="1" applyProtection="1">
      <protection locked="0"/>
    </xf>
    <xf numFmtId="0" fontId="25" fillId="7" borderId="0" xfId="0" applyFont="1" applyFill="1" applyProtection="1">
      <protection locked="0"/>
    </xf>
    <xf numFmtId="0" fontId="25" fillId="7" borderId="0" xfId="0" applyFont="1" applyFill="1" applyAlignment="1" applyProtection="1">
      <alignment horizontal="left"/>
      <protection locked="0"/>
    </xf>
    <xf numFmtId="0" fontId="29" fillId="0" borderId="0" xfId="0" applyFont="1" applyProtection="1">
      <protection locked="0"/>
    </xf>
    <xf numFmtId="49" fontId="25" fillId="0" borderId="0" xfId="0" applyNumberFormat="1" applyFont="1" applyAlignment="1" applyProtection="1">
      <alignment wrapText="1"/>
      <protection locked="0"/>
    </xf>
    <xf numFmtId="0" fontId="0" fillId="0" borderId="0" xfId="0" applyProtection="1">
      <protection locked="0"/>
    </xf>
    <xf numFmtId="168" fontId="10" fillId="0" borderId="0" xfId="0" applyNumberFormat="1" applyFont="1" applyProtection="1">
      <protection locked="0"/>
    </xf>
    <xf numFmtId="21" fontId="0" fillId="0" borderId="0" xfId="0" applyNumberFormat="1" applyProtection="1">
      <protection locked="0"/>
    </xf>
    <xf numFmtId="166" fontId="13" fillId="9" borderId="27" xfId="0" applyNumberFormat="1" applyFont="1" applyFill="1" applyBorder="1"/>
    <xf numFmtId="165" fontId="13" fillId="9" borderId="28" xfId="0" applyNumberFormat="1" applyFont="1" applyFill="1" applyBorder="1"/>
    <xf numFmtId="166" fontId="13" fillId="9" borderId="25" xfId="0" applyNumberFormat="1" applyFont="1" applyFill="1" applyBorder="1"/>
    <xf numFmtId="165" fontId="13" fillId="9" borderId="29" xfId="0" applyNumberFormat="1" applyFont="1" applyFill="1" applyBorder="1"/>
    <xf numFmtId="2" fontId="4" fillId="0" borderId="0" xfId="0" applyNumberFormat="1" applyFont="1" applyProtection="1">
      <protection locked="0"/>
    </xf>
    <xf numFmtId="166" fontId="13" fillId="9" borderId="14" xfId="0" applyNumberFormat="1" applyFont="1" applyFill="1" applyBorder="1"/>
    <xf numFmtId="165" fontId="13" fillId="9" borderId="14" xfId="0" applyNumberFormat="1" applyFont="1" applyFill="1" applyBorder="1"/>
    <xf numFmtId="166" fontId="13" fillId="9" borderId="14" xfId="0" applyNumberFormat="1" applyFont="1" applyFill="1" applyBorder="1" applyProtection="1">
      <protection locked="0"/>
    </xf>
    <xf numFmtId="165" fontId="13" fillId="9" borderId="14" xfId="0" applyNumberFormat="1" applyFont="1" applyFill="1" applyBorder="1" applyProtection="1">
      <protection locked="0"/>
    </xf>
    <xf numFmtId="0" fontId="6" fillId="0" borderId="0" xfId="0" applyFont="1" applyAlignment="1" applyProtection="1">
      <alignment wrapText="1"/>
      <protection locked="0"/>
    </xf>
    <xf numFmtId="21" fontId="4" fillId="0" borderId="0" xfId="0" applyNumberFormat="1" applyFont="1" applyProtection="1">
      <protection locked="0"/>
    </xf>
    <xf numFmtId="168" fontId="4" fillId="0" borderId="0" xfId="0" applyNumberFormat="1" applyFont="1" applyProtection="1">
      <protection locked="0"/>
    </xf>
    <xf numFmtId="0" fontId="7" fillId="0" borderId="0" xfId="0" applyFont="1" applyProtection="1">
      <protection locked="0"/>
    </xf>
    <xf numFmtId="21" fontId="25" fillId="0" borderId="0" xfId="0" applyNumberFormat="1" applyFont="1" applyAlignment="1" applyProtection="1">
      <alignment horizontal="right"/>
      <protection locked="0"/>
    </xf>
    <xf numFmtId="168" fontId="4" fillId="0" borderId="0" xfId="0" applyNumberFormat="1" applyFont="1" applyAlignment="1" applyProtection="1">
      <alignment horizontal="right"/>
      <protection locked="0"/>
    </xf>
    <xf numFmtId="0" fontId="25" fillId="0" borderId="0" xfId="0" applyFont="1" applyAlignment="1" applyProtection="1">
      <alignment horizontal="right"/>
      <protection locked="0"/>
    </xf>
    <xf numFmtId="21" fontId="25" fillId="7" borderId="0" xfId="0" applyNumberFormat="1" applyFont="1" applyFill="1" applyAlignment="1" applyProtection="1">
      <alignment horizontal="right"/>
      <protection locked="0"/>
    </xf>
    <xf numFmtId="0" fontId="25" fillId="7" borderId="0" xfId="0" applyFont="1" applyFill="1" applyAlignment="1" applyProtection="1">
      <alignment horizontal="right"/>
      <protection locked="0"/>
    </xf>
    <xf numFmtId="14" fontId="25" fillId="7" borderId="0" xfId="0" applyNumberFormat="1" applyFont="1" applyFill="1" applyAlignment="1" applyProtection="1">
      <alignment horizontal="left"/>
      <protection locked="0"/>
    </xf>
    <xf numFmtId="49" fontId="25" fillId="0" borderId="0" xfId="0" applyNumberFormat="1" applyFont="1" applyAlignment="1" applyProtection="1">
      <alignment horizontal="right"/>
      <protection locked="0"/>
    </xf>
    <xf numFmtId="49" fontId="31" fillId="0" borderId="0" xfId="0" applyNumberFormat="1" applyFont="1" applyProtection="1">
      <protection locked="0"/>
    </xf>
    <xf numFmtId="0" fontId="21" fillId="0" borderId="0" xfId="0" applyFont="1" applyAlignment="1">
      <alignment horizontal="left" wrapText="1"/>
    </xf>
    <xf numFmtId="172" fontId="28" fillId="0" borderId="0" xfId="0" applyNumberFormat="1" applyFont="1" applyAlignment="1">
      <alignment horizontal="left"/>
    </xf>
    <xf numFmtId="0" fontId="21" fillId="0" borderId="0" xfId="0" applyFont="1" applyAlignment="1" applyProtection="1">
      <alignment horizontal="left"/>
      <protection locked="0"/>
    </xf>
    <xf numFmtId="49" fontId="21" fillId="0" borderId="0" xfId="0" applyNumberFormat="1" applyFont="1" applyProtection="1">
      <protection locked="0"/>
    </xf>
    <xf numFmtId="14" fontId="21" fillId="0" borderId="0" xfId="0" applyNumberFormat="1" applyFont="1" applyAlignment="1" applyProtection="1">
      <alignment horizontal="left"/>
      <protection locked="0"/>
    </xf>
    <xf numFmtId="0" fontId="21" fillId="0" borderId="0" xfId="0" applyFont="1" applyProtection="1">
      <protection locked="0"/>
    </xf>
    <xf numFmtId="0" fontId="6" fillId="3" borderId="0" xfId="0" applyFont="1" applyFill="1" applyProtection="1">
      <protection locked="0"/>
    </xf>
    <xf numFmtId="167" fontId="7" fillId="3" borderId="0" xfId="0" applyNumberFormat="1" applyFont="1" applyFill="1" applyProtection="1">
      <protection locked="0"/>
    </xf>
    <xf numFmtId="167" fontId="4" fillId="3" borderId="0" xfId="0" applyNumberFormat="1" applyFont="1" applyFill="1" applyProtection="1">
      <protection locked="0"/>
    </xf>
    <xf numFmtId="0" fontId="7" fillId="0" borderId="0" xfId="0" applyFont="1" applyAlignment="1" applyProtection="1">
      <alignment horizontal="right"/>
      <protection locked="0"/>
    </xf>
    <xf numFmtId="49" fontId="25" fillId="7" borderId="0" xfId="0" applyNumberFormat="1" applyFont="1" applyFill="1" applyAlignment="1" applyProtection="1">
      <alignment horizontal="right"/>
      <protection locked="0"/>
    </xf>
    <xf numFmtId="0" fontId="28" fillId="7" borderId="0" xfId="0" applyFont="1" applyFill="1" applyProtection="1">
      <protection locked="0"/>
    </xf>
    <xf numFmtId="1" fontId="4" fillId="0" borderId="0" xfId="0" applyNumberFormat="1" applyFont="1" applyAlignment="1" applyProtection="1">
      <alignment horizontal="left"/>
      <protection locked="0"/>
    </xf>
    <xf numFmtId="173" fontId="4" fillId="0" borderId="0" xfId="0" applyNumberFormat="1" applyFont="1" applyAlignment="1" applyProtection="1">
      <alignment horizontal="left"/>
      <protection locked="0"/>
    </xf>
    <xf numFmtId="49" fontId="4" fillId="0" borderId="0" xfId="0" applyNumberFormat="1" applyFont="1" applyAlignment="1" applyProtection="1">
      <alignment horizontal="right"/>
      <protection locked="0"/>
    </xf>
    <xf numFmtId="49" fontId="4" fillId="0" borderId="0" xfId="0" applyNumberFormat="1" applyFont="1" applyProtection="1">
      <protection locked="0"/>
    </xf>
    <xf numFmtId="0" fontId="4" fillId="3" borderId="0" xfId="0" applyFont="1" applyFill="1" applyProtection="1">
      <protection locked="0"/>
    </xf>
    <xf numFmtId="167" fontId="6" fillId="3" borderId="0" xfId="0" applyNumberFormat="1" applyFont="1" applyFill="1" applyProtection="1">
      <protection locked="0"/>
    </xf>
    <xf numFmtId="172" fontId="25" fillId="0" borderId="0" xfId="0" applyNumberFormat="1" applyFont="1" applyAlignment="1" applyProtection="1">
      <alignment horizontal="left"/>
      <protection locked="0"/>
    </xf>
    <xf numFmtId="172" fontId="4" fillId="0" borderId="0" xfId="0" applyNumberFormat="1" applyFont="1" applyProtection="1">
      <protection locked="0"/>
    </xf>
    <xf numFmtId="172" fontId="25" fillId="7" borderId="0" xfId="0" applyNumberFormat="1" applyFont="1" applyFill="1" applyAlignment="1" applyProtection="1">
      <alignment horizontal="left"/>
      <protection locked="0"/>
    </xf>
    <xf numFmtId="172" fontId="4" fillId="0" borderId="0" xfId="0" applyNumberFormat="1" applyFont="1" applyAlignment="1" applyProtection="1">
      <alignment horizontal="left"/>
      <protection locked="0"/>
    </xf>
    <xf numFmtId="0" fontId="33" fillId="0" borderId="0" xfId="0" applyFont="1" applyAlignment="1" applyProtection="1">
      <alignment vertical="top"/>
      <protection locked="0"/>
    </xf>
    <xf numFmtId="167" fontId="4" fillId="0" borderId="0" xfId="0" applyNumberFormat="1" applyFont="1" applyAlignment="1" applyProtection="1">
      <alignment horizontal="right"/>
      <protection locked="0"/>
    </xf>
    <xf numFmtId="21" fontId="4" fillId="0" borderId="0" xfId="0" applyNumberFormat="1" applyFont="1" applyAlignment="1" applyProtection="1">
      <alignment horizontal="right"/>
      <protection locked="0"/>
    </xf>
    <xf numFmtId="49" fontId="25" fillId="7" borderId="0" xfId="0" applyNumberFormat="1" applyFont="1" applyFill="1" applyAlignment="1" applyProtection="1">
      <alignment horizontal="left"/>
      <protection locked="0"/>
    </xf>
    <xf numFmtId="166" fontId="10" fillId="9" borderId="14" xfId="0" applyNumberFormat="1" applyFont="1" applyFill="1" applyBorder="1"/>
    <xf numFmtId="165" fontId="10" fillId="9" borderId="14" xfId="0" applyNumberFormat="1" applyFont="1" applyFill="1" applyBorder="1"/>
    <xf numFmtId="171" fontId="25" fillId="7" borderId="0" xfId="0" applyNumberFormat="1" applyFont="1" applyFill="1" applyAlignment="1" applyProtection="1">
      <alignment horizontal="left"/>
      <protection locked="0"/>
    </xf>
    <xf numFmtId="172" fontId="28" fillId="0" borderId="0" xfId="0" applyNumberFormat="1" applyFont="1" applyAlignment="1" applyProtection="1">
      <alignment horizontal="left"/>
      <protection locked="0"/>
    </xf>
    <xf numFmtId="166" fontId="13" fillId="10" borderId="14" xfId="0" applyNumberFormat="1" applyFont="1" applyFill="1" applyBorder="1" applyProtection="1">
      <protection locked="0"/>
    </xf>
    <xf numFmtId="165" fontId="13" fillId="10" borderId="14" xfId="0" applyNumberFormat="1" applyFont="1" applyFill="1" applyBorder="1" applyProtection="1">
      <protection locked="0"/>
    </xf>
    <xf numFmtId="172" fontId="28" fillId="7" borderId="0" xfId="0" applyNumberFormat="1" applyFont="1" applyFill="1" applyAlignment="1">
      <alignment horizontal="left"/>
    </xf>
    <xf numFmtId="164" fontId="10" fillId="0" borderId="0" xfId="0" applyNumberFormat="1" applyFont="1" applyAlignment="1">
      <alignment horizontal="center"/>
    </xf>
    <xf numFmtId="174" fontId="4" fillId="0" borderId="0" xfId="0" applyNumberFormat="1" applyFont="1"/>
    <xf numFmtId="165" fontId="10" fillId="0" borderId="0" xfId="0" applyNumberFormat="1" applyFont="1"/>
    <xf numFmtId="0" fontId="10" fillId="0" borderId="14" xfId="0" applyFont="1" applyBorder="1" applyAlignment="1">
      <alignment horizontal="center" wrapText="1"/>
    </xf>
    <xf numFmtId="9" fontId="10" fillId="5" borderId="14" xfId="0" applyNumberFormat="1" applyFont="1" applyFill="1" applyBorder="1" applyAlignment="1">
      <alignment horizontal="center" wrapText="1"/>
    </xf>
    <xf numFmtId="49" fontId="24" fillId="0" borderId="14" xfId="0" applyNumberFormat="1" applyFont="1" applyBorder="1" applyAlignment="1">
      <alignment horizontal="left"/>
    </xf>
    <xf numFmtId="14" fontId="24" fillId="0" borderId="14" xfId="0" applyNumberFormat="1" applyFont="1" applyBorder="1" applyAlignment="1">
      <alignment horizontal="left"/>
    </xf>
    <xf numFmtId="49" fontId="24" fillId="0" borderId="14" xfId="0" applyNumberFormat="1" applyFont="1" applyBorder="1" applyAlignment="1">
      <alignment horizontal="left" wrapText="1"/>
    </xf>
    <xf numFmtId="0" fontId="24" fillId="0" borderId="14" xfId="0" applyFont="1" applyBorder="1" applyAlignment="1">
      <alignment horizontal="left" wrapText="1"/>
    </xf>
    <xf numFmtId="0" fontId="4" fillId="0" borderId="14" xfId="0" applyFont="1" applyBorder="1"/>
    <xf numFmtId="0" fontId="4" fillId="5" borderId="14" xfId="0" applyFont="1" applyFill="1" applyBorder="1"/>
    <xf numFmtId="168" fontId="4" fillId="5" borderId="14" xfId="0" applyNumberFormat="1" applyFont="1" applyFill="1" applyBorder="1"/>
    <xf numFmtId="170" fontId="25" fillId="0" borderId="14" xfId="2" applyNumberFormat="1" applyFont="1" applyBorder="1" applyAlignment="1">
      <alignment horizontal="right"/>
    </xf>
    <xf numFmtId="49" fontId="21" fillId="0" borderId="14" xfId="0" applyNumberFormat="1" applyFont="1" applyBorder="1" applyAlignment="1">
      <alignment horizontal="left"/>
    </xf>
    <xf numFmtId="14" fontId="21" fillId="0" borderId="14" xfId="0" applyNumberFormat="1" applyFont="1" applyBorder="1" applyAlignment="1">
      <alignment horizontal="left"/>
    </xf>
    <xf numFmtId="0" fontId="21" fillId="0" borderId="14" xfId="0" applyFont="1" applyBorder="1" applyAlignment="1">
      <alignment horizontal="left"/>
    </xf>
    <xf numFmtId="170" fontId="4" fillId="0" borderId="14" xfId="0" applyNumberFormat="1" applyFont="1" applyBorder="1" applyAlignment="1">
      <alignment horizontal="right"/>
    </xf>
    <xf numFmtId="21" fontId="7" fillId="0" borderId="14" xfId="0" applyNumberFormat="1" applyFont="1" applyBorder="1" applyAlignment="1">
      <alignment horizontal="left"/>
    </xf>
    <xf numFmtId="0" fontId="7" fillId="0" borderId="14" xfId="0" applyFont="1" applyBorder="1" applyAlignment="1">
      <alignment horizontal="left"/>
    </xf>
    <xf numFmtId="0" fontId="22" fillId="0" borderId="14" xfId="1" applyFill="1" applyBorder="1" applyAlignment="1">
      <alignment horizontal="left"/>
    </xf>
    <xf numFmtId="0" fontId="34" fillId="0" borderId="14" xfId="1" applyFont="1" applyFill="1" applyBorder="1" applyAlignment="1">
      <alignment horizontal="left"/>
    </xf>
    <xf numFmtId="0" fontId="35" fillId="0" borderId="14" xfId="1" applyFont="1" applyFill="1" applyBorder="1" applyAlignment="1">
      <alignment horizontal="left"/>
    </xf>
    <xf numFmtId="0" fontId="7" fillId="0" borderId="14" xfId="0" applyFont="1" applyBorder="1"/>
    <xf numFmtId="0" fontId="34" fillId="0" borderId="14" xfId="1" applyFont="1" applyFill="1" applyBorder="1"/>
    <xf numFmtId="174" fontId="4" fillId="0" borderId="0" xfId="0" applyNumberFormat="1" applyFont="1" applyAlignment="1">
      <alignment horizontal="right"/>
    </xf>
    <xf numFmtId="170" fontId="25" fillId="0" borderId="0" xfId="4" applyNumberFormat="1" applyFont="1" applyAlignment="1">
      <alignment horizontal="right"/>
    </xf>
    <xf numFmtId="49" fontId="26" fillId="0" borderId="14" xfId="0" applyNumberFormat="1" applyFont="1" applyBorder="1" applyAlignment="1" applyProtection="1">
      <alignment horizontal="left"/>
      <protection locked="0"/>
    </xf>
    <xf numFmtId="14" fontId="26" fillId="0" borderId="14" xfId="0" applyNumberFormat="1" applyFont="1" applyBorder="1" applyAlignment="1" applyProtection="1">
      <alignment horizontal="left"/>
      <protection locked="0"/>
    </xf>
    <xf numFmtId="49" fontId="26" fillId="0" borderId="14" xfId="0" applyNumberFormat="1" applyFont="1" applyBorder="1" applyAlignment="1">
      <alignment horizontal="left"/>
    </xf>
    <xf numFmtId="14" fontId="26" fillId="0" borderId="14" xfId="0" applyNumberFormat="1" applyFont="1" applyBorder="1" applyAlignment="1">
      <alignment horizontal="left"/>
    </xf>
    <xf numFmtId="49" fontId="26" fillId="0" borderId="14" xfId="0" applyNumberFormat="1" applyFont="1" applyBorder="1" applyAlignment="1">
      <alignment horizontal="left" wrapText="1"/>
    </xf>
    <xf numFmtId="0" fontId="26" fillId="0" borderId="14" xfId="0" applyFont="1" applyBorder="1" applyAlignment="1">
      <alignment horizontal="left" wrapText="1"/>
    </xf>
    <xf numFmtId="174" fontId="4" fillId="5" borderId="14" xfId="0" applyNumberFormat="1" applyFont="1" applyFill="1" applyBorder="1"/>
    <xf numFmtId="174" fontId="4" fillId="0" borderId="14" xfId="0" applyNumberFormat="1" applyFont="1" applyBorder="1"/>
    <xf numFmtId="174" fontId="4" fillId="0" borderId="14" xfId="0" applyNumberFormat="1" applyFont="1" applyBorder="1" applyAlignment="1">
      <alignment horizontal="right"/>
    </xf>
    <xf numFmtId="170" fontId="4" fillId="0" borderId="14" xfId="0" applyNumberFormat="1" applyFont="1" applyBorder="1"/>
    <xf numFmtId="49" fontId="23" fillId="0" borderId="14" xfId="0" applyNumberFormat="1" applyFont="1" applyBorder="1"/>
    <xf numFmtId="0" fontId="23" fillId="0" borderId="14" xfId="0" applyFont="1" applyBorder="1"/>
    <xf numFmtId="14" fontId="23" fillId="0" borderId="14" xfId="0" applyNumberFormat="1" applyFont="1" applyBorder="1" applyAlignment="1">
      <alignment horizontal="left"/>
    </xf>
    <xf numFmtId="170" fontId="4" fillId="0" borderId="15" xfId="0" applyNumberFormat="1" applyFont="1" applyBorder="1"/>
    <xf numFmtId="49" fontId="28" fillId="0" borderId="14" xfId="4" applyNumberFormat="1" applyFont="1" applyBorder="1"/>
    <xf numFmtId="0" fontId="28" fillId="0" borderId="14" xfId="4" applyFont="1" applyBorder="1"/>
    <xf numFmtId="14" fontId="28" fillId="0" borderId="14" xfId="4" applyNumberFormat="1" applyFont="1" applyBorder="1" applyAlignment="1">
      <alignment horizontal="left"/>
    </xf>
    <xf numFmtId="49" fontId="25" fillId="0" borderId="14" xfId="4" applyNumberFormat="1" applyFont="1" applyBorder="1"/>
    <xf numFmtId="0" fontId="25" fillId="0" borderId="14" xfId="4" applyFont="1" applyBorder="1"/>
    <xf numFmtId="14" fontId="25" fillId="0" borderId="14" xfId="4" applyNumberFormat="1" applyFont="1" applyBorder="1" applyAlignment="1">
      <alignment horizontal="left"/>
    </xf>
    <xf numFmtId="0" fontId="32" fillId="7" borderId="14" xfId="4" applyFont="1" applyFill="1" applyBorder="1" applyAlignment="1">
      <alignment vertical="center" wrapText="1"/>
    </xf>
    <xf numFmtId="49" fontId="28" fillId="7" borderId="14" xfId="4" applyNumberFormat="1" applyFont="1" applyFill="1" applyBorder="1"/>
    <xf numFmtId="14" fontId="28" fillId="7" borderId="14" xfId="4" applyNumberFormat="1" applyFont="1" applyFill="1" applyBorder="1" applyAlignment="1">
      <alignment horizontal="left"/>
    </xf>
    <xf numFmtId="0" fontId="28" fillId="7" borderId="14" xfId="4" applyFont="1" applyFill="1" applyBorder="1"/>
    <xf numFmtId="0" fontId="25" fillId="7" borderId="14" xfId="4" applyFont="1" applyFill="1" applyBorder="1" applyAlignment="1">
      <alignment horizontal="left"/>
    </xf>
    <xf numFmtId="0" fontId="32" fillId="0" borderId="14" xfId="4" applyFont="1" applyBorder="1" applyAlignment="1">
      <alignment vertical="center" wrapText="1"/>
    </xf>
    <xf numFmtId="0" fontId="28" fillId="0" borderId="14" xfId="0" applyFont="1" applyBorder="1"/>
    <xf numFmtId="0" fontId="4" fillId="0" borderId="14" xfId="4" applyFont="1" applyBorder="1"/>
    <xf numFmtId="14" fontId="4" fillId="0" borderId="14" xfId="4" applyNumberFormat="1" applyFont="1" applyBorder="1" applyAlignment="1">
      <alignment horizontal="left"/>
    </xf>
    <xf numFmtId="0" fontId="4" fillId="7" borderId="14" xfId="0" applyFont="1" applyFill="1" applyBorder="1"/>
    <xf numFmtId="0" fontId="36" fillId="7" borderId="14" xfId="1" applyFont="1" applyFill="1" applyBorder="1"/>
    <xf numFmtId="0" fontId="28" fillId="7" borderId="14" xfId="0" applyFont="1" applyFill="1" applyBorder="1"/>
    <xf numFmtId="0" fontId="32" fillId="0" borderId="14" xfId="4" applyFont="1" applyBorder="1" applyAlignment="1">
      <alignment wrapText="1"/>
    </xf>
    <xf numFmtId="167" fontId="4" fillId="0" borderId="0" xfId="0" applyNumberFormat="1" applyFont="1" applyAlignment="1">
      <alignment horizontal="right"/>
    </xf>
    <xf numFmtId="0" fontId="10" fillId="5" borderId="14" xfId="0" applyFont="1" applyFill="1" applyBorder="1" applyAlignment="1">
      <alignment horizontal="center" wrapText="1"/>
    </xf>
    <xf numFmtId="49" fontId="26" fillId="0" borderId="14" xfId="0" applyNumberFormat="1" applyFont="1" applyBorder="1"/>
    <xf numFmtId="49" fontId="26" fillId="0" borderId="14" xfId="0" applyNumberFormat="1" applyFont="1" applyBorder="1" applyAlignment="1">
      <alignment wrapText="1"/>
    </xf>
    <xf numFmtId="0" fontId="26" fillId="0" borderId="14" xfId="0" applyFont="1" applyBorder="1"/>
    <xf numFmtId="0" fontId="10" fillId="0" borderId="14" xfId="0" applyFont="1" applyBorder="1"/>
    <xf numFmtId="167" fontId="4" fillId="0" borderId="14" xfId="0" applyNumberFormat="1" applyFont="1" applyBorder="1" applyAlignment="1">
      <alignment horizontal="right"/>
    </xf>
    <xf numFmtId="21" fontId="4" fillId="0" borderId="14" xfId="0" applyNumberFormat="1" applyFont="1" applyBorder="1"/>
    <xf numFmtId="167" fontId="4" fillId="0" borderId="14" xfId="0" applyNumberFormat="1" applyFont="1" applyBorder="1"/>
    <xf numFmtId="49" fontId="21" fillId="0" borderId="14" xfId="0" applyNumberFormat="1" applyFont="1" applyBorder="1"/>
    <xf numFmtId="49" fontId="21" fillId="0" borderId="14" xfId="0" applyNumberFormat="1" applyFont="1" applyBorder="1" applyAlignment="1">
      <alignment wrapText="1"/>
    </xf>
    <xf numFmtId="0" fontId="21" fillId="0" borderId="14" xfId="0" applyFont="1" applyBorder="1"/>
    <xf numFmtId="172" fontId="21" fillId="0" borderId="14" xfId="0" applyNumberFormat="1" applyFont="1" applyBorder="1" applyAlignment="1">
      <alignment horizontal="left"/>
    </xf>
    <xf numFmtId="170" fontId="4" fillId="3" borderId="14" xfId="0" applyNumberFormat="1" applyFont="1" applyFill="1" applyBorder="1"/>
    <xf numFmtId="49" fontId="21" fillId="7" borderId="14" xfId="0" applyNumberFormat="1" applyFont="1" applyFill="1" applyBorder="1" applyAlignment="1">
      <alignment horizontal="left"/>
    </xf>
    <xf numFmtId="172" fontId="21" fillId="7" borderId="14" xfId="0" applyNumberFormat="1" applyFont="1" applyFill="1" applyBorder="1" applyAlignment="1">
      <alignment horizontal="left"/>
    </xf>
    <xf numFmtId="0" fontId="21" fillId="7" borderId="14" xfId="0" applyFont="1" applyFill="1" applyBorder="1" applyAlignment="1">
      <alignment horizontal="left"/>
    </xf>
    <xf numFmtId="0" fontId="7" fillId="7" borderId="14" xfId="0" applyFont="1" applyFill="1" applyBorder="1" applyAlignment="1">
      <alignment horizontal="left"/>
    </xf>
    <xf numFmtId="172" fontId="7" fillId="7" borderId="14" xfId="0" applyNumberFormat="1" applyFont="1" applyFill="1" applyBorder="1" applyAlignment="1">
      <alignment horizontal="left"/>
    </xf>
    <xf numFmtId="170" fontId="4" fillId="0" borderId="0" xfId="0" applyNumberFormat="1" applyFont="1" applyAlignment="1">
      <alignment horizontal="right"/>
    </xf>
    <xf numFmtId="170" fontId="4" fillId="3" borderId="0" xfId="0" applyNumberFormat="1" applyFont="1" applyFill="1" applyAlignment="1">
      <alignment horizontal="right"/>
    </xf>
    <xf numFmtId="0" fontId="10" fillId="5" borderId="30" xfId="0" applyFont="1" applyFill="1" applyBorder="1" applyAlignment="1">
      <alignment horizontal="center" vertical="top" wrapText="1"/>
    </xf>
    <xf numFmtId="0" fontId="10" fillId="6" borderId="14" xfId="0" applyFont="1" applyFill="1" applyBorder="1" applyAlignment="1">
      <alignment horizontal="center" vertical="top" wrapText="1"/>
    </xf>
    <xf numFmtId="0" fontId="4" fillId="0" borderId="14" xfId="0" applyFont="1" applyBorder="1" applyAlignment="1">
      <alignment wrapText="1"/>
    </xf>
    <xf numFmtId="167" fontId="4" fillId="3" borderId="14" xfId="0" applyNumberFormat="1" applyFont="1" applyFill="1" applyBorder="1"/>
    <xf numFmtId="167" fontId="4" fillId="0" borderId="14" xfId="0" applyNumberFormat="1" applyFont="1" applyBorder="1" applyAlignment="1">
      <alignment vertical="center"/>
    </xf>
    <xf numFmtId="167" fontId="4" fillId="3" borderId="14" xfId="0" applyNumberFormat="1" applyFont="1" applyFill="1" applyBorder="1" applyAlignment="1">
      <alignment horizontal="right"/>
    </xf>
    <xf numFmtId="49" fontId="21" fillId="7" borderId="31" xfId="0" applyNumberFormat="1" applyFont="1" applyFill="1" applyBorder="1" applyAlignment="1">
      <alignment horizontal="left"/>
    </xf>
    <xf numFmtId="49" fontId="21" fillId="7" borderId="15" xfId="0" applyNumberFormat="1" applyFont="1" applyFill="1" applyBorder="1" applyAlignment="1">
      <alignment horizontal="left"/>
    </xf>
    <xf numFmtId="171" fontId="21" fillId="7" borderId="14" xfId="0" applyNumberFormat="1" applyFont="1" applyFill="1" applyBorder="1" applyAlignment="1">
      <alignment horizontal="left"/>
    </xf>
    <xf numFmtId="171" fontId="21" fillId="7" borderId="14" xfId="0" applyNumberFormat="1" applyFont="1" applyFill="1" applyBorder="1"/>
    <xf numFmtId="172" fontId="21" fillId="0" borderId="15" xfId="0" applyNumberFormat="1" applyFont="1" applyBorder="1" applyAlignment="1">
      <alignment horizontal="left"/>
    </xf>
    <xf numFmtId="49" fontId="21" fillId="0" borderId="30" xfId="0" applyNumberFormat="1" applyFont="1" applyBorder="1" applyAlignment="1">
      <alignment horizontal="left"/>
    </xf>
    <xf numFmtId="0" fontId="25" fillId="0" borderId="14" xfId="0" applyFont="1" applyBorder="1" applyAlignment="1">
      <alignment horizontal="left"/>
    </xf>
    <xf numFmtId="172" fontId="21" fillId="0" borderId="0" xfId="0" applyNumberFormat="1" applyFont="1"/>
    <xf numFmtId="0" fontId="30" fillId="0" borderId="14" xfId="0" applyFont="1" applyBorder="1" applyAlignment="1">
      <alignment horizontal="left"/>
    </xf>
    <xf numFmtId="172" fontId="7" fillId="0" borderId="14" xfId="0" applyNumberFormat="1" applyFont="1" applyBorder="1" applyAlignment="1">
      <alignment horizontal="left"/>
    </xf>
    <xf numFmtId="167" fontId="4" fillId="3" borderId="26" xfId="0" applyNumberFormat="1" applyFont="1" applyFill="1" applyBorder="1"/>
    <xf numFmtId="167" fontId="4" fillId="0" borderId="26" xfId="0" applyNumberFormat="1" applyFont="1" applyBorder="1" applyAlignment="1">
      <alignment vertical="center"/>
    </xf>
    <xf numFmtId="0" fontId="6" fillId="0" borderId="32" xfId="0" applyFont="1" applyBorder="1"/>
    <xf numFmtId="167" fontId="4" fillId="3" borderId="26" xfId="0" applyNumberFormat="1" applyFont="1" applyFill="1" applyBorder="1" applyAlignment="1">
      <alignment horizontal="right"/>
    </xf>
    <xf numFmtId="49" fontId="25" fillId="0" borderId="26" xfId="0" applyNumberFormat="1" applyFont="1" applyBorder="1" applyAlignment="1">
      <alignment horizontal="right"/>
    </xf>
    <xf numFmtId="167" fontId="4" fillId="0" borderId="26" xfId="0" applyNumberFormat="1" applyFont="1" applyBorder="1" applyAlignment="1">
      <alignment horizontal="right"/>
    </xf>
    <xf numFmtId="0" fontId="6" fillId="0" borderId="26" xfId="0" applyFont="1" applyBorder="1"/>
    <xf numFmtId="167" fontId="4" fillId="3" borderId="32" xfId="0" applyNumberFormat="1" applyFont="1" applyFill="1" applyBorder="1"/>
    <xf numFmtId="167" fontId="4" fillId="0" borderId="26" xfId="0" applyNumberFormat="1" applyFont="1" applyBorder="1"/>
    <xf numFmtId="0" fontId="10" fillId="0" borderId="14" xfId="0" applyFont="1" applyBorder="1" applyAlignment="1" applyProtection="1">
      <alignment wrapText="1"/>
      <protection locked="0"/>
    </xf>
    <xf numFmtId="14" fontId="26" fillId="0" borderId="14" xfId="0" applyNumberFormat="1" applyFont="1" applyBorder="1" applyAlignment="1">
      <alignment horizontal="left" wrapText="1"/>
    </xf>
    <xf numFmtId="49" fontId="24" fillId="0" borderId="14" xfId="0" applyNumberFormat="1" applyFont="1" applyBorder="1" applyProtection="1">
      <protection locked="0"/>
    </xf>
    <xf numFmtId="14" fontId="24" fillId="0" borderId="14" xfId="0" applyNumberFormat="1" applyFont="1" applyBorder="1" applyProtection="1">
      <protection locked="0"/>
    </xf>
    <xf numFmtId="49" fontId="24" fillId="0" borderId="14" xfId="0" applyNumberFormat="1" applyFont="1" applyBorder="1" applyAlignment="1" applyProtection="1">
      <alignment wrapText="1"/>
      <protection locked="0"/>
    </xf>
    <xf numFmtId="0" fontId="24" fillId="0" borderId="14" xfId="0" applyFont="1" applyBorder="1" applyProtection="1">
      <protection locked="0"/>
    </xf>
    <xf numFmtId="49" fontId="25" fillId="0" borderId="14" xfId="0" applyNumberFormat="1" applyFont="1" applyBorder="1" applyAlignment="1" applyProtection="1">
      <alignment horizontal="left" wrapText="1"/>
      <protection locked="0"/>
    </xf>
    <xf numFmtId="14" fontId="25" fillId="0" borderId="14" xfId="0" applyNumberFormat="1" applyFont="1" applyBorder="1" applyAlignment="1" applyProtection="1">
      <alignment horizontal="left" wrapText="1"/>
      <protection locked="0"/>
    </xf>
    <xf numFmtId="0" fontId="25" fillId="0" borderId="14" xfId="0" applyFont="1" applyBorder="1" applyAlignment="1" applyProtection="1">
      <alignment horizontal="left" wrapText="1"/>
      <protection locked="0"/>
    </xf>
    <xf numFmtId="0" fontId="26" fillId="0" borderId="14" xfId="0" applyFont="1" applyBorder="1" applyAlignment="1" applyProtection="1">
      <alignment horizontal="left"/>
      <protection locked="0"/>
    </xf>
    <xf numFmtId="49" fontId="26" fillId="0" borderId="14" xfId="0" applyNumberFormat="1" applyFont="1" applyBorder="1" applyProtection="1">
      <protection locked="0"/>
    </xf>
    <xf numFmtId="14" fontId="26" fillId="0" borderId="14" xfId="0" applyNumberFormat="1" applyFont="1" applyBorder="1" applyProtection="1">
      <protection locked="0"/>
    </xf>
    <xf numFmtId="49" fontId="26" fillId="0" borderId="14" xfId="0" applyNumberFormat="1" applyFont="1" applyBorder="1" applyAlignment="1" applyProtection="1">
      <alignment wrapText="1"/>
      <protection locked="0"/>
    </xf>
    <xf numFmtId="0" fontId="26" fillId="0" borderId="14" xfId="0" applyFont="1" applyBorder="1" applyProtection="1">
      <protection locked="0"/>
    </xf>
    <xf numFmtId="0" fontId="10" fillId="0" borderId="14" xfId="0" applyFont="1" applyBorder="1" applyAlignment="1">
      <alignment wrapText="1"/>
    </xf>
    <xf numFmtId="49" fontId="24" fillId="0" borderId="14" xfId="0" applyNumberFormat="1" applyFont="1" applyBorder="1" applyAlignment="1">
      <alignment wrapText="1"/>
    </xf>
    <xf numFmtId="14" fontId="24" fillId="0" borderId="14" xfId="0" applyNumberFormat="1" applyFont="1" applyBorder="1" applyAlignment="1">
      <alignment wrapText="1"/>
    </xf>
    <xf numFmtId="14" fontId="24" fillId="0" borderId="14" xfId="0" applyNumberFormat="1" applyFont="1" applyBorder="1" applyAlignment="1">
      <alignment horizontal="left" wrapText="1"/>
    </xf>
    <xf numFmtId="0" fontId="18" fillId="0" borderId="14" xfId="0" applyFont="1" applyBorder="1" applyAlignment="1">
      <alignment horizontal="center" wrapText="1"/>
    </xf>
    <xf numFmtId="167" fontId="4" fillId="7" borderId="14" xfId="0" applyNumberFormat="1" applyFont="1" applyFill="1" applyBorder="1" applyAlignment="1">
      <alignment horizontal="right"/>
    </xf>
    <xf numFmtId="0" fontId="12" fillId="0" borderId="0" xfId="0" applyFont="1" applyAlignment="1" applyProtection="1">
      <alignment horizontal="left" vertical="center"/>
      <protection locked="0"/>
    </xf>
    <xf numFmtId="0" fontId="12" fillId="0" borderId="0" xfId="0" applyFont="1" applyAlignment="1" applyProtection="1">
      <alignment horizontal="left"/>
      <protection locked="0"/>
    </xf>
    <xf numFmtId="0" fontId="7" fillId="3" borderId="2" xfId="0" applyFont="1" applyFill="1" applyBorder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horizontal="center"/>
      <protection locked="0"/>
    </xf>
    <xf numFmtId="0" fontId="7" fillId="3" borderId="3" xfId="0" applyFont="1" applyFill="1" applyBorder="1" applyAlignment="1" applyProtection="1">
      <alignment horizontal="center"/>
      <protection locked="0"/>
    </xf>
    <xf numFmtId="0" fontId="7" fillId="3" borderId="18" xfId="0" applyFont="1" applyFill="1" applyBorder="1" applyAlignment="1" applyProtection="1">
      <alignment horizontal="center"/>
      <protection locked="0"/>
    </xf>
    <xf numFmtId="164" fontId="7" fillId="3" borderId="3" xfId="0" applyNumberFormat="1" applyFont="1" applyFill="1" applyBorder="1" applyAlignment="1" applyProtection="1">
      <alignment horizontal="center"/>
      <protection locked="0"/>
    </xf>
    <xf numFmtId="0" fontId="7" fillId="0" borderId="5" xfId="0" applyFont="1" applyBorder="1" applyProtection="1">
      <protection locked="0"/>
    </xf>
    <xf numFmtId="1" fontId="7" fillId="0" borderId="6" xfId="0" applyNumberFormat="1" applyFont="1" applyBorder="1" applyAlignment="1" applyProtection="1">
      <alignment horizontal="center"/>
      <protection locked="0"/>
    </xf>
    <xf numFmtId="21" fontId="7" fillId="0" borderId="6" xfId="0" applyNumberFormat="1" applyFont="1" applyBorder="1" applyAlignment="1" applyProtection="1">
      <alignment horizontal="center"/>
      <protection locked="0"/>
    </xf>
    <xf numFmtId="167" fontId="7" fillId="0" borderId="6" xfId="0" applyNumberFormat="1" applyFont="1" applyBorder="1" applyAlignment="1" applyProtection="1">
      <alignment horizontal="center"/>
      <protection locked="0"/>
    </xf>
    <xf numFmtId="0" fontId="7" fillId="2" borderId="2" xfId="0" applyFont="1" applyFill="1" applyBorder="1" applyAlignment="1" applyProtection="1">
      <alignment horizontal="center"/>
      <protection locked="0"/>
    </xf>
    <xf numFmtId="164" fontId="7" fillId="2" borderId="3" xfId="0" applyNumberFormat="1" applyFont="1" applyFill="1" applyBorder="1" applyAlignment="1" applyProtection="1">
      <alignment horizontal="center"/>
      <protection locked="0"/>
    </xf>
    <xf numFmtId="164" fontId="7" fillId="0" borderId="6" xfId="0" applyNumberFormat="1" applyFont="1" applyBorder="1" applyAlignment="1" applyProtection="1">
      <alignment horizontal="center"/>
      <protection locked="0"/>
    </xf>
    <xf numFmtId="164" fontId="7" fillId="4" borderId="6" xfId="0" applyNumberFormat="1" applyFont="1" applyFill="1" applyBorder="1" applyAlignment="1" applyProtection="1">
      <alignment horizontal="center"/>
      <protection locked="0"/>
    </xf>
    <xf numFmtId="0" fontId="7" fillId="2" borderId="5" xfId="0" applyFont="1" applyFill="1" applyBorder="1" applyAlignment="1" applyProtection="1">
      <alignment horizontal="center"/>
      <protection locked="0"/>
    </xf>
    <xf numFmtId="164" fontId="7" fillId="2" borderId="6" xfId="0" applyNumberFormat="1" applyFont="1" applyFill="1" applyBorder="1" applyAlignment="1" applyProtection="1">
      <alignment horizontal="center"/>
      <protection locked="0"/>
    </xf>
    <xf numFmtId="0" fontId="7" fillId="2" borderId="16" xfId="0" applyFont="1" applyFill="1" applyBorder="1" applyAlignment="1" applyProtection="1">
      <alignment horizontal="center"/>
      <protection locked="0"/>
    </xf>
    <xf numFmtId="0" fontId="10" fillId="0" borderId="1" xfId="0" applyFont="1" applyBorder="1" applyProtection="1">
      <protection locked="0"/>
    </xf>
    <xf numFmtId="0" fontId="4" fillId="0" borderId="1" xfId="0" applyFont="1" applyBorder="1" applyProtection="1">
      <protection locked="0"/>
    </xf>
    <xf numFmtId="0" fontId="22" fillId="0" borderId="0" xfId="1" applyNumberFormat="1" applyAlignment="1" applyProtection="1">
      <protection locked="0"/>
    </xf>
    <xf numFmtId="0" fontId="22" fillId="0" borderId="0" xfId="1" applyNumberFormat="1" applyBorder="1" applyAlignment="1" applyProtection="1">
      <protection locked="0"/>
    </xf>
    <xf numFmtId="0" fontId="10" fillId="0" borderId="0" xfId="0" quotePrefix="1" applyFont="1" applyProtection="1">
      <protection locked="0"/>
    </xf>
    <xf numFmtId="14" fontId="10" fillId="0" borderId="0" xfId="0" applyNumberFormat="1" applyFont="1" applyProtection="1">
      <protection locked="0"/>
    </xf>
    <xf numFmtId="15" fontId="10" fillId="0" borderId="0" xfId="0" applyNumberFormat="1" applyFont="1" applyProtection="1">
      <protection locked="0"/>
    </xf>
    <xf numFmtId="17" fontId="24" fillId="0" borderId="0" xfId="0" quotePrefix="1" applyNumberFormat="1" applyFont="1" applyProtection="1">
      <protection locked="0"/>
    </xf>
    <xf numFmtId="0" fontId="10" fillId="0" borderId="14" xfId="0" applyFont="1" applyBorder="1" applyAlignment="1">
      <alignment horizontal="right" wrapText="1"/>
    </xf>
    <xf numFmtId="168" fontId="4" fillId="5" borderId="14" xfId="0" applyNumberFormat="1" applyFont="1" applyFill="1" applyBorder="1" applyProtection="1">
      <protection locked="0"/>
    </xf>
    <xf numFmtId="170" fontId="25" fillId="7" borderId="0" xfId="2" applyNumberFormat="1" applyFont="1" applyFill="1" applyAlignment="1">
      <alignment horizontal="right"/>
    </xf>
    <xf numFmtId="0" fontId="10" fillId="0" borderId="14" xfId="0" applyFont="1" applyBorder="1" applyAlignment="1" applyProtection="1">
      <alignment horizontal="right" wrapText="1"/>
      <protection locked="0"/>
    </xf>
    <xf numFmtId="1" fontId="7" fillId="3" borderId="3" xfId="0" applyNumberFormat="1" applyFont="1" applyFill="1" applyBorder="1" applyAlignment="1" applyProtection="1">
      <alignment horizontal="center"/>
      <protection locked="0"/>
    </xf>
    <xf numFmtId="169" fontId="7" fillId="3" borderId="3" xfId="0" applyNumberFormat="1" applyFont="1" applyFill="1" applyBorder="1" applyAlignment="1" applyProtection="1">
      <alignment horizontal="center"/>
      <protection locked="0"/>
    </xf>
    <xf numFmtId="14" fontId="25" fillId="0" borderId="0" xfId="5" applyNumberFormat="1" applyFont="1" applyAlignment="1">
      <alignment horizontal="left"/>
    </xf>
    <xf numFmtId="0" fontId="39" fillId="0" borderId="0" xfId="7" applyFont="1" applyAlignment="1">
      <alignment horizontal="left" wrapText="1"/>
    </xf>
    <xf numFmtId="0" fontId="39" fillId="0" borderId="0" xfId="7" applyFont="1" applyAlignment="1">
      <alignment horizontal="left"/>
    </xf>
    <xf numFmtId="0" fontId="1" fillId="0" borderId="0" xfId="5"/>
    <xf numFmtId="0" fontId="21" fillId="0" borderId="0" xfId="5" applyFont="1" applyAlignment="1">
      <alignment horizontal="left"/>
    </xf>
    <xf numFmtId="14" fontId="21" fillId="0" borderId="0" xfId="5" applyNumberFormat="1" applyFont="1" applyAlignment="1">
      <alignment horizontal="left"/>
    </xf>
    <xf numFmtId="0" fontId="38" fillId="0" borderId="0" xfId="7" applyAlignment="1">
      <alignment horizontal="left"/>
    </xf>
    <xf numFmtId="14" fontId="39" fillId="0" borderId="0" xfId="7" applyNumberFormat="1" applyFont="1" applyAlignment="1">
      <alignment horizontal="left"/>
    </xf>
    <xf numFmtId="49" fontId="38" fillId="7" borderId="0" xfId="7" applyNumberFormat="1" applyFill="1" applyAlignment="1">
      <alignment horizontal="right"/>
    </xf>
    <xf numFmtId="49" fontId="39" fillId="0" borderId="0" xfId="7" applyNumberFormat="1" applyFont="1" applyAlignment="1">
      <alignment horizontal="right"/>
    </xf>
    <xf numFmtId="0" fontId="21" fillId="7" borderId="0" xfId="5" applyFont="1" applyFill="1" applyAlignment="1">
      <alignment horizontal="left"/>
    </xf>
    <xf numFmtId="0" fontId="38" fillId="7" borderId="0" xfId="7" applyFill="1" applyAlignment="1">
      <alignment horizontal="left"/>
    </xf>
    <xf numFmtId="14" fontId="21" fillId="7" borderId="0" xfId="5" applyNumberFormat="1" applyFont="1" applyFill="1" applyAlignment="1">
      <alignment horizontal="left"/>
    </xf>
    <xf numFmtId="0" fontId="38" fillId="7" borderId="0" xfId="7" applyFill="1" applyAlignment="1">
      <alignment horizontal="left" wrapText="1"/>
    </xf>
    <xf numFmtId="14" fontId="38" fillId="7" borderId="0" xfId="7" applyNumberFormat="1" applyFill="1" applyAlignment="1">
      <alignment horizontal="left"/>
    </xf>
    <xf numFmtId="0" fontId="39" fillId="0" borderId="0" xfId="7" applyFont="1" applyAlignment="1">
      <alignment horizontal="right" wrapText="1"/>
    </xf>
    <xf numFmtId="20" fontId="39" fillId="0" borderId="0" xfId="7" applyNumberFormat="1" applyFont="1" applyAlignment="1">
      <alignment horizontal="right" wrapText="1"/>
    </xf>
    <xf numFmtId="0" fontId="25" fillId="0" borderId="0" xfId="0" applyFont="1" applyAlignment="1">
      <alignment vertical="center"/>
    </xf>
    <xf numFmtId="0" fontId="4" fillId="0" borderId="0" xfId="3" applyFont="1" applyAlignment="1">
      <alignment horizontal="left" wrapText="1"/>
    </xf>
    <xf numFmtId="0" fontId="31" fillId="0" borderId="0" xfId="0" applyFont="1"/>
    <xf numFmtId="49" fontId="39" fillId="0" borderId="0" xfId="7" applyNumberFormat="1" applyFont="1" applyAlignment="1">
      <alignment horizontal="right" wrapText="1"/>
    </xf>
    <xf numFmtId="20" fontId="25" fillId="0" borderId="0" xfId="0" applyNumberFormat="1" applyFont="1" applyAlignment="1">
      <alignment horizontal="right"/>
    </xf>
    <xf numFmtId="49" fontId="39" fillId="7" borderId="0" xfId="7" applyNumberFormat="1" applyFont="1" applyFill="1" applyAlignment="1">
      <alignment horizontal="right"/>
    </xf>
    <xf numFmtId="172" fontId="39" fillId="0" borderId="0" xfId="7" applyNumberFormat="1" applyFont="1" applyAlignment="1">
      <alignment horizontal="left" wrapText="1"/>
    </xf>
    <xf numFmtId="172" fontId="25" fillId="0" borderId="0" xfId="0" applyNumberFormat="1" applyFont="1" applyAlignment="1">
      <alignment horizontal="left"/>
    </xf>
    <xf numFmtId="172" fontId="4" fillId="0" borderId="0" xfId="0" applyNumberFormat="1" applyFont="1" applyAlignment="1">
      <alignment horizontal="left" vertical="center"/>
    </xf>
    <xf numFmtId="164" fontId="0" fillId="0" borderId="0" xfId="0" applyNumberFormat="1" applyProtection="1">
      <protection locked="0"/>
    </xf>
    <xf numFmtId="168" fontId="0" fillId="0" borderId="0" xfId="0" applyNumberFormat="1" applyProtection="1">
      <protection locked="0"/>
    </xf>
    <xf numFmtId="169" fontId="0" fillId="0" borderId="0" xfId="0" applyNumberFormat="1" applyProtection="1">
      <protection locked="0"/>
    </xf>
    <xf numFmtId="165" fontId="13" fillId="9" borderId="0" xfId="0" applyNumberFormat="1" applyFont="1" applyFill="1"/>
    <xf numFmtId="172" fontId="25" fillId="7" borderId="0" xfId="0" applyNumberFormat="1" applyFont="1" applyFill="1" applyAlignment="1">
      <alignment horizontal="left"/>
    </xf>
    <xf numFmtId="49" fontId="28" fillId="0" borderId="0" xfId="0" applyNumberFormat="1" applyFont="1" applyAlignment="1">
      <alignment horizontal="left"/>
    </xf>
    <xf numFmtId="172" fontId="4" fillId="0" borderId="0" xfId="0" applyNumberFormat="1" applyFont="1" applyAlignment="1">
      <alignment horizontal="left"/>
    </xf>
    <xf numFmtId="1" fontId="28" fillId="0" borderId="0" xfId="0" applyNumberFormat="1" applyFont="1"/>
    <xf numFmtId="21" fontId="28" fillId="0" borderId="0" xfId="0" applyNumberFormat="1" applyFont="1" applyAlignment="1">
      <alignment horizontal="right"/>
    </xf>
  </cellXfs>
  <cellStyles count="8">
    <cellStyle name="Hyperlink" xfId="1" builtinId="8"/>
    <cellStyle name="Hyperlink 2" xfId="6" xr:uid="{A4B7CDC4-205A-4605-84E0-0F5F2C6F4EDC}"/>
    <cellStyle name="Normal" xfId="0" builtinId="0"/>
    <cellStyle name="Normal 2" xfId="3" xr:uid="{878F7F4E-492D-4F3B-A364-F9B1260E49E0}"/>
    <cellStyle name="Normal 3" xfId="2" xr:uid="{FE8D59B6-968F-40EA-A053-A7A8873CE42A}"/>
    <cellStyle name="Normal 4" xfId="4" xr:uid="{46887285-C837-4916-A2B4-B1313D48869E}"/>
    <cellStyle name="Normal 5" xfId="5" xr:uid="{22A6E0EA-7A80-44C9-A5ED-7CD4DE9D273C}"/>
    <cellStyle name="Normal_Mile" xfId="7" xr:uid="{C01EFB7F-C366-448C-9F5E-2EAAD36D9610}"/>
  </cellStyles>
  <dxfs count="15"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26"/>
          <bgColor indexed="4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/>
        <strike val="0"/>
        <condense val="0"/>
        <extend val="0"/>
        <u val="none"/>
        <sz val="10"/>
        <color indexed="54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26"/>
          <bgColor indexed="4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/>
        <strike val="0"/>
        <condense val="0"/>
        <extend val="0"/>
        <u val="none"/>
        <sz val="10"/>
        <color indexed="54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26"/>
          <bgColor indexed="4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/>
        <strike val="0"/>
        <condense val="0"/>
        <extend val="0"/>
        <u val="none"/>
        <sz val="10"/>
        <color indexed="54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26"/>
          <bgColor indexed="4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/>
        <strike val="0"/>
        <condense val="0"/>
        <extend val="0"/>
        <u val="none"/>
        <sz val="10"/>
        <color indexed="54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26"/>
          <bgColor indexed="4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/>
        <strike val="0"/>
        <condense val="0"/>
        <extend val="0"/>
        <u val="none"/>
        <sz val="10"/>
        <color indexed="54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Male Record pace</a:t>
            </a:r>
          </a:p>
        </c:rich>
      </c:tx>
      <c:layout>
        <c:manualLayout>
          <c:xMode val="edge"/>
          <c:yMode val="edge"/>
          <c:x val="0.33955857461790107"/>
          <c:y val="2.03158008885051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7743865408208841E-2"/>
          <c:y val="0.10677238124339031"/>
          <c:w val="0.83588837677342542"/>
          <c:h val="0.75643349346839939"/>
        </c:manualLayout>
      </c:layout>
      <c:scatterChart>
        <c:scatterStyle val="lineMarker"/>
        <c:varyColors val="0"/>
        <c:ser>
          <c:idx val="0"/>
          <c:order val="0"/>
          <c:tx>
            <c:strRef>
              <c:f>Parameters!$A$35</c:f>
              <c:strCache>
                <c:ptCount val="1"/>
                <c:pt idx="0">
                  <c:v>Track: World Records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2"/>
            <c:spPr>
              <a:solidFill>
                <a:schemeClr val="accent1"/>
              </a:solidFill>
            </c:spPr>
          </c:marker>
          <c:xVal>
            <c:numRef>
              <c:f>Parameters!$B$2:$B$11</c:f>
              <c:numCache>
                <c:formatCode>0.0000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</c:numCache>
            </c:numRef>
          </c:xVal>
          <c:yVal>
            <c:numRef>
              <c:f>Parameters!$C$2:$C$11</c:f>
              <c:numCache>
                <c:formatCode>0.0000</c:formatCode>
                <c:ptCount val="10"/>
                <c:pt idx="0">
                  <c:v>1.63</c:v>
                </c:pt>
                <c:pt idx="1">
                  <c:v>1.6099999999999999</c:v>
                </c:pt>
                <c:pt idx="2">
                  <c:v>1.79925</c:v>
                </c:pt>
                <c:pt idx="3">
                  <c:v>2.1065</c:v>
                </c:pt>
                <c:pt idx="4">
                  <c:v>2.2888888888888888</c:v>
                </c:pt>
                <c:pt idx="5">
                  <c:v>2.3094295978154245</c:v>
                </c:pt>
                <c:pt idx="6">
                  <c:v>2.5233333333333334</c:v>
                </c:pt>
                <c:pt idx="7">
                  <c:v>2.63</c:v>
                </c:pt>
                <c:pt idx="8">
                  <c:v>2.7499308764861552</c:v>
                </c:pt>
                <c:pt idx="9">
                  <c:v>2.8830430145751862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D8-494B-8D01-B94C0CED3064}"/>
            </c:ext>
          </c:extLst>
        </c:ser>
        <c:ser>
          <c:idx val="1"/>
          <c:order val="1"/>
          <c:tx>
            <c:strRef>
              <c:f>Parameters!$A$36</c:f>
              <c:strCache>
                <c:ptCount val="1"/>
                <c:pt idx="0">
                  <c:v>Road: World Records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  <c:spPr>
              <a:solidFill>
                <a:srgbClr val="00B050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Parameters!$B$12:$B$29</c:f>
              <c:numCache>
                <c:formatCode>0.0000</c:formatCode>
                <c:ptCount val="18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>
                  <c:v>6.4373760000000004</c:v>
                </c:pt>
                <c:pt idx="4">
                  <c:v>8</c:v>
                </c:pt>
                <c:pt idx="5">
                  <c:v>8.0467200000000005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  <c:pt idx="15">
                  <c:v>50</c:v>
                </c:pt>
                <c:pt idx="16">
                  <c:v>80.467200000000005</c:v>
                </c:pt>
                <c:pt idx="17">
                  <c:v>100</c:v>
                </c:pt>
              </c:numCache>
            </c:numRef>
          </c:xVal>
          <c:yVal>
            <c:numRef>
              <c:f>Parameters!$C$12:$C$29</c:f>
              <c:numCache>
                <c:formatCode>0.0000</c:formatCode>
                <c:ptCount val="18"/>
                <c:pt idx="0">
                  <c:v>2.4026352766510244</c:v>
                </c:pt>
                <c:pt idx="1">
                  <c:v>2.5633333333333335</c:v>
                </c:pt>
                <c:pt idx="4">
                  <c:v>2.7541666666666669</c:v>
                </c:pt>
                <c:pt idx="5">
                  <c:v>0</c:v>
                </c:pt>
                <c:pt idx="6">
                  <c:v>2.6399999999999997</c:v>
                </c:pt>
                <c:pt idx="7">
                  <c:v>2.8138888888888887</c:v>
                </c:pt>
                <c:pt idx="8">
                  <c:v>2.7388888888888889</c:v>
                </c:pt>
                <c:pt idx="9">
                  <c:v>2.7878854158381716</c:v>
                </c:pt>
                <c:pt idx="10">
                  <c:v>2.8008333333333333</c:v>
                </c:pt>
                <c:pt idx="11">
                  <c:v>2.7262313860252005</c:v>
                </c:pt>
                <c:pt idx="12">
                  <c:v>2.8486666666666669</c:v>
                </c:pt>
                <c:pt idx="13">
                  <c:v>2.8838888888888889</c:v>
                </c:pt>
                <c:pt idx="14">
                  <c:v>2.857763558083501</c:v>
                </c:pt>
                <c:pt idx="15">
                  <c:v>3.2726666666666664</c:v>
                </c:pt>
                <c:pt idx="16">
                  <c:v>3.6145162252445711</c:v>
                </c:pt>
                <c:pt idx="17">
                  <c:v>3.7033333333333331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2B-4E12-9C40-D202963D0D48}"/>
            </c:ext>
          </c:extLst>
        </c:ser>
        <c:ser>
          <c:idx val="2"/>
          <c:order val="2"/>
          <c:tx>
            <c:strRef>
              <c:f>Parameters!$J$1</c:f>
              <c:strCache>
                <c:ptCount val="1"/>
                <c:pt idx="0">
                  <c:v>Adjusted pace road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circle"/>
            <c:size val="10"/>
            <c:spPr>
              <a:solidFill>
                <a:srgbClr val="FF0000"/>
              </a:solidFill>
            </c:spPr>
          </c:marker>
          <c:xVal>
            <c:numRef>
              <c:f>Parameters!$B$12:$B$32</c:f>
              <c:numCache>
                <c:formatCode>0.0000</c:formatCode>
                <c:ptCount val="21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>
                  <c:v>6.4373760000000004</c:v>
                </c:pt>
                <c:pt idx="4">
                  <c:v>8</c:v>
                </c:pt>
                <c:pt idx="5">
                  <c:v>8.0467200000000005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  <c:pt idx="15">
                  <c:v>50</c:v>
                </c:pt>
                <c:pt idx="16">
                  <c:v>80.467200000000005</c:v>
                </c:pt>
                <c:pt idx="17">
                  <c:v>100</c:v>
                </c:pt>
                <c:pt idx="18">
                  <c:v>150</c:v>
                </c:pt>
                <c:pt idx="19">
                  <c:v>160.93440000000001</c:v>
                </c:pt>
                <c:pt idx="20">
                  <c:v>200</c:v>
                </c:pt>
              </c:numCache>
            </c:numRef>
          </c:xVal>
          <c:yVal>
            <c:numRef>
              <c:f>Parameters!$J$12:$J$32</c:f>
              <c:numCache>
                <c:formatCode>0.0000</c:formatCode>
                <c:ptCount val="21"/>
                <c:pt idx="0">
                  <c:v>2.4026352766510244</c:v>
                </c:pt>
                <c:pt idx="1">
                  <c:v>2.563333333333333</c:v>
                </c:pt>
                <c:pt idx="2">
                  <c:v>2.5833333333333335</c:v>
                </c:pt>
                <c:pt idx="3">
                  <c:v>2.5890466343222243</c:v>
                </c:pt>
                <c:pt idx="4">
                  <c:v>2.614583333333333</c:v>
                </c:pt>
                <c:pt idx="5">
                  <c:v>2.6180439566266336</c:v>
                </c:pt>
                <c:pt idx="6">
                  <c:v>2.64</c:v>
                </c:pt>
                <c:pt idx="7">
                  <c:v>2.6597222222222223</c:v>
                </c:pt>
                <c:pt idx="8">
                  <c:v>2.6833333333333331</c:v>
                </c:pt>
                <c:pt idx="9">
                  <c:v>2.6874304064264694</c:v>
                </c:pt>
                <c:pt idx="10">
                  <c:v>2.7166666666666668</c:v>
                </c:pt>
                <c:pt idx="11">
                  <c:v>2.726231386025201</c:v>
                </c:pt>
                <c:pt idx="12">
                  <c:v>2.7399999999999998</c:v>
                </c:pt>
                <c:pt idx="13">
                  <c:v>2.7666666666666666</c:v>
                </c:pt>
                <c:pt idx="14">
                  <c:v>2.8577635580835015</c:v>
                </c:pt>
                <c:pt idx="15">
                  <c:v>2.9399999999999995</c:v>
                </c:pt>
                <c:pt idx="16">
                  <c:v>3.3305495903921103</c:v>
                </c:pt>
                <c:pt idx="17">
                  <c:v>3.5600000000000005</c:v>
                </c:pt>
                <c:pt idx="18">
                  <c:v>4.0333333333333332</c:v>
                </c:pt>
                <c:pt idx="19">
                  <c:v>4.1207266231872532</c:v>
                </c:pt>
                <c:pt idx="20">
                  <c:v>4.4000000000000004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2E-4342-B138-1EF2E16CE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52704"/>
        <c:axId val="140955008"/>
      </c:scatterChart>
      <c:valAx>
        <c:axId val="140952704"/>
        <c:scaling>
          <c:logBase val="10"/>
          <c:orientation val="minMax"/>
          <c:max val="200"/>
          <c:min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41511036663895273"/>
              <c:y val="0.929955290611028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955008"/>
        <c:crosses val="autoZero"/>
        <c:crossBetween val="midCat"/>
        <c:minorUnit val="10"/>
      </c:valAx>
      <c:valAx>
        <c:axId val="140955008"/>
        <c:scaling>
          <c:orientation val="minMax"/>
          <c:max val="4.5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>
              <a:solidFill>
                <a:srgbClr val="00B050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Pace (minutes/km)</a:t>
                </a:r>
              </a:p>
            </c:rich>
          </c:tx>
          <c:layout>
            <c:manualLayout>
              <c:xMode val="edge"/>
              <c:yMode val="edge"/>
              <c:x val="4.2444694413198347E-3"/>
              <c:y val="0.403874813710879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952704"/>
        <c:crossesAt val="1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462062273784708"/>
          <c:y val="0.21152321647363406"/>
          <c:w val="0.23083453490802835"/>
          <c:h val="0.134381059176387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Male</a:t>
            </a:r>
            <a:r>
              <a:rPr lang="en-US" baseline="0"/>
              <a:t> Half-Marathon</a:t>
            </a:r>
            <a:endParaRPr lang="en-US"/>
          </a:p>
        </c:rich>
      </c:tx>
      <c:layout>
        <c:manualLayout>
          <c:xMode val="edge"/>
          <c:yMode val="edge"/>
          <c:x val="0.30358796769945234"/>
          <c:y val="9.292331777118885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6921965100936943E-2"/>
          <c:y val="6.6885422482363094E-2"/>
          <c:w val="0.87617458395028214"/>
          <c:h val="0.8025505310113118"/>
        </c:manualLayout>
      </c:layout>
      <c:scatterChart>
        <c:scatterStyle val="lineMarker"/>
        <c:varyColors val="0"/>
        <c:ser>
          <c:idx val="2"/>
          <c:order val="0"/>
          <c:tx>
            <c:strRef>
              <c:f>H.Marathon!$G$6</c:f>
              <c:strCache>
                <c:ptCount val="1"/>
                <c:pt idx="0">
                  <c:v>2020 Bernhard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0"/>
            <c:spPr>
              <a:solidFill>
                <a:schemeClr val="accent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H.Marathon!$A$7:$A$105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H.Marathon!$G$7:$G$105</c:f>
              <c:numCache>
                <c:formatCode>0.000</c:formatCode>
                <c:ptCount val="99"/>
                <c:pt idx="4">
                  <c:v>182.96666666666667</c:v>
                </c:pt>
                <c:pt idx="5">
                  <c:v>126.85000000000001</c:v>
                </c:pt>
                <c:pt idx="6">
                  <c:v>103.6</c:v>
                </c:pt>
                <c:pt idx="7">
                  <c:v>98.36666666666666</c:v>
                </c:pt>
                <c:pt idx="8">
                  <c:v>88.7</c:v>
                </c:pt>
                <c:pt idx="9">
                  <c:v>85.683333333333337</c:v>
                </c:pt>
                <c:pt idx="10">
                  <c:v>83.966666666666669</c:v>
                </c:pt>
                <c:pt idx="11">
                  <c:v>79.433333333333337</c:v>
                </c:pt>
                <c:pt idx="12">
                  <c:v>78.883333333333326</c:v>
                </c:pt>
                <c:pt idx="13">
                  <c:v>73.3</c:v>
                </c:pt>
                <c:pt idx="14">
                  <c:v>62.733333333333334</c:v>
                </c:pt>
                <c:pt idx="15">
                  <c:v>60.749999999999993</c:v>
                </c:pt>
                <c:pt idx="16">
                  <c:v>59.95000000000001</c:v>
                </c:pt>
                <c:pt idx="17">
                  <c:v>59.266666666666666</c:v>
                </c:pt>
                <c:pt idx="18">
                  <c:v>58.8</c:v>
                </c:pt>
                <c:pt idx="19">
                  <c:v>58.55</c:v>
                </c:pt>
                <c:pt idx="20">
                  <c:v>58.733333333333334</c:v>
                </c:pt>
                <c:pt idx="21">
                  <c:v>58.55</c:v>
                </c:pt>
                <c:pt idx="22">
                  <c:v>58.866666666666674</c:v>
                </c:pt>
                <c:pt idx="23">
                  <c:v>58.666666666666664</c:v>
                </c:pt>
                <c:pt idx="24">
                  <c:v>58.900000000000006</c:v>
                </c:pt>
                <c:pt idx="25">
                  <c:v>58.016666666666659</c:v>
                </c:pt>
                <c:pt idx="26">
                  <c:v>59.116666666666674</c:v>
                </c:pt>
                <c:pt idx="27">
                  <c:v>58.383333333333333</c:v>
                </c:pt>
                <c:pt idx="28">
                  <c:v>58.29999999999999</c:v>
                </c:pt>
                <c:pt idx="29">
                  <c:v>59.016666666666666</c:v>
                </c:pt>
                <c:pt idx="30">
                  <c:v>58.966666666666669</c:v>
                </c:pt>
                <c:pt idx="31">
                  <c:v>59.466666666666669</c:v>
                </c:pt>
                <c:pt idx="32">
                  <c:v>59.400000000000006</c:v>
                </c:pt>
                <c:pt idx="33">
                  <c:v>59.25</c:v>
                </c:pt>
                <c:pt idx="34">
                  <c:v>59.516666666666666</c:v>
                </c:pt>
                <c:pt idx="35">
                  <c:v>59.983333333333341</c:v>
                </c:pt>
                <c:pt idx="36">
                  <c:v>60.3</c:v>
                </c:pt>
                <c:pt idx="37">
                  <c:v>60.866666666666667</c:v>
                </c:pt>
                <c:pt idx="38">
                  <c:v>61.233333333333334</c:v>
                </c:pt>
                <c:pt idx="39">
                  <c:v>61.15</c:v>
                </c:pt>
                <c:pt idx="40">
                  <c:v>62.466666666666669</c:v>
                </c:pt>
                <c:pt idx="41">
                  <c:v>63.033333333333331</c:v>
                </c:pt>
                <c:pt idx="42">
                  <c:v>62.000000000000007</c:v>
                </c:pt>
                <c:pt idx="43">
                  <c:v>64.849999999999994</c:v>
                </c:pt>
                <c:pt idx="44">
                  <c:v>65.016666666666666</c:v>
                </c:pt>
                <c:pt idx="45">
                  <c:v>66.55</c:v>
                </c:pt>
                <c:pt idx="46">
                  <c:v>65.733333333333334</c:v>
                </c:pt>
                <c:pt idx="47">
                  <c:v>66.483333333333334</c:v>
                </c:pt>
                <c:pt idx="48">
                  <c:v>66.733333333333334</c:v>
                </c:pt>
                <c:pt idx="49">
                  <c:v>66.383333333333326</c:v>
                </c:pt>
                <c:pt idx="50">
                  <c:v>68.816666666666663</c:v>
                </c:pt>
                <c:pt idx="51">
                  <c:v>69.5</c:v>
                </c:pt>
                <c:pt idx="52">
                  <c:v>69.949999999999989</c:v>
                </c:pt>
                <c:pt idx="53">
                  <c:v>70.183333333333323</c:v>
                </c:pt>
                <c:pt idx="54">
                  <c:v>69.283333333333331</c:v>
                </c:pt>
                <c:pt idx="55">
                  <c:v>71.75</c:v>
                </c:pt>
                <c:pt idx="56">
                  <c:v>72.650000000000006</c:v>
                </c:pt>
                <c:pt idx="57">
                  <c:v>74.3</c:v>
                </c:pt>
                <c:pt idx="58">
                  <c:v>72.25</c:v>
                </c:pt>
                <c:pt idx="59">
                  <c:v>71.516666666666666</c:v>
                </c:pt>
                <c:pt idx="60">
                  <c:v>72.45</c:v>
                </c:pt>
                <c:pt idx="61">
                  <c:v>73.36666666666666</c:v>
                </c:pt>
                <c:pt idx="62">
                  <c:v>73.816666666666677</c:v>
                </c:pt>
                <c:pt idx="63">
                  <c:v>77.55</c:v>
                </c:pt>
                <c:pt idx="64">
                  <c:v>77.083333333333343</c:v>
                </c:pt>
                <c:pt idx="65">
                  <c:v>79.316666666666663</c:v>
                </c:pt>
                <c:pt idx="66">
                  <c:v>76.416666666666671</c:v>
                </c:pt>
                <c:pt idx="67">
                  <c:v>80.55</c:v>
                </c:pt>
                <c:pt idx="68">
                  <c:v>80.233333333333334</c:v>
                </c:pt>
                <c:pt idx="69">
                  <c:v>82.383333333333326</c:v>
                </c:pt>
                <c:pt idx="70">
                  <c:v>85.516666666666666</c:v>
                </c:pt>
                <c:pt idx="71">
                  <c:v>86.649999999999991</c:v>
                </c:pt>
                <c:pt idx="72">
                  <c:v>88.033333333333331</c:v>
                </c:pt>
                <c:pt idx="73">
                  <c:v>91.1</c:v>
                </c:pt>
                <c:pt idx="74">
                  <c:v>90.233333333333348</c:v>
                </c:pt>
                <c:pt idx="75">
                  <c:v>89.433333333333337</c:v>
                </c:pt>
                <c:pt idx="76">
                  <c:v>96.666666666666671</c:v>
                </c:pt>
                <c:pt idx="77">
                  <c:v>97.633333333333326</c:v>
                </c:pt>
                <c:pt idx="78">
                  <c:v>94.45</c:v>
                </c:pt>
                <c:pt idx="79">
                  <c:v>99.466666666666669</c:v>
                </c:pt>
                <c:pt idx="80">
                  <c:v>98.983333333333334</c:v>
                </c:pt>
                <c:pt idx="81">
                  <c:v>119.35000000000001</c:v>
                </c:pt>
                <c:pt idx="82">
                  <c:v>106.19999999999999</c:v>
                </c:pt>
                <c:pt idx="83">
                  <c:v>107.55000000000001</c:v>
                </c:pt>
                <c:pt idx="84">
                  <c:v>110.78333333333333</c:v>
                </c:pt>
                <c:pt idx="87">
                  <c:v>156.46666666666667</c:v>
                </c:pt>
                <c:pt idx="88">
                  <c:v>166.63333333333333</c:v>
                </c:pt>
                <c:pt idx="89">
                  <c:v>175.93333333333334</c:v>
                </c:pt>
                <c:pt idx="90">
                  <c:v>183.93333333333331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BC-4C75-B7E1-ED15D6A02F36}"/>
            </c:ext>
          </c:extLst>
        </c:ser>
        <c:ser>
          <c:idx val="0"/>
          <c:order val="1"/>
          <c:tx>
            <c:strRef>
              <c:f>H.Marathon!$C$6</c:f>
              <c:strCache>
                <c:ptCount val="1"/>
                <c:pt idx="0">
                  <c:v>2025 Bernhard Single age Bests</c:v>
                </c:pt>
              </c:strCache>
              <c:extLst xmlns:c15="http://schemas.microsoft.com/office/drawing/2012/chart"/>
            </c:strRef>
          </c:tx>
          <c:spPr>
            <a:ln>
              <a:noFill/>
            </a:ln>
          </c:spPr>
          <c:marker>
            <c:symbol val="circle"/>
            <c:size val="9"/>
            <c:spPr>
              <a:solidFill>
                <a:srgbClr val="FF0000"/>
              </a:solidFill>
              <a:ln w="12700"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xVal>
            <c:numRef>
              <c:f>H.Marathon!$A$7:$A$106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  <c:extLst xmlns:c15="http://schemas.microsoft.com/office/drawing/2012/chart"/>
            </c:numRef>
          </c:xVal>
          <c:yVal>
            <c:numRef>
              <c:f>H.Marathon!$C$7:$C$106</c:f>
              <c:numCache>
                <c:formatCode>General</c:formatCode>
                <c:ptCount val="100"/>
                <c:pt idx="4" formatCode="0.000">
                  <c:v>182.96666666666667</c:v>
                </c:pt>
                <c:pt idx="5" formatCode="0.000">
                  <c:v>126.85000000000001</c:v>
                </c:pt>
                <c:pt idx="6" formatCode="0.000">
                  <c:v>103.60000000000001</c:v>
                </c:pt>
                <c:pt idx="7" formatCode="0.000">
                  <c:v>98.36666666666666</c:v>
                </c:pt>
                <c:pt idx="8" formatCode="0.000">
                  <c:v>88.7</c:v>
                </c:pt>
                <c:pt idx="9" formatCode="0.000">
                  <c:v>85.683333333333337</c:v>
                </c:pt>
                <c:pt idx="10" formatCode="0.000">
                  <c:v>83.966666666666669</c:v>
                </c:pt>
                <c:pt idx="11" formatCode="0.000">
                  <c:v>79.433333333333337</c:v>
                </c:pt>
                <c:pt idx="12" formatCode="0.000">
                  <c:v>78.88333333333334</c:v>
                </c:pt>
                <c:pt idx="13" formatCode="0.000">
                  <c:v>73.3</c:v>
                </c:pt>
                <c:pt idx="14" formatCode="0.000">
                  <c:v>62.733333333333334</c:v>
                </c:pt>
                <c:pt idx="15" formatCode="0.000">
                  <c:v>60.750000000000007</c:v>
                </c:pt>
                <c:pt idx="16" formatCode="0.000">
                  <c:v>59.949999999999996</c:v>
                </c:pt>
                <c:pt idx="17" formatCode="0.000">
                  <c:v>59.266666666666666</c:v>
                </c:pt>
                <c:pt idx="18" formatCode="0.000">
                  <c:v>58.8</c:v>
                </c:pt>
                <c:pt idx="19" formatCode="0.000">
                  <c:v>57.616666666666667</c:v>
                </c:pt>
                <c:pt idx="20" formatCode="0.000">
                  <c:v>57.516666666666673</c:v>
                </c:pt>
                <c:pt idx="21" formatCode="0.000">
                  <c:v>58.15</c:v>
                </c:pt>
                <c:pt idx="22" formatCode="0.000">
                  <c:v>58.433333333333337</c:v>
                </c:pt>
                <c:pt idx="23" formatCode="0.000">
                  <c:v>57.533333333333339</c:v>
                </c:pt>
                <c:pt idx="24" formatCode="0.000">
                  <c:v>58.900000000000006</c:v>
                </c:pt>
                <c:pt idx="25" formatCode="0.000">
                  <c:v>58.016666666666673</c:v>
                </c:pt>
                <c:pt idx="26" formatCode="0.000">
                  <c:v>59.11666666666666</c:v>
                </c:pt>
                <c:pt idx="27" formatCode="0.000">
                  <c:v>58.383333333333333</c:v>
                </c:pt>
                <c:pt idx="28" formatCode="0.000">
                  <c:v>58.3</c:v>
                </c:pt>
                <c:pt idx="29" formatCode="0.000">
                  <c:v>59.016666666666666</c:v>
                </c:pt>
                <c:pt idx="30" formatCode="0.000">
                  <c:v>58.966666666666669</c:v>
                </c:pt>
                <c:pt idx="31" formatCode="0.000">
                  <c:v>59.466666666666669</c:v>
                </c:pt>
                <c:pt idx="32" formatCode="0.000">
                  <c:v>59.400000000000006</c:v>
                </c:pt>
                <c:pt idx="33" formatCode="0.000">
                  <c:v>59.25</c:v>
                </c:pt>
                <c:pt idx="34" formatCode="0.000">
                  <c:v>59.516666666666666</c:v>
                </c:pt>
                <c:pt idx="35" formatCode="0.000">
                  <c:v>59.983333333333334</c:v>
                </c:pt>
                <c:pt idx="36" formatCode="0.000">
                  <c:v>60.300000000000004</c:v>
                </c:pt>
                <c:pt idx="37" formatCode="0.000">
                  <c:v>60.866666666666667</c:v>
                </c:pt>
                <c:pt idx="38" formatCode="0.000">
                  <c:v>61.233333333333334</c:v>
                </c:pt>
                <c:pt idx="39" formatCode="0.000">
                  <c:v>60.949999999999996</c:v>
                </c:pt>
                <c:pt idx="40" formatCode="0.000">
                  <c:v>62.466666666666669</c:v>
                </c:pt>
                <c:pt idx="41" formatCode="0.000">
                  <c:v>63.033333333333339</c:v>
                </c:pt>
                <c:pt idx="42" formatCode="0.000">
                  <c:v>62</c:v>
                </c:pt>
                <c:pt idx="43" formatCode="0.000">
                  <c:v>64.849999999999994</c:v>
                </c:pt>
                <c:pt idx="44" formatCode="0.000">
                  <c:v>65.016666666666666</c:v>
                </c:pt>
                <c:pt idx="45" formatCode="0.000">
                  <c:v>66.55</c:v>
                </c:pt>
                <c:pt idx="46" formatCode="0.000">
                  <c:v>65.733333333333334</c:v>
                </c:pt>
                <c:pt idx="47" formatCode="0.000">
                  <c:v>66.483333333333334</c:v>
                </c:pt>
                <c:pt idx="48" formatCode="0.000">
                  <c:v>66.733333333333334</c:v>
                </c:pt>
                <c:pt idx="49" formatCode="0.000">
                  <c:v>66.383333333333326</c:v>
                </c:pt>
                <c:pt idx="50" formatCode="0.000">
                  <c:v>68.816666666666663</c:v>
                </c:pt>
                <c:pt idx="51" formatCode="0.000">
                  <c:v>69.5</c:v>
                </c:pt>
                <c:pt idx="52" formatCode="0.000">
                  <c:v>69.95</c:v>
                </c:pt>
                <c:pt idx="53" formatCode="0.000">
                  <c:v>70.183333333333337</c:v>
                </c:pt>
                <c:pt idx="54" formatCode="0.000">
                  <c:v>69.283333333333331</c:v>
                </c:pt>
                <c:pt idx="55" formatCode="0.000">
                  <c:v>71.75</c:v>
                </c:pt>
                <c:pt idx="56" formatCode="0.000">
                  <c:v>72.649999999999991</c:v>
                </c:pt>
                <c:pt idx="57" formatCode="0.000">
                  <c:v>74.3</c:v>
                </c:pt>
                <c:pt idx="58" formatCode="0.000">
                  <c:v>72.25</c:v>
                </c:pt>
                <c:pt idx="59" formatCode="0.000">
                  <c:v>71.150000000000006</c:v>
                </c:pt>
                <c:pt idx="60" formatCode="0.000">
                  <c:v>72.45</c:v>
                </c:pt>
                <c:pt idx="61" formatCode="0.000">
                  <c:v>73.366666666666674</c:v>
                </c:pt>
                <c:pt idx="62" formatCode="0.000">
                  <c:v>73.816666666666677</c:v>
                </c:pt>
                <c:pt idx="63" formatCode="0.000">
                  <c:v>77.55</c:v>
                </c:pt>
                <c:pt idx="64" formatCode="0.000">
                  <c:v>77.083333333333343</c:v>
                </c:pt>
                <c:pt idx="65" formatCode="0.000">
                  <c:v>79.316666666666663</c:v>
                </c:pt>
                <c:pt idx="66" formatCode="0.000">
                  <c:v>76.416666666666671</c:v>
                </c:pt>
                <c:pt idx="67" formatCode="0.000">
                  <c:v>80.55</c:v>
                </c:pt>
                <c:pt idx="68" formatCode="0.000">
                  <c:v>80.233333333333334</c:v>
                </c:pt>
                <c:pt idx="69" formatCode="0.000">
                  <c:v>82.38333333333334</c:v>
                </c:pt>
                <c:pt idx="70" formatCode="0.000">
                  <c:v>85.516666666666666</c:v>
                </c:pt>
                <c:pt idx="71" formatCode="0.000">
                  <c:v>86.649999999999991</c:v>
                </c:pt>
                <c:pt idx="72" formatCode="0.000">
                  <c:v>88.033333333333331</c:v>
                </c:pt>
                <c:pt idx="73" formatCode="0.000">
                  <c:v>91.1</c:v>
                </c:pt>
                <c:pt idx="74" formatCode="0.000">
                  <c:v>90.233333333333348</c:v>
                </c:pt>
                <c:pt idx="75" formatCode="0.000">
                  <c:v>89.433333333333337</c:v>
                </c:pt>
                <c:pt idx="76" formatCode="0.000">
                  <c:v>96.666666666666671</c:v>
                </c:pt>
                <c:pt idx="77" formatCode="0.000">
                  <c:v>97.63333333333334</c:v>
                </c:pt>
                <c:pt idx="78" formatCode="0.000">
                  <c:v>94.45</c:v>
                </c:pt>
                <c:pt idx="79" formatCode="0.000">
                  <c:v>99.466666666666669</c:v>
                </c:pt>
                <c:pt idx="80" formatCode="0.000">
                  <c:v>98.983333333333334</c:v>
                </c:pt>
                <c:pt idx="81" formatCode="0.000">
                  <c:v>119.35</c:v>
                </c:pt>
                <c:pt idx="82" formatCode="0.000">
                  <c:v>106.19999999999999</c:v>
                </c:pt>
                <c:pt idx="83" formatCode="0.000">
                  <c:v>107.55000000000001</c:v>
                </c:pt>
                <c:pt idx="84" formatCode="0.000">
                  <c:v>110.78333333333333</c:v>
                </c:pt>
                <c:pt idx="85" formatCode="0.000">
                  <c:v>129.26666666666668</c:v>
                </c:pt>
                <c:pt idx="86" formatCode="0.000">
                  <c:v>150.6</c:v>
                </c:pt>
                <c:pt idx="87" formatCode="0.000">
                  <c:v>156.46666666666667</c:v>
                </c:pt>
                <c:pt idx="88" formatCode="0.000">
                  <c:v>166.63333333333333</c:v>
                </c:pt>
                <c:pt idx="89" formatCode="0.000">
                  <c:v>175.93333333333334</c:v>
                </c:pt>
                <c:pt idx="90" formatCode="0.000">
                  <c:v>183.93333333333331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46BC-4C75-B7E1-ED15D6A02F36}"/>
            </c:ext>
          </c:extLst>
        </c:ser>
        <c:ser>
          <c:idx val="1"/>
          <c:order val="2"/>
          <c:tx>
            <c:strRef>
              <c:f>H.Marathon!$F$6</c:f>
              <c:strCache>
                <c:ptCount val="1"/>
                <c:pt idx="0">
                  <c:v>2020 Age-Grade Standards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H.Marathon!$A$7:$A$106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H.Marathon!$F$7:$F$106</c:f>
              <c:numCache>
                <c:formatCode>0.000</c:formatCode>
                <c:ptCount val="100"/>
                <c:pt idx="2">
                  <c:v>120.22926963207028</c:v>
                </c:pt>
                <c:pt idx="3">
                  <c:v>106.61675188702216</c:v>
                </c:pt>
                <c:pt idx="4">
                  <c:v>96.405768383971818</c:v>
                </c:pt>
                <c:pt idx="5">
                  <c:v>88.513240347685468</c:v>
                </c:pt>
                <c:pt idx="6">
                  <c:v>82.276399849680573</c:v>
                </c:pt>
                <c:pt idx="7">
                  <c:v>77.267513675666137</c:v>
                </c:pt>
                <c:pt idx="8">
                  <c:v>73.198762955533269</c:v>
                </c:pt>
                <c:pt idx="9">
                  <c:v>69.869953725865642</c:v>
                </c:pt>
                <c:pt idx="10">
                  <c:v>67.138147807421035</c:v>
                </c:pt>
                <c:pt idx="11">
                  <c:v>64.899214465688459</c:v>
                </c:pt>
                <c:pt idx="12">
                  <c:v>63.076202823393835</c:v>
                </c:pt>
                <c:pt idx="13">
                  <c:v>61.61179119178275</c:v>
                </c:pt>
                <c:pt idx="14">
                  <c:v>60.463269814968243</c:v>
                </c:pt>
                <c:pt idx="15">
                  <c:v>59.599156118143455</c:v>
                </c:pt>
                <c:pt idx="16">
                  <c:v>58.877907758504769</c:v>
                </c:pt>
                <c:pt idx="17">
                  <c:v>58.423395089966455</c:v>
                </c:pt>
                <c:pt idx="18">
                  <c:v>58.383333333333333</c:v>
                </c:pt>
                <c:pt idx="19">
                  <c:v>58.383333333333333</c:v>
                </c:pt>
                <c:pt idx="20">
                  <c:v>58.383333333333333</c:v>
                </c:pt>
                <c:pt idx="21">
                  <c:v>58.383333333333333</c:v>
                </c:pt>
                <c:pt idx="22">
                  <c:v>58.383333333333333</c:v>
                </c:pt>
                <c:pt idx="23">
                  <c:v>58.383333333333333</c:v>
                </c:pt>
                <c:pt idx="24">
                  <c:v>58.383333333333333</c:v>
                </c:pt>
                <c:pt idx="25">
                  <c:v>58.383333333333333</c:v>
                </c:pt>
                <c:pt idx="26">
                  <c:v>58.383333333333333</c:v>
                </c:pt>
                <c:pt idx="27">
                  <c:v>58.383333333333333</c:v>
                </c:pt>
                <c:pt idx="28">
                  <c:v>58.383333333333333</c:v>
                </c:pt>
                <c:pt idx="29">
                  <c:v>58.383333333333333</c:v>
                </c:pt>
                <c:pt idx="30">
                  <c:v>58.383333333333333</c:v>
                </c:pt>
                <c:pt idx="31">
                  <c:v>58.393735604308603</c:v>
                </c:pt>
                <c:pt idx="32">
                  <c:v>58.444739090466875</c:v>
                </c:pt>
                <c:pt idx="33">
                  <c:v>58.538477257812289</c:v>
                </c:pt>
                <c:pt idx="34">
                  <c:v>58.675361705276224</c:v>
                </c:pt>
                <c:pt idx="35">
                  <c:v>58.855997044702583</c:v>
                </c:pt>
                <c:pt idx="36">
                  <c:v>59.08118762182783</c:v>
                </c:pt>
                <c:pt idx="37">
                  <c:v>59.351946562096046</c:v>
                </c:pt>
                <c:pt idx="38">
                  <c:v>59.669507333266097</c:v>
                </c:pt>
                <c:pt idx="39">
                  <c:v>60.035338074853442</c:v>
                </c:pt>
                <c:pt idx="40">
                  <c:v>60.451159011357909</c:v>
                </c:pt>
                <c:pt idx="41">
                  <c:v>60.918963344626732</c:v>
                </c:pt>
                <c:pt idx="42">
                  <c:v>61.417544273055071</c:v>
                </c:pt>
                <c:pt idx="43">
                  <c:v>61.924353647986123</c:v>
                </c:pt>
                <c:pt idx="44">
                  <c:v>62.439596864437803</c:v>
                </c:pt>
                <c:pt idx="45">
                  <c:v>62.963486210762852</c:v>
                </c:pt>
                <c:pt idx="46">
                  <c:v>63.496241160282786</c:v>
                </c:pt>
                <c:pt idx="47">
                  <c:v>64.038088677853864</c:v>
                </c:pt>
                <c:pt idx="48">
                  <c:v>64.58926354226476</c:v>
                </c:pt>
                <c:pt idx="49">
                  <c:v>65.150008685427935</c:v>
                </c:pt>
                <c:pt idx="50">
                  <c:v>65.720575549394368</c:v>
                </c:pt>
                <c:pt idx="51">
                  <c:v>66.301224462293845</c:v>
                </c:pt>
                <c:pt idx="52">
                  <c:v>66.892225034381795</c:v>
                </c:pt>
                <c:pt idx="53">
                  <c:v>67.493856575458437</c:v>
                </c:pt>
                <c:pt idx="54">
                  <c:v>68.106408535018119</c:v>
                </c:pt>
                <c:pt idx="55">
                  <c:v>68.730180966586104</c:v>
                </c:pt>
                <c:pt idx="56">
                  <c:v>69.3654850178077</c:v>
                </c:pt>
                <c:pt idx="57">
                  <c:v>70.012643447971797</c:v>
                </c:pt>
                <c:pt idx="58">
                  <c:v>70.671991174777105</c:v>
                </c:pt>
                <c:pt idx="59">
                  <c:v>71.343875852287425</c:v>
                </c:pt>
                <c:pt idx="60">
                  <c:v>72.028658482171309</c:v>
                </c:pt>
                <c:pt idx="61">
                  <c:v>72.726714060484198</c:v>
                </c:pt>
                <c:pt idx="62">
                  <c:v>73.438432262427824</c:v>
                </c:pt>
                <c:pt idx="63">
                  <c:v>74.164218167714026</c:v>
                </c:pt>
                <c:pt idx="64">
                  <c:v>74.904493029370343</c:v>
                </c:pt>
                <c:pt idx="65">
                  <c:v>75.659695089052946</c:v>
                </c:pt>
                <c:pt idx="66">
                  <c:v>76.430280442182877</c:v>
                </c:pt>
                <c:pt idx="67">
                  <c:v>77.216723956494121</c:v>
                </c:pt>
                <c:pt idx="68">
                  <c:v>78.019520247880692</c:v>
                </c:pt>
                <c:pt idx="69">
                  <c:v>78.839184717756623</c:v>
                </c:pt>
                <c:pt idx="70">
                  <c:v>79.714330056011661</c:v>
                </c:pt>
                <c:pt idx="71">
                  <c:v>80.687104942989265</c:v>
                </c:pt>
                <c:pt idx="72">
                  <c:v>81.763992192857501</c:v>
                </c:pt>
                <c:pt idx="73">
                  <c:v>82.952434131788991</c:v>
                </c:pt>
                <c:pt idx="74">
                  <c:v>84.260973771095905</c:v>
                </c:pt>
                <c:pt idx="75">
                  <c:v>85.699425229147494</c:v>
                </c:pt>
                <c:pt idx="76">
                  <c:v>87.279080278316357</c:v>
                </c:pt>
                <c:pt idx="77">
                  <c:v>89.012959860059325</c:v>
                </c:pt>
                <c:pt idx="78">
                  <c:v>90.916122026409525</c:v>
                </c:pt>
                <c:pt idx="79">
                  <c:v>93.006041277371466</c:v>
                </c:pt>
                <c:pt idx="80">
                  <c:v>95.303079026738729</c:v>
                </c:pt>
                <c:pt idx="81">
                  <c:v>97.831071461087362</c:v>
                </c:pt>
                <c:pt idx="82">
                  <c:v>100.61807012071297</c:v>
                </c:pt>
                <c:pt idx="83">
                  <c:v>103.69728326734953</c:v>
                </c:pt>
                <c:pt idx="84">
                  <c:v>107.10828424331039</c:v>
                </c:pt>
                <c:pt idx="85">
                  <c:v>110.89857924452201</c:v>
                </c:pt>
                <c:pt idx="86">
                  <c:v>115.12566543160455</c:v>
                </c:pt>
                <c:pt idx="87">
                  <c:v>119.85976783542769</c:v>
                </c:pt>
                <c:pt idx="88">
                  <c:v>125.1875311360652</c:v>
                </c:pt>
                <c:pt idx="89">
                  <c:v>131.21707867256112</c:v>
                </c:pt>
                <c:pt idx="90">
                  <c:v>138.08506797033476</c:v>
                </c:pt>
                <c:pt idx="91">
                  <c:v>145.96672642010248</c:v>
                </c:pt>
                <c:pt idx="92">
                  <c:v>155.09044655245847</c:v>
                </c:pt>
                <c:pt idx="93">
                  <c:v>165.75955542558518</c:v>
                </c:pt>
                <c:pt idx="94">
                  <c:v>178.38573891823791</c:v>
                </c:pt>
                <c:pt idx="95">
                  <c:v>193.54211350418967</c:v>
                </c:pt>
                <c:pt idx="96">
                  <c:v>212.05088252635352</c:v>
                </c:pt>
                <c:pt idx="97">
                  <c:v>235.13507345369985</c:v>
                </c:pt>
                <c:pt idx="98">
                  <c:v>264.69659256975575</c:v>
                </c:pt>
                <c:pt idx="99">
                  <c:v>303.86304216956302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47-4E22-9724-1A5BCE341E37}"/>
            </c:ext>
          </c:extLst>
        </c:ser>
        <c:ser>
          <c:idx val="3"/>
          <c:order val="3"/>
          <c:tx>
            <c:strRef>
              <c:f>H.Marathon!$D$6</c:f>
              <c:strCache>
                <c:ptCount val="1"/>
                <c:pt idx="0">
                  <c:v>Proposed 2025 Age-Grade Standards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H.Marathon!$A$7:$A$106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H.Marathon!$D$7:$D$106</c:f>
              <c:numCache>
                <c:formatCode>General</c:formatCode>
                <c:ptCount val="100"/>
                <c:pt idx="4" formatCode="0.000">
                  <c:v>124.46800836759721</c:v>
                </c:pt>
                <c:pt idx="5" formatCode="0.000">
                  <c:v>107.22719363658962</c:v>
                </c:pt>
                <c:pt idx="6" formatCode="0.000">
                  <c:v>95.068870523415995</c:v>
                </c:pt>
                <c:pt idx="7" formatCode="0.000">
                  <c:v>86.128581411600294</c:v>
                </c:pt>
                <c:pt idx="8" formatCode="0.000">
                  <c:v>79.355224429727755</c:v>
                </c:pt>
                <c:pt idx="9" formatCode="0.000">
                  <c:v>74.100317787511813</c:v>
                </c:pt>
                <c:pt idx="10" formatCode="0.000">
                  <c:v>69.988642816581503</c:v>
                </c:pt>
                <c:pt idx="11" formatCode="0.000">
                  <c:v>66.755648406066243</c:v>
                </c:pt>
                <c:pt idx="12" formatCode="0.000">
                  <c:v>64.214208626400207</c:v>
                </c:pt>
                <c:pt idx="13" formatCode="0.000">
                  <c:v>62.240738736788956</c:v>
                </c:pt>
                <c:pt idx="14" formatCode="0.000">
                  <c:v>60.754902996373374</c:v>
                </c:pt>
                <c:pt idx="15" formatCode="0.000">
                  <c:v>59.689359346893596</c:v>
                </c:pt>
                <c:pt idx="16" formatCode="0.000">
                  <c:v>58.991452991453002</c:v>
                </c:pt>
                <c:pt idx="17" formatCode="0.000">
                  <c:v>58.392554991539768</c:v>
                </c:pt>
                <c:pt idx="18" formatCode="0.000">
                  <c:v>57.805695142378568</c:v>
                </c:pt>
                <c:pt idx="19" formatCode="0.000">
                  <c:v>57.516666666666673</c:v>
                </c:pt>
                <c:pt idx="20" formatCode="0.000">
                  <c:v>57.516666666666673</c:v>
                </c:pt>
                <c:pt idx="21" formatCode="0.000">
                  <c:v>57.516666666666673</c:v>
                </c:pt>
                <c:pt idx="22" formatCode="0.000">
                  <c:v>57.516666666666673</c:v>
                </c:pt>
                <c:pt idx="23" formatCode="0.000">
                  <c:v>57.516666666666673</c:v>
                </c:pt>
                <c:pt idx="24" formatCode="0.000">
                  <c:v>57.516666666666673</c:v>
                </c:pt>
                <c:pt idx="25" formatCode="0.000">
                  <c:v>57.516666666666673</c:v>
                </c:pt>
                <c:pt idx="26" formatCode="0.000">
                  <c:v>57.516666666666673</c:v>
                </c:pt>
                <c:pt idx="27" formatCode="0.000">
                  <c:v>57.516666666666673</c:v>
                </c:pt>
                <c:pt idx="28" formatCode="0.000">
                  <c:v>57.516666666666673</c:v>
                </c:pt>
                <c:pt idx="29" formatCode="0.000">
                  <c:v>57.516666666666673</c:v>
                </c:pt>
                <c:pt idx="30" formatCode="0.000">
                  <c:v>57.516666666666673</c:v>
                </c:pt>
                <c:pt idx="31" formatCode="0.000">
                  <c:v>57.528172301126894</c:v>
                </c:pt>
                <c:pt idx="32" formatCode="0.000">
                  <c:v>57.597302890713671</c:v>
                </c:pt>
                <c:pt idx="33" formatCode="0.000">
                  <c:v>57.718682053855161</c:v>
                </c:pt>
                <c:pt idx="34" formatCode="0.000">
                  <c:v>57.892970978023826</c:v>
                </c:pt>
                <c:pt idx="35" formatCode="0.000">
                  <c:v>58.127000168435238</c:v>
                </c:pt>
                <c:pt idx="36" formatCode="0.000">
                  <c:v>58.416277337666742</c:v>
                </c:pt>
                <c:pt idx="37" formatCode="0.000">
                  <c:v>58.768434317632241</c:v>
                </c:pt>
                <c:pt idx="38" formatCode="0.000">
                  <c:v>59.179613814864361</c:v>
                </c:pt>
                <c:pt idx="39" formatCode="0.000">
                  <c:v>59.652215999446874</c:v>
                </c:pt>
                <c:pt idx="40" formatCode="0.000">
                  <c:v>60.13871462428552</c:v>
                </c:pt>
                <c:pt idx="41" formatCode="0.000">
                  <c:v>60.626822669618079</c:v>
                </c:pt>
                <c:pt idx="42" formatCode="0.000">
                  <c:v>61.129415099018679</c:v>
                </c:pt>
                <c:pt idx="43" formatCode="0.000">
                  <c:v>61.640410102525635</c:v>
                </c:pt>
                <c:pt idx="44" formatCode="0.000">
                  <c:v>62.160020173637385</c:v>
                </c:pt>
                <c:pt idx="45" formatCode="0.000">
                  <c:v>62.688465031789292</c:v>
                </c:pt>
                <c:pt idx="46" formatCode="0.000">
                  <c:v>63.219022495786625</c:v>
                </c:pt>
                <c:pt idx="47" formatCode="0.000">
                  <c:v>63.765705838876578</c:v>
                </c:pt>
                <c:pt idx="48" formatCode="0.000">
                  <c:v>64.321926489226882</c:v>
                </c:pt>
                <c:pt idx="49" formatCode="0.000">
                  <c:v>64.887936221419992</c:v>
                </c:pt>
                <c:pt idx="50" formatCode="0.000">
                  <c:v>65.463995750815698</c:v>
                </c:pt>
                <c:pt idx="51" formatCode="0.000">
                  <c:v>66.042790982508521</c:v>
                </c:pt>
                <c:pt idx="52" formatCode="0.000">
                  <c:v>66.639632333063005</c:v>
                </c:pt>
                <c:pt idx="53" formatCode="0.000">
                  <c:v>67.247359600919765</c:v>
                </c:pt>
                <c:pt idx="54" formatCode="0.000">
                  <c:v>67.866273352999016</c:v>
                </c:pt>
                <c:pt idx="55" formatCode="0.000">
                  <c:v>68.496685324123703</c:v>
                </c:pt>
                <c:pt idx="56" formatCode="0.000">
                  <c:v>69.130608974358978</c:v>
                </c:pt>
                <c:pt idx="57" formatCode="0.000">
                  <c:v>69.784841866860802</c:v>
                </c:pt>
                <c:pt idx="58" formatCode="0.000">
                  <c:v>70.451576024824433</c:v>
                </c:pt>
                <c:pt idx="59" formatCode="0.000">
                  <c:v>71.131173221205387</c:v>
                </c:pt>
                <c:pt idx="60" formatCode="0.000">
                  <c:v>71.824009324009339</c:v>
                </c:pt>
                <c:pt idx="61" formatCode="0.000">
                  <c:v>72.521329802883201</c:v>
                </c:pt>
                <c:pt idx="62" formatCode="0.000">
                  <c:v>73.241648626851742</c:v>
                </c:pt>
                <c:pt idx="63" formatCode="0.000">
                  <c:v>73.976420150053599</c:v>
                </c:pt>
                <c:pt idx="64" formatCode="0.000">
                  <c:v>74.726083755575772</c:v>
                </c:pt>
                <c:pt idx="65" formatCode="0.000">
                  <c:v>75.491096819355121</c:v>
                </c:pt>
                <c:pt idx="66" formatCode="0.000">
                  <c:v>76.261822681870427</c:v>
                </c:pt>
                <c:pt idx="67" formatCode="0.000">
                  <c:v>77.058770989639171</c:v>
                </c:pt>
                <c:pt idx="68" formatCode="0.000">
                  <c:v>77.893643914770692</c:v>
                </c:pt>
                <c:pt idx="69" formatCode="0.000">
                  <c:v>78.811546542431728</c:v>
                </c:pt>
                <c:pt idx="70" formatCode="0.000">
                  <c:v>79.828822576914192</c:v>
                </c:pt>
                <c:pt idx="71" formatCode="0.000">
                  <c:v>80.94098883572569</c:v>
                </c:pt>
                <c:pt idx="72" formatCode="0.000">
                  <c:v>82.178406439015106</c:v>
                </c:pt>
                <c:pt idx="73" formatCode="0.000">
                  <c:v>83.526962919934178</c:v>
                </c:pt>
                <c:pt idx="74" formatCode="0.000">
                  <c:v>85.008375209380247</c:v>
                </c:pt>
                <c:pt idx="75" formatCode="0.000">
                  <c:v>86.634533313249989</c:v>
                </c:pt>
                <c:pt idx="76" formatCode="0.000">
                  <c:v>88.419164745067917</c:v>
                </c:pt>
                <c:pt idx="77" formatCode="0.000">
                  <c:v>90.36396962555645</c:v>
                </c:pt>
                <c:pt idx="78" formatCode="0.000">
                  <c:v>92.500268039026494</c:v>
                </c:pt>
                <c:pt idx="79" formatCode="0.000">
                  <c:v>94.865028313816055</c:v>
                </c:pt>
                <c:pt idx="80" formatCode="0.000">
                  <c:v>97.45284084491135</c:v>
                </c:pt>
                <c:pt idx="81" formatCode="0.000">
                  <c:v>100.30810370887107</c:v>
                </c:pt>
                <c:pt idx="82" formatCode="0.000">
                  <c:v>103.44724220623502</c:v>
                </c:pt>
                <c:pt idx="83" formatCode="0.000">
                  <c:v>106.94805999752079</c:v>
                </c:pt>
                <c:pt idx="84" formatCode="0.000">
                  <c:v>110.82209377007065</c:v>
                </c:pt>
                <c:pt idx="85" formatCode="0.000">
                  <c:v>115.1484818151485</c:v>
                </c:pt>
                <c:pt idx="86" formatCode="0.000">
                  <c:v>120.00139091730998</c:v>
                </c:pt>
                <c:pt idx="87" formatCode="0.000">
                  <c:v>125.47265852239676</c:v>
                </c:pt>
                <c:pt idx="88" formatCode="0.000">
                  <c:v>131.64721141374838</c:v>
                </c:pt>
                <c:pt idx="89" formatCode="0.000">
                  <c:v>138.72809133301175</c:v>
                </c:pt>
                <c:pt idx="90" formatCode="0.000">
                  <c:v>146.83856693047403</c:v>
                </c:pt>
                <c:pt idx="91" formatCode="0.000">
                  <c:v>156.2528298469619</c:v>
                </c:pt>
                <c:pt idx="92" formatCode="0.000">
                  <c:v>167.29687802986234</c:v>
                </c:pt>
                <c:pt idx="93" formatCode="0.000">
                  <c:v>180.35956935298424</c:v>
                </c:pt>
                <c:pt idx="94" formatCode="0.000">
                  <c:v>196.16871305138702</c:v>
                </c:pt>
                <c:pt idx="95" formatCode="0.000">
                  <c:v>215.49893842887474</c:v>
                </c:pt>
                <c:pt idx="96" formatCode="0.000">
                  <c:v>239.75267472558014</c:v>
                </c:pt>
                <c:pt idx="97" formatCode="0.000">
                  <c:v>271.04932453660069</c:v>
                </c:pt>
                <c:pt idx="98" formatCode="0.000">
                  <c:v>312.93072179905698</c:v>
                </c:pt>
                <c:pt idx="99" formatCode="0.000">
                  <c:v>371.79487179487182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47-4E22-9724-1A5BCE341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08352"/>
        <c:axId val="143119104"/>
        <c:extLst/>
      </c:scatterChart>
      <c:valAx>
        <c:axId val="14310835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89173345310445"/>
              <c:y val="0.92747059395353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119104"/>
        <c:crosses val="autoZero"/>
        <c:crossBetween val="midCat"/>
        <c:majorUnit val="10"/>
        <c:minorUnit val="5"/>
      </c:valAx>
      <c:valAx>
        <c:axId val="143119104"/>
        <c:scaling>
          <c:orientation val="minMax"/>
          <c:max val="150"/>
          <c:min val="50"/>
        </c:scaling>
        <c:delete val="0"/>
        <c:axPos val="l"/>
        <c:minorGridlines/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(minutes)</a:t>
                </a:r>
              </a:p>
            </c:rich>
          </c:tx>
          <c:layout>
            <c:manualLayout>
              <c:xMode val="edge"/>
              <c:yMode val="edge"/>
              <c:x val="4.4563279857397506E-3"/>
              <c:y val="0.41512410485726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108352"/>
        <c:crosses val="autoZero"/>
        <c:crossBetween val="midCat"/>
        <c:majorUnit val="40"/>
        <c:minorUnit val="20"/>
      </c:valAx>
      <c:spPr>
        <a:noFill/>
        <a:ln w="158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2762560600241366"/>
          <c:y val="0.22380657719454133"/>
          <c:w val="0.31949974718466895"/>
          <c:h val="0.3017793173480129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'25K'!$A$1:$A$1</c:f>
          <c:strCache>
            <c:ptCount val="1"/>
            <c:pt idx="0">
              <c:v>Male 25 km</c:v>
            </c:pt>
          </c:strCache>
        </c:strRef>
      </c:tx>
      <c:layout>
        <c:manualLayout>
          <c:xMode val="edge"/>
          <c:yMode val="edge"/>
          <c:x val="0.29418685430278657"/>
          <c:y val="8.534296533426065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352177117770907E-2"/>
          <c:y val="0.21076923076923076"/>
          <c:w val="0.87261185266606567"/>
          <c:h val="0.683076923076923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'25K'!$B$6</c:f>
              <c:strCache>
                <c:ptCount val="1"/>
                <c:pt idx="0">
                  <c:v>Berhard 2025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'25K'!$C$7:$C$105</c:f>
              <c:numCache>
                <c:formatCode>General</c:formatCode>
                <c:ptCount val="99"/>
                <c:pt idx="8" formatCode="0.000">
                  <c:v>139.88333333333333</c:v>
                </c:pt>
                <c:pt idx="11" formatCode="0.000">
                  <c:v>96.983333333333334</c:v>
                </c:pt>
                <c:pt idx="12" formatCode="0.000">
                  <c:v>97.3</c:v>
                </c:pt>
                <c:pt idx="14" formatCode="0.000">
                  <c:v>101.53333333333333</c:v>
                </c:pt>
                <c:pt idx="15" formatCode="0.000">
                  <c:v>90.666666666666657</c:v>
                </c:pt>
                <c:pt idx="16" formatCode="0.000">
                  <c:v>98.566666666666677</c:v>
                </c:pt>
                <c:pt idx="17" formatCode="0.000">
                  <c:v>95.9</c:v>
                </c:pt>
                <c:pt idx="18" formatCode="0.000">
                  <c:v>84.783333333333331</c:v>
                </c:pt>
                <c:pt idx="19" formatCode="0.000">
                  <c:v>86.833333333333329</c:v>
                </c:pt>
                <c:pt idx="20" formatCode="0.000">
                  <c:v>84.88333333333334</c:v>
                </c:pt>
                <c:pt idx="21" formatCode="0.000">
                  <c:v>85.183333333333337</c:v>
                </c:pt>
                <c:pt idx="22" formatCode="0.000">
                  <c:v>84.483333333333334</c:v>
                </c:pt>
                <c:pt idx="23" formatCode="0.000">
                  <c:v>83.25</c:v>
                </c:pt>
                <c:pt idx="24" formatCode="0.000">
                  <c:v>84.616666666666674</c:v>
                </c:pt>
                <c:pt idx="25" formatCode="0.000">
                  <c:v>83.1</c:v>
                </c:pt>
                <c:pt idx="26" formatCode="0.000">
                  <c:v>84.63333333333334</c:v>
                </c:pt>
                <c:pt idx="27" formatCode="0.000">
                  <c:v>79.88333333333334</c:v>
                </c:pt>
                <c:pt idx="28" formatCode="0.000">
                  <c:v>78.783333333333331</c:v>
                </c:pt>
                <c:pt idx="29" formatCode="0.000">
                  <c:v>82.516666666666666</c:v>
                </c:pt>
                <c:pt idx="30" formatCode="0.000">
                  <c:v>86.583333333333329</c:v>
                </c:pt>
                <c:pt idx="31" formatCode="0.000">
                  <c:v>82.466666666666669</c:v>
                </c:pt>
                <c:pt idx="32" formatCode="0.000">
                  <c:v>84.6</c:v>
                </c:pt>
                <c:pt idx="33" formatCode="0.000">
                  <c:v>85.38333333333334</c:v>
                </c:pt>
                <c:pt idx="34" formatCode="0.000">
                  <c:v>86.016666666666666</c:v>
                </c:pt>
                <c:pt idx="35" formatCode="0.000">
                  <c:v>85.86666666666666</c:v>
                </c:pt>
                <c:pt idx="36" formatCode="0.000">
                  <c:v>85.45</c:v>
                </c:pt>
                <c:pt idx="37" formatCode="0.000">
                  <c:v>88.533333333333331</c:v>
                </c:pt>
                <c:pt idx="38" formatCode="0.000">
                  <c:v>86.899999999999991</c:v>
                </c:pt>
                <c:pt idx="39" formatCode="0.000">
                  <c:v>86.516666666666666</c:v>
                </c:pt>
                <c:pt idx="40" formatCode="0.000">
                  <c:v>85.25</c:v>
                </c:pt>
                <c:pt idx="41" formatCode="0.000">
                  <c:v>88.3</c:v>
                </c:pt>
                <c:pt idx="42" formatCode="0.000">
                  <c:v>87.016666666666666</c:v>
                </c:pt>
                <c:pt idx="43" formatCode="0.000">
                  <c:v>89.833333333333329</c:v>
                </c:pt>
                <c:pt idx="44" formatCode="0.000">
                  <c:v>94</c:v>
                </c:pt>
                <c:pt idx="45" formatCode="0.000">
                  <c:v>94.083333333333329</c:v>
                </c:pt>
                <c:pt idx="46" formatCode="0.000">
                  <c:v>91.1</c:v>
                </c:pt>
                <c:pt idx="47" formatCode="0.000">
                  <c:v>97.483333333333334</c:v>
                </c:pt>
                <c:pt idx="48" formatCode="0.000">
                  <c:v>97.999999999999986</c:v>
                </c:pt>
                <c:pt idx="49" formatCode="0.000">
                  <c:v>104.91666666666667</c:v>
                </c:pt>
                <c:pt idx="50" formatCode="0.000">
                  <c:v>96.633333333333326</c:v>
                </c:pt>
                <c:pt idx="51" formatCode="0.000">
                  <c:v>101.65</c:v>
                </c:pt>
                <c:pt idx="52" formatCode="0.000">
                  <c:v>96.75</c:v>
                </c:pt>
                <c:pt idx="53" formatCode="0.000">
                  <c:v>105.23333333333333</c:v>
                </c:pt>
                <c:pt idx="54" formatCode="0.000">
                  <c:v>109.11666666666666</c:v>
                </c:pt>
                <c:pt idx="55" formatCode="0.000">
                  <c:v>101.01666666666665</c:v>
                </c:pt>
                <c:pt idx="56" formatCode="0.000">
                  <c:v>110.9</c:v>
                </c:pt>
                <c:pt idx="57" formatCode="0.000">
                  <c:v>106.61666666666667</c:v>
                </c:pt>
                <c:pt idx="58" formatCode="0.000">
                  <c:v>121.55</c:v>
                </c:pt>
                <c:pt idx="59" formatCode="0.000">
                  <c:v>99.399999999999991</c:v>
                </c:pt>
                <c:pt idx="60" formatCode="0.000">
                  <c:v>110.83333333333333</c:v>
                </c:pt>
                <c:pt idx="61" formatCode="0.000">
                  <c:v>118.4</c:v>
                </c:pt>
                <c:pt idx="62" formatCode="0.000">
                  <c:v>122.53333333333333</c:v>
                </c:pt>
                <c:pt idx="63" formatCode="0.000">
                  <c:v>122.73333333333333</c:v>
                </c:pt>
                <c:pt idx="64" formatCode="0.000">
                  <c:v>123.88333333333333</c:v>
                </c:pt>
                <c:pt idx="65" formatCode="0.000">
                  <c:v>127.00000000000001</c:v>
                </c:pt>
                <c:pt idx="66" formatCode="0.000">
                  <c:v>132.75</c:v>
                </c:pt>
                <c:pt idx="67" formatCode="0.000">
                  <c:v>130.88333333333335</c:v>
                </c:pt>
                <c:pt idx="68" formatCode="0.000">
                  <c:v>140.35</c:v>
                </c:pt>
                <c:pt idx="69" formatCode="0.000">
                  <c:v>118.86666666666667</c:v>
                </c:pt>
                <c:pt idx="70" formatCode="0.000">
                  <c:v>151.91666666666666</c:v>
                </c:pt>
                <c:pt idx="71" formatCode="0.000">
                  <c:v>146.21666666666667</c:v>
                </c:pt>
                <c:pt idx="72" formatCode="0.000">
                  <c:v>148.48333333333335</c:v>
                </c:pt>
                <c:pt idx="73" formatCode="0.000">
                  <c:v>150.18333333333334</c:v>
                </c:pt>
                <c:pt idx="74" formatCode="0.000">
                  <c:v>122.2</c:v>
                </c:pt>
                <c:pt idx="75" formatCode="0.000">
                  <c:v>149.56666666666666</c:v>
                </c:pt>
                <c:pt idx="76" formatCode="0.000">
                  <c:v>162.41666666666666</c:v>
                </c:pt>
                <c:pt idx="77" formatCode="0.000">
                  <c:v>169.8</c:v>
                </c:pt>
                <c:pt idx="78" formatCode="0.000">
                  <c:v>187.68333333333334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29-4D7F-8CE4-B733D6493EB9}"/>
            </c:ext>
          </c:extLst>
        </c:ser>
        <c:ser>
          <c:idx val="2"/>
          <c:order val="1"/>
          <c:tx>
            <c:v>Proposed Age Standards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'25K'!$D$7:$D$105</c:f>
              <c:numCache>
                <c:formatCode>General</c:formatCode>
                <c:ptCount val="99"/>
                <c:pt idx="4" formatCode="0.000">
                  <c:v>149.88026647287535</c:v>
                </c:pt>
                <c:pt idx="5" formatCode="0.000">
                  <c:v>129.38050067437462</c:v>
                </c:pt>
                <c:pt idx="6" formatCode="0.000">
                  <c:v>114.84058764800189</c:v>
                </c:pt>
                <c:pt idx="7" formatCode="0.000">
                  <c:v>104.09855873717312</c:v>
                </c:pt>
                <c:pt idx="8" formatCode="0.000">
                  <c:v>95.921679524875174</c:v>
                </c:pt>
                <c:pt idx="9" formatCode="0.000">
                  <c:v>89.552769177736451</c:v>
                </c:pt>
                <c:pt idx="10" formatCode="0.000">
                  <c:v>84.545114840169504</c:v>
                </c:pt>
                <c:pt idx="11" formatCode="0.000">
                  <c:v>80.581856960974264</c:v>
                </c:pt>
                <c:pt idx="12" formatCode="0.000">
                  <c:v>77.444001638703014</c:v>
                </c:pt>
                <c:pt idx="13" formatCode="0.000">
                  <c:v>74.980473042156177</c:v>
                </c:pt>
                <c:pt idx="14" formatCode="0.000">
                  <c:v>73.091997430456189</c:v>
                </c:pt>
                <c:pt idx="15" formatCode="0.000">
                  <c:v>71.699756730294425</c:v>
                </c:pt>
                <c:pt idx="16" formatCode="0.000">
                  <c:v>70.700292145347802</c:v>
                </c:pt>
                <c:pt idx="17" formatCode="0.000">
                  <c:v>69.838279715934178</c:v>
                </c:pt>
                <c:pt idx="18" formatCode="0.000">
                  <c:v>69.065169156824808</c:v>
                </c:pt>
                <c:pt idx="19" formatCode="0.000">
                  <c:v>68.634444467069528</c:v>
                </c:pt>
                <c:pt idx="20" formatCode="0.000">
                  <c:v>68.533561713263879</c:v>
                </c:pt>
                <c:pt idx="21" formatCode="0.000">
                  <c:v>68.5</c:v>
                </c:pt>
                <c:pt idx="22" formatCode="0.000">
                  <c:v>68.5</c:v>
                </c:pt>
                <c:pt idx="23" formatCode="0.000">
                  <c:v>68.5</c:v>
                </c:pt>
                <c:pt idx="24" formatCode="0.000">
                  <c:v>68.5</c:v>
                </c:pt>
                <c:pt idx="25" formatCode="0.000">
                  <c:v>68.5</c:v>
                </c:pt>
                <c:pt idx="26" formatCode="0.000">
                  <c:v>68.5</c:v>
                </c:pt>
                <c:pt idx="27" formatCode="0.000">
                  <c:v>68.5</c:v>
                </c:pt>
                <c:pt idx="28" formatCode="0.000">
                  <c:v>68.5</c:v>
                </c:pt>
                <c:pt idx="29" formatCode="0.000">
                  <c:v>68.5</c:v>
                </c:pt>
                <c:pt idx="30" formatCode="0.000">
                  <c:v>68.5</c:v>
                </c:pt>
                <c:pt idx="31" formatCode="0.000">
                  <c:v>68.510347034931442</c:v>
                </c:pt>
                <c:pt idx="32" formatCode="0.000">
                  <c:v>68.572494947389004</c:v>
                </c:pt>
                <c:pt idx="33" formatCode="0.000">
                  <c:v>68.681525536740452</c:v>
                </c:pt>
                <c:pt idx="34" formatCode="0.000">
                  <c:v>68.837886340904504</c:v>
                </c:pt>
                <c:pt idx="35" formatCode="0.000">
                  <c:v>69.06281929654601</c:v>
                </c:pt>
                <c:pt idx="36" formatCode="0.000">
                  <c:v>69.366120158636321</c:v>
                </c:pt>
                <c:pt idx="37" formatCode="0.000">
                  <c:v>69.756945450376833</c:v>
                </c:pt>
                <c:pt idx="38" formatCode="0.000">
                  <c:v>70.23102118866143</c:v>
                </c:pt>
                <c:pt idx="39" formatCode="0.000">
                  <c:v>70.789877678790688</c:v>
                </c:pt>
                <c:pt idx="40" formatCode="0.000">
                  <c:v>71.372416610787639</c:v>
                </c:pt>
                <c:pt idx="41" formatCode="0.000">
                  <c:v>71.958913895366194</c:v>
                </c:pt>
                <c:pt idx="42" formatCode="0.000">
                  <c:v>72.56093380523221</c:v>
                </c:pt>
                <c:pt idx="43" formatCode="0.000">
                  <c:v>73.173111891880652</c:v>
                </c:pt>
                <c:pt idx="44" formatCode="0.000">
                  <c:v>73.795707448741894</c:v>
                </c:pt>
                <c:pt idx="45" formatCode="0.000">
                  <c:v>74.428988669799736</c:v>
                </c:pt>
                <c:pt idx="46" formatCode="0.000">
                  <c:v>75.067020433573759</c:v>
                </c:pt>
                <c:pt idx="47" formatCode="0.000">
                  <c:v>75.722406154892241</c:v>
                </c:pt>
                <c:pt idx="48" formatCode="0.000">
                  <c:v>76.389336588146406</c:v>
                </c:pt>
                <c:pt idx="49" formatCode="0.000">
                  <c:v>77.068119486487873</c:v>
                </c:pt>
                <c:pt idx="50" formatCode="0.000">
                  <c:v>77.759073639710621</c:v>
                </c:pt>
                <c:pt idx="51" formatCode="0.000">
                  <c:v>78.455743180179184</c:v>
                </c:pt>
                <c:pt idx="52" formatCode="0.000">
                  <c:v>79.171918417486282</c:v>
                </c:pt>
                <c:pt idx="53" formatCode="0.000">
                  <c:v>79.901289173731911</c:v>
                </c:pt>
                <c:pt idx="54" formatCode="0.000">
                  <c:v>80.644223530751049</c:v>
                </c:pt>
                <c:pt idx="55" formatCode="0.000">
                  <c:v>81.401103388788172</c:v>
                </c:pt>
                <c:pt idx="56" formatCode="0.000">
                  <c:v>82.164882070134183</c:v>
                </c:pt>
                <c:pt idx="57" formatCode="0.000">
                  <c:v>82.950714155777817</c:v>
                </c:pt>
                <c:pt idx="58" formatCode="0.000">
                  <c:v>83.751722925517569</c:v>
                </c:pt>
                <c:pt idx="59" formatCode="0.000">
                  <c:v>84.568352324599417</c:v>
                </c:pt>
                <c:pt idx="60" formatCode="0.000">
                  <c:v>85.401063783689622</c:v>
                </c:pt>
                <c:pt idx="61" formatCode="0.000">
                  <c:v>86.242136981830015</c:v>
                </c:pt>
                <c:pt idx="62" formatCode="0.000">
                  <c:v>87.108305644246499</c:v>
                </c:pt>
                <c:pt idx="63" formatCode="0.000">
                  <c:v>87.992049466664554</c:v>
                </c:pt>
                <c:pt idx="64" formatCode="0.000">
                  <c:v>88.893908849826815</c:v>
                </c:pt>
                <c:pt idx="65" formatCode="0.000">
                  <c:v>89.814446578878957</c:v>
                </c:pt>
                <c:pt idx="66" formatCode="0.000">
                  <c:v>90.745170169032107</c:v>
                </c:pt>
                <c:pt idx="67" formatCode="0.000">
                  <c:v>91.704655399930246</c:v>
                </c:pt>
                <c:pt idx="68" formatCode="0.000">
                  <c:v>92.703591586691473</c:v>
                </c:pt>
                <c:pt idx="69" formatCode="0.000">
                  <c:v>93.782669042531055</c:v>
                </c:pt>
                <c:pt idx="70" formatCode="0.000">
                  <c:v>94.956693140885889</c:v>
                </c:pt>
                <c:pt idx="71" formatCode="0.000">
                  <c:v>96.238235766156237</c:v>
                </c:pt>
                <c:pt idx="72" formatCode="0.000">
                  <c:v>97.669526582985938</c:v>
                </c:pt>
                <c:pt idx="73" formatCode="0.000">
                  <c:v>99.237246431227661</c:v>
                </c:pt>
                <c:pt idx="74" formatCode="0.000">
                  <c:v>100.96381295185651</c:v>
                </c:pt>
                <c:pt idx="75" formatCode="0.000">
                  <c:v>102.86709059412536</c:v>
                </c:pt>
                <c:pt idx="76" formatCode="0.000">
                  <c:v>104.95989154039292</c:v>
                </c:pt>
                <c:pt idx="77" formatCode="0.000">
                  <c:v>107.24847770716791</c:v>
                </c:pt>
                <c:pt idx="78" formatCode="0.000">
                  <c:v>109.77068199826003</c:v>
                </c:pt>
                <c:pt idx="79" formatCode="0.000">
                  <c:v>112.56215402306343</c:v>
                </c:pt>
                <c:pt idx="80" formatCode="0.000">
                  <c:v>115.63060712530222</c:v>
                </c:pt>
                <c:pt idx="81" formatCode="0.000">
                  <c:v>119.02067752350358</c:v>
                </c:pt>
                <c:pt idx="82" formatCode="0.000">
                  <c:v>122.75813635805</c:v>
                </c:pt>
                <c:pt idx="83" formatCode="0.000">
                  <c:v>126.93155877910729</c:v>
                </c:pt>
                <c:pt idx="84" formatCode="0.000">
                  <c:v>131.56251567967996</c:v>
                </c:pt>
                <c:pt idx="85" formatCode="0.000">
                  <c:v>136.74833792012257</c:v>
                </c:pt>
                <c:pt idx="86" formatCode="0.000">
                  <c:v>142.57442523658005</c:v>
                </c:pt>
                <c:pt idx="87" formatCode="0.000">
                  <c:v>149.15396079960487</c:v>
                </c:pt>
                <c:pt idx="88" formatCode="0.000">
                  <c:v>156.61090809332302</c:v>
                </c:pt>
                <c:pt idx="89" formatCode="0.000">
                  <c:v>165.18046750081271</c:v>
                </c:pt>
                <c:pt idx="90" formatCode="0.000">
                  <c:v>175.02096354968512</c:v>
                </c:pt>
                <c:pt idx="91" formatCode="0.000">
                  <c:v>186.48769476756777</c:v>
                </c:pt>
                <c:pt idx="92" formatCode="0.000">
                  <c:v>199.99867856056875</c:v>
                </c:pt>
                <c:pt idx="93" formatCode="0.000">
                  <c:v>216.04499661319042</c:v>
                </c:pt>
                <c:pt idx="94" formatCode="0.000">
                  <c:v>235.57658687001819</c:v>
                </c:pt>
                <c:pt idx="95" formatCode="0.000">
                  <c:v>259.60364351581484</c:v>
                </c:pt>
                <c:pt idx="96" formatCode="0.000">
                  <c:v>290.00518455514691</c:v>
                </c:pt>
                <c:pt idx="97" formatCode="0.000">
                  <c:v>329.6556416521982</c:v>
                </c:pt>
                <c:pt idx="98" formatCode="0.000">
                  <c:v>383.41407119925844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29-4D7F-8CE4-B733D6493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01248"/>
        <c:axId val="143311616"/>
      </c:scatterChart>
      <c:valAx>
        <c:axId val="143301248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45515011260533"/>
              <c:y val="0.92769230769230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11616"/>
        <c:crosses val="autoZero"/>
        <c:crossBetween val="midCat"/>
        <c:majorUnit val="10"/>
      </c:valAx>
      <c:valAx>
        <c:axId val="143311616"/>
        <c:scaling>
          <c:orientation val="minMax"/>
          <c:max val="200"/>
          <c:min val="6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549590536851683E-3"/>
              <c:y val="0.415384615384615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01248"/>
        <c:crosses val="autoZero"/>
        <c:crossBetween val="midCat"/>
        <c:majorUnit val="3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9815447898841352"/>
          <c:y val="0.26060308278918265"/>
          <c:w val="0.30461956056213629"/>
          <c:h val="0.165753831987261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'30K'!$A$1:$A$1</c:f>
          <c:strCache>
            <c:ptCount val="1"/>
            <c:pt idx="0">
              <c:v>Male 30 km</c:v>
            </c:pt>
          </c:strCache>
        </c:strRef>
      </c:tx>
      <c:layout>
        <c:manualLayout>
          <c:xMode val="edge"/>
          <c:yMode val="edge"/>
          <c:x val="0.38392089977922433"/>
          <c:y val="2.66666666666666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720943711311282E-2"/>
          <c:y val="0.20592622385159701"/>
          <c:w val="0.87353283925872927"/>
          <c:h val="0.69185285279637265"/>
        </c:manualLayout>
      </c:layout>
      <c:scatterChart>
        <c:scatterStyle val="lineMarker"/>
        <c:varyColors val="0"/>
        <c:ser>
          <c:idx val="0"/>
          <c:order val="0"/>
          <c:tx>
            <c:strRef>
              <c:f>'30K'!$B$6</c:f>
              <c:strCache>
                <c:ptCount val="1"/>
                <c:pt idx="0">
                  <c:v>Barnard 2025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'30K'!$C$7:$C$105</c:f>
              <c:numCache>
                <c:formatCode>General</c:formatCode>
                <c:ptCount val="99"/>
                <c:pt idx="7" formatCode="0.000">
                  <c:v>206.28333333333333</c:v>
                </c:pt>
                <c:pt idx="16" formatCode="0.000">
                  <c:v>124.56666666666666</c:v>
                </c:pt>
                <c:pt idx="17" formatCode="0.000">
                  <c:v>112.18333333333334</c:v>
                </c:pt>
                <c:pt idx="18" formatCode="0.000">
                  <c:v>106.5</c:v>
                </c:pt>
                <c:pt idx="19" formatCode="0.000">
                  <c:v>103.95</c:v>
                </c:pt>
                <c:pt idx="20" formatCode="0.000">
                  <c:v>103.43333333333332</c:v>
                </c:pt>
                <c:pt idx="21" formatCode="0.000">
                  <c:v>99.95</c:v>
                </c:pt>
                <c:pt idx="22" formatCode="0.000">
                  <c:v>99.100000000000009</c:v>
                </c:pt>
                <c:pt idx="23" formatCode="0.000">
                  <c:v>103.08333333333333</c:v>
                </c:pt>
                <c:pt idx="24" formatCode="0.000">
                  <c:v>99.149999999999991</c:v>
                </c:pt>
                <c:pt idx="25" formatCode="0.000">
                  <c:v>104.60000000000001</c:v>
                </c:pt>
                <c:pt idx="26" formatCode="0.000">
                  <c:v>103.74999999999999</c:v>
                </c:pt>
                <c:pt idx="27" formatCode="0.000">
                  <c:v>101.95</c:v>
                </c:pt>
                <c:pt idx="28" formatCode="0.000">
                  <c:v>106.48333333333332</c:v>
                </c:pt>
                <c:pt idx="29" formatCode="0.000">
                  <c:v>94</c:v>
                </c:pt>
                <c:pt idx="30" formatCode="0.000">
                  <c:v>106.43333333333334</c:v>
                </c:pt>
                <c:pt idx="31" formatCode="0.000">
                  <c:v>103.43333333333332</c:v>
                </c:pt>
                <c:pt idx="32" formatCode="0.000">
                  <c:v>104.14999999999999</c:v>
                </c:pt>
                <c:pt idx="33" formatCode="0.000">
                  <c:v>103.81666666666668</c:v>
                </c:pt>
                <c:pt idx="34" formatCode="0.000">
                  <c:v>96.083333333333343</c:v>
                </c:pt>
                <c:pt idx="35" formatCode="0.000">
                  <c:v>103.39999999999999</c:v>
                </c:pt>
                <c:pt idx="36" formatCode="0.000">
                  <c:v>106.11666666666667</c:v>
                </c:pt>
                <c:pt idx="37" formatCode="0.000">
                  <c:v>107.05000000000001</c:v>
                </c:pt>
                <c:pt idx="38" formatCode="0.000">
                  <c:v>107.25</c:v>
                </c:pt>
                <c:pt idx="39" formatCode="0.000">
                  <c:v>103.78333333333335</c:v>
                </c:pt>
                <c:pt idx="40" formatCode="0.000">
                  <c:v>113.21666666666667</c:v>
                </c:pt>
                <c:pt idx="41" formatCode="0.000">
                  <c:v>105.06666666666668</c:v>
                </c:pt>
                <c:pt idx="42" formatCode="0.000">
                  <c:v>111.61666666666667</c:v>
                </c:pt>
                <c:pt idx="43" formatCode="0.000">
                  <c:v>113.33333333333334</c:v>
                </c:pt>
                <c:pt idx="44" formatCode="0.000">
                  <c:v>113.4</c:v>
                </c:pt>
                <c:pt idx="45" formatCode="0.000">
                  <c:v>113.08333333333334</c:v>
                </c:pt>
                <c:pt idx="46" formatCode="0.000">
                  <c:v>120.38333333333334</c:v>
                </c:pt>
                <c:pt idx="47" formatCode="0.000">
                  <c:v>119.41666666666667</c:v>
                </c:pt>
                <c:pt idx="48" formatCode="0.000">
                  <c:v>123.91666666666666</c:v>
                </c:pt>
                <c:pt idx="49" formatCode="0.000">
                  <c:v>120.68333333333332</c:v>
                </c:pt>
                <c:pt idx="50" formatCode="0.000">
                  <c:v>116.71666666666667</c:v>
                </c:pt>
                <c:pt idx="51" formatCode="0.000">
                  <c:v>122.11666666666666</c:v>
                </c:pt>
                <c:pt idx="52" formatCode="0.000">
                  <c:v>117.01666666666667</c:v>
                </c:pt>
                <c:pt idx="53" formatCode="0.000">
                  <c:v>122.18333333333334</c:v>
                </c:pt>
                <c:pt idx="54" formatCode="0.000">
                  <c:v>134.81666666666666</c:v>
                </c:pt>
                <c:pt idx="55" formatCode="0.000">
                  <c:v>133.46666666666667</c:v>
                </c:pt>
                <c:pt idx="56" formatCode="0.000">
                  <c:v>131.94999999999999</c:v>
                </c:pt>
                <c:pt idx="57" formatCode="0.000">
                  <c:v>133.63333333333333</c:v>
                </c:pt>
                <c:pt idx="58" formatCode="0.000">
                  <c:v>136.13333333333333</c:v>
                </c:pt>
                <c:pt idx="59" formatCode="0.000">
                  <c:v>119.51666666666667</c:v>
                </c:pt>
                <c:pt idx="60" formatCode="0.000">
                  <c:v>144.69999999999999</c:v>
                </c:pt>
                <c:pt idx="61" formatCode="0.000">
                  <c:v>140.33333333333334</c:v>
                </c:pt>
                <c:pt idx="62" formatCode="0.000">
                  <c:v>143.5</c:v>
                </c:pt>
                <c:pt idx="63" formatCode="0.000">
                  <c:v>166.16666666666666</c:v>
                </c:pt>
                <c:pt idx="64" formatCode="0.000">
                  <c:v>147.9</c:v>
                </c:pt>
                <c:pt idx="65" formatCode="0.000">
                  <c:v>152.53333333333333</c:v>
                </c:pt>
                <c:pt idx="66" formatCode="0.000">
                  <c:v>178.1</c:v>
                </c:pt>
                <c:pt idx="67" formatCode="0.000">
                  <c:v>158.76666666666668</c:v>
                </c:pt>
                <c:pt idx="68" formatCode="0.000">
                  <c:v>165.63333333333333</c:v>
                </c:pt>
                <c:pt idx="69" formatCode="0.000">
                  <c:v>142.48333333333335</c:v>
                </c:pt>
                <c:pt idx="70" formatCode="0.000">
                  <c:v>194.79999999999998</c:v>
                </c:pt>
                <c:pt idx="71" formatCode="0.000">
                  <c:v>171.41666666666666</c:v>
                </c:pt>
                <c:pt idx="72" formatCode="0.000">
                  <c:v>273.28333333333336</c:v>
                </c:pt>
                <c:pt idx="73" formatCode="0.000">
                  <c:v>212.23333333333335</c:v>
                </c:pt>
                <c:pt idx="74" formatCode="0.000">
                  <c:v>146.85</c:v>
                </c:pt>
                <c:pt idx="76" formatCode="0.000">
                  <c:v>217.86666666666665</c:v>
                </c:pt>
                <c:pt idx="77" formatCode="0.000">
                  <c:v>234.7</c:v>
                </c:pt>
                <c:pt idx="78" formatCode="0.000">
                  <c:v>244.4</c:v>
                </c:pt>
                <c:pt idx="80" formatCode="0.000">
                  <c:v>253.53333333333333</c:v>
                </c:pt>
                <c:pt idx="81" formatCode="0.000">
                  <c:v>257.88333333333333</c:v>
                </c:pt>
                <c:pt idx="82" formatCode="0.000">
                  <c:v>273.40000000000003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00-4498-B1D0-1D8D843A1B34}"/>
            </c:ext>
          </c:extLst>
        </c:ser>
        <c:ser>
          <c:idx val="2"/>
          <c:order val="1"/>
          <c:tx>
            <c:v>Proposed Age Standards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'30K'!$D$7:$D$105</c:f>
              <c:numCache>
                <c:formatCode>General</c:formatCode>
                <c:ptCount val="99"/>
                <c:pt idx="4" formatCode="0.000">
                  <c:v>183.79639154405632</c:v>
                </c:pt>
                <c:pt idx="5" formatCode="0.000">
                  <c:v>159.01116929711833</c:v>
                </c:pt>
                <c:pt idx="6" formatCode="0.000">
                  <c:v>141.31859143684801</c:v>
                </c:pt>
                <c:pt idx="7" formatCode="0.000">
                  <c:v>128.17836574419164</c:v>
                </c:pt>
                <c:pt idx="8" formatCode="0.000">
                  <c:v>118.12323921863543</c:v>
                </c:pt>
                <c:pt idx="9" formatCode="0.000">
                  <c:v>110.2570616272569</c:v>
                </c:pt>
                <c:pt idx="10" formatCode="0.000">
                  <c:v>104.03912709582654</c:v>
                </c:pt>
                <c:pt idx="11" formatCode="0.000">
                  <c:v>99.083376114600796</c:v>
                </c:pt>
                <c:pt idx="12" formatCode="0.000">
                  <c:v>95.130094848494153</c:v>
                </c:pt>
                <c:pt idx="13" formatCode="0.000">
                  <c:v>91.991149575506867</c:v>
                </c:pt>
                <c:pt idx="14" formatCode="0.000">
                  <c:v>89.54163792638542</c:v>
                </c:pt>
                <c:pt idx="15" formatCode="0.000">
                  <c:v>87.688263442567333</c:v>
                </c:pt>
                <c:pt idx="16" formatCode="0.000">
                  <c:v>86.251443181066406</c:v>
                </c:pt>
                <c:pt idx="17" formatCode="0.000">
                  <c:v>85.009117172936726</c:v>
                </c:pt>
                <c:pt idx="18" formatCode="0.000">
                  <c:v>83.974318395742884</c:v>
                </c:pt>
                <c:pt idx="19" formatCode="0.000">
                  <c:v>83.33861509200311</c:v>
                </c:pt>
                <c:pt idx="20" formatCode="0.000">
                  <c:v>83.084395541638457</c:v>
                </c:pt>
                <c:pt idx="21" formatCode="0.000">
                  <c:v>83</c:v>
                </c:pt>
                <c:pt idx="22" formatCode="0.000">
                  <c:v>83</c:v>
                </c:pt>
                <c:pt idx="23" formatCode="0.000">
                  <c:v>83</c:v>
                </c:pt>
                <c:pt idx="24" formatCode="0.000">
                  <c:v>83</c:v>
                </c:pt>
                <c:pt idx="25" formatCode="0.000">
                  <c:v>83</c:v>
                </c:pt>
                <c:pt idx="26" formatCode="0.000">
                  <c:v>83</c:v>
                </c:pt>
                <c:pt idx="27" formatCode="0.000">
                  <c:v>83</c:v>
                </c:pt>
                <c:pt idx="28" formatCode="0.000">
                  <c:v>83</c:v>
                </c:pt>
                <c:pt idx="29" formatCode="0.000">
                  <c:v>83</c:v>
                </c:pt>
                <c:pt idx="30" formatCode="0.000">
                  <c:v>83</c:v>
                </c:pt>
                <c:pt idx="31" formatCode="0.000">
                  <c:v>83.008169822663575</c:v>
                </c:pt>
                <c:pt idx="32" formatCode="0.000">
                  <c:v>83.057222553689655</c:v>
                </c:pt>
                <c:pt idx="33" formatCode="0.000">
                  <c:v>83.143204478066323</c:v>
                </c:pt>
                <c:pt idx="34" formatCode="0.000">
                  <c:v>83.26634506483569</c:v>
                </c:pt>
                <c:pt idx="35" formatCode="0.000">
                  <c:v>83.469453214596427</c:v>
                </c:pt>
                <c:pt idx="36" formatCode="0.000">
                  <c:v>83.783890768455763</c:v>
                </c:pt>
                <c:pt idx="37" formatCode="0.000">
                  <c:v>84.220717653286073</c:v>
                </c:pt>
                <c:pt idx="38" formatCode="0.000">
                  <c:v>84.775083836734339</c:v>
                </c:pt>
                <c:pt idx="39" formatCode="0.000">
                  <c:v>85.447097613252694</c:v>
                </c:pt>
                <c:pt idx="40" formatCode="0.000">
                  <c:v>86.156954589442975</c:v>
                </c:pt>
                <c:pt idx="41" formatCode="0.000">
                  <c:v>86.874229780933433</c:v>
                </c:pt>
                <c:pt idx="42" formatCode="0.000">
                  <c:v>87.608098576227746</c:v>
                </c:pt>
                <c:pt idx="43" formatCode="0.000">
                  <c:v>88.354471693596963</c:v>
                </c:pt>
                <c:pt idx="44" formatCode="0.000">
                  <c:v>89.113671469137856</c:v>
                </c:pt>
                <c:pt idx="45" formatCode="0.000">
                  <c:v>89.886031413865069</c:v>
                </c:pt>
                <c:pt idx="46" formatCode="0.000">
                  <c:v>90.667022475147732</c:v>
                </c:pt>
                <c:pt idx="47" formatCode="0.000">
                  <c:v>91.466664100954105</c:v>
                </c:pt>
                <c:pt idx="48" formatCode="0.000">
                  <c:v>92.28053617887069</c:v>
                </c:pt>
                <c:pt idx="49" formatCode="0.000">
                  <c:v>93.109021987802706</c:v>
                </c:pt>
                <c:pt idx="50" formatCode="0.000">
                  <c:v>93.952518695513376</c:v>
                </c:pt>
                <c:pt idx="51" formatCode="0.000">
                  <c:v>94.806108563547525</c:v>
                </c:pt>
                <c:pt idx="52" formatCode="0.000">
                  <c:v>95.680778543175975</c:v>
                </c:pt>
                <c:pt idx="53" formatCode="0.000">
                  <c:v>96.571738011921056</c:v>
                </c:pt>
                <c:pt idx="54" formatCode="0.000">
                  <c:v>97.479446299952841</c:v>
                </c:pt>
                <c:pt idx="55" formatCode="0.000">
                  <c:v>98.404380170861245</c:v>
                </c:pt>
                <c:pt idx="56" formatCode="0.000">
                  <c:v>99.341183146821677</c:v>
                </c:pt>
                <c:pt idx="57" formatCode="0.000">
                  <c:v>100.30195869526193</c:v>
                </c:pt>
                <c:pt idx="58" formatCode="0.000">
                  <c:v>101.28149996498786</c:v>
                </c:pt>
                <c:pt idx="59" formatCode="0.000">
                  <c:v>102.28036217199997</c:v>
                </c:pt>
                <c:pt idx="60" formatCode="0.000">
                  <c:v>103.29912265314813</c:v>
                </c:pt>
                <c:pt idx="61" formatCode="0.000">
                  <c:v>104.33192774004283</c:v>
                </c:pt>
                <c:pt idx="62" formatCode="0.000">
                  <c:v>105.39217904465505</c:v>
                </c:pt>
                <c:pt idx="63" formatCode="0.000">
                  <c:v>106.47420074881406</c:v>
                </c:pt>
                <c:pt idx="64" formatCode="0.000">
                  <c:v>107.57867033337358</c:v>
                </c:pt>
                <c:pt idx="65" formatCode="0.000">
                  <c:v>108.7062936841948</c:v>
                </c:pt>
                <c:pt idx="66" formatCode="0.000">
                  <c:v>109.85065147096806</c:v>
                </c:pt>
                <c:pt idx="67" formatCode="0.000">
                  <c:v>111.02666722605127</c:v>
                </c:pt>
                <c:pt idx="68" formatCode="0.000">
                  <c:v>112.2430727420154</c:v>
                </c:pt>
                <c:pt idx="69" formatCode="0.000">
                  <c:v>113.53226242959123</c:v>
                </c:pt>
                <c:pt idx="70" formatCode="0.000">
                  <c:v>114.90618305375301</c:v>
                </c:pt>
                <c:pt idx="71" formatCode="0.000">
                  <c:v>116.403353888124</c:v>
                </c:pt>
                <c:pt idx="72" formatCode="0.000">
                  <c:v>118.08280972535059</c:v>
                </c:pt>
                <c:pt idx="73" formatCode="0.000">
                  <c:v>119.9328973921355</c:v>
                </c:pt>
                <c:pt idx="74" formatCode="0.000">
                  <c:v>121.97631598690209</c:v>
                </c:pt>
                <c:pt idx="75" formatCode="0.000">
                  <c:v>124.23946332254599</c:v>
                </c:pt>
                <c:pt idx="76" formatCode="0.000">
                  <c:v>126.7332979353954</c:v>
                </c:pt>
                <c:pt idx="77" formatCode="0.000">
                  <c:v>129.47083581073809</c:v>
                </c:pt>
                <c:pt idx="78" formatCode="0.000">
                  <c:v>132.49858097709122</c:v>
                </c:pt>
                <c:pt idx="79" formatCode="0.000">
                  <c:v>135.84897435840529</c:v>
                </c:pt>
                <c:pt idx="80" formatCode="0.000">
                  <c:v>139.54950399844816</c:v>
                </c:pt>
                <c:pt idx="81" formatCode="0.000">
                  <c:v>143.64368551699698</c:v>
                </c:pt>
                <c:pt idx="82" formatCode="0.000">
                  <c:v>148.17070720953038</c:v>
                </c:pt>
                <c:pt idx="83" formatCode="0.000">
                  <c:v>153.23266439354828</c:v>
                </c:pt>
                <c:pt idx="84" formatCode="0.000">
                  <c:v>158.86576579377865</c:v>
                </c:pt>
                <c:pt idx="85" formatCode="0.000">
                  <c:v>165.19195871213356</c:v>
                </c:pt>
                <c:pt idx="86" formatCode="0.000">
                  <c:v>172.31103462600097</c:v>
                </c:pt>
                <c:pt idx="87" formatCode="0.000">
                  <c:v>180.36513948554284</c:v>
                </c:pt>
                <c:pt idx="88" formatCode="0.000">
                  <c:v>189.53416072475119</c:v>
                </c:pt>
                <c:pt idx="89" formatCode="0.000">
                  <c:v>200.09490950978983</c:v>
                </c:pt>
                <c:pt idx="90" formatCode="0.000">
                  <c:v>212.25464063236413</c:v>
                </c:pt>
                <c:pt idx="91" formatCode="0.000">
                  <c:v>226.48217884382902</c:v>
                </c:pt>
                <c:pt idx="92" formatCode="0.000">
                  <c:v>243.32456596887982</c:v>
                </c:pt>
                <c:pt idx="93" formatCode="0.000">
                  <c:v>263.41611465135117</c:v>
                </c:pt>
                <c:pt idx="94" formatCode="0.000">
                  <c:v>288.02254641699881</c:v>
                </c:pt>
                <c:pt idx="95" formatCode="0.000">
                  <c:v>318.49314101135292</c:v>
                </c:pt>
                <c:pt idx="96" formatCode="0.000">
                  <c:v>357.40298277685707</c:v>
                </c:pt>
                <c:pt idx="97" formatCode="0.000">
                  <c:v>408.75026576823296</c:v>
                </c:pt>
                <c:pt idx="98" formatCode="0.000">
                  <c:v>479.39662856884587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00-4498-B1D0-1D8D843A1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52416"/>
        <c:axId val="143659392"/>
      </c:scatterChart>
      <c:valAx>
        <c:axId val="143452416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45216369614454"/>
              <c:y val="0.930371770195392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59392"/>
        <c:crosses val="autoZero"/>
        <c:crossBetween val="midCat"/>
        <c:majorUnit val="10"/>
      </c:valAx>
      <c:valAx>
        <c:axId val="143659392"/>
        <c:scaling>
          <c:orientation val="minMax"/>
          <c:max val="300"/>
          <c:min val="8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5167097795086085E-3"/>
              <c:y val="0.41925988140371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452416"/>
        <c:crosses val="autoZero"/>
        <c:crossBetween val="midCat"/>
        <c:majorUnit val="5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646794962904005"/>
          <c:y val="0.25343162519928808"/>
          <c:w val="0.36113846157332452"/>
          <c:h val="0.146249893272291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Marathon!$A$1:$A$1</c:f>
          <c:strCache>
            <c:ptCount val="1"/>
            <c:pt idx="0">
              <c:v>Male Marathon</c:v>
            </c:pt>
          </c:strCache>
        </c:strRef>
      </c:tx>
      <c:layout>
        <c:manualLayout>
          <c:xMode val="edge"/>
          <c:yMode val="edge"/>
          <c:x val="0.35699950550056264"/>
          <c:y val="9.16268688293176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694014368341012E-2"/>
          <c:y val="5.6141822664655276E-2"/>
          <c:w val="0.88880630310965447"/>
          <c:h val="0.8250013962142374"/>
        </c:manualLayout>
      </c:layout>
      <c:scatterChart>
        <c:scatterStyle val="lineMarker"/>
        <c:varyColors val="0"/>
        <c:ser>
          <c:idx val="1"/>
          <c:order val="0"/>
          <c:tx>
            <c:strRef>
              <c:f>Marathon!$G$6</c:f>
              <c:strCache>
                <c:ptCount val="1"/>
                <c:pt idx="0">
                  <c:v>2020 Barnard Single Age Bests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9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  <c:extLst xmlns:c15="http://schemas.microsoft.com/office/drawing/2012/chart"/>
            </c:numRef>
          </c:xVal>
          <c:yVal>
            <c:numRef>
              <c:f>Marathon!$G$7:$G$106</c:f>
              <c:numCache>
                <c:formatCode>0.000</c:formatCode>
                <c:ptCount val="100"/>
                <c:pt idx="3">
                  <c:v>416.65</c:v>
                </c:pt>
                <c:pt idx="4">
                  <c:v>325.14999999999998</c:v>
                </c:pt>
                <c:pt idx="5">
                  <c:v>399.11666666666667</c:v>
                </c:pt>
                <c:pt idx="6">
                  <c:v>244.13333333333333</c:v>
                </c:pt>
                <c:pt idx="7">
                  <c:v>195.33333333333334</c:v>
                </c:pt>
                <c:pt idx="8">
                  <c:v>176.95</c:v>
                </c:pt>
                <c:pt idx="9">
                  <c:v>182.38333333333333</c:v>
                </c:pt>
                <c:pt idx="10">
                  <c:v>170.03333333333333</c:v>
                </c:pt>
                <c:pt idx="11">
                  <c:v>182.31666666666666</c:v>
                </c:pt>
                <c:pt idx="12">
                  <c:v>163.03333333333336</c:v>
                </c:pt>
                <c:pt idx="13">
                  <c:v>161.71666666666664</c:v>
                </c:pt>
                <c:pt idx="14">
                  <c:v>149.18333333333334</c:v>
                </c:pt>
                <c:pt idx="15">
                  <c:v>135.11666666666665</c:v>
                </c:pt>
                <c:pt idx="16">
                  <c:v>130.76666666666668</c:v>
                </c:pt>
                <c:pt idx="17">
                  <c:v>124.53333333333333</c:v>
                </c:pt>
                <c:pt idx="18">
                  <c:v>124.80000000000001</c:v>
                </c:pt>
                <c:pt idx="19">
                  <c:v>124.76666666666667</c:v>
                </c:pt>
                <c:pt idx="20">
                  <c:v>124.38333333333333</c:v>
                </c:pt>
                <c:pt idx="21">
                  <c:v>124.86666666666665</c:v>
                </c:pt>
                <c:pt idx="22">
                  <c:v>124.25</c:v>
                </c:pt>
                <c:pt idx="23">
                  <c:v>124.03333333333333</c:v>
                </c:pt>
                <c:pt idx="24">
                  <c:v>122.80000000000001</c:v>
                </c:pt>
                <c:pt idx="25">
                  <c:v>123.63333333333335</c:v>
                </c:pt>
                <c:pt idx="26">
                  <c:v>122.91666666666666</c:v>
                </c:pt>
                <c:pt idx="27">
                  <c:v>123.6</c:v>
                </c:pt>
                <c:pt idx="28">
                  <c:v>123.23333333333332</c:v>
                </c:pt>
                <c:pt idx="29">
                  <c:v>122.95000000000002</c:v>
                </c:pt>
                <c:pt idx="30">
                  <c:v>123.08333333333334</c:v>
                </c:pt>
                <c:pt idx="31">
                  <c:v>123.53333333333333</c:v>
                </c:pt>
                <c:pt idx="32">
                  <c:v>121.64999999999999</c:v>
                </c:pt>
                <c:pt idx="33">
                  <c:v>122.61666666666667</c:v>
                </c:pt>
                <c:pt idx="34">
                  <c:v>123.98333333333335</c:v>
                </c:pt>
                <c:pt idx="35">
                  <c:v>125.45</c:v>
                </c:pt>
                <c:pt idx="36">
                  <c:v>121.68333333333332</c:v>
                </c:pt>
                <c:pt idx="37">
                  <c:v>126.08333333333333</c:v>
                </c:pt>
                <c:pt idx="38">
                  <c:v>126.00000000000001</c:v>
                </c:pt>
                <c:pt idx="39">
                  <c:v>128.76666666666668</c:v>
                </c:pt>
                <c:pt idx="40">
                  <c:v>128.69999999999999</c:v>
                </c:pt>
                <c:pt idx="41">
                  <c:v>127.83333333333333</c:v>
                </c:pt>
                <c:pt idx="42">
                  <c:v>129.06666666666666</c:v>
                </c:pt>
                <c:pt idx="43">
                  <c:v>129.14999999999998</c:v>
                </c:pt>
                <c:pt idx="44">
                  <c:v>132.78333333333333</c:v>
                </c:pt>
                <c:pt idx="45">
                  <c:v>135.4</c:v>
                </c:pt>
                <c:pt idx="46">
                  <c:v>136.33333333333334</c:v>
                </c:pt>
                <c:pt idx="47">
                  <c:v>138.94999999999999</c:v>
                </c:pt>
                <c:pt idx="48">
                  <c:v>139.78333333333333</c:v>
                </c:pt>
                <c:pt idx="49">
                  <c:v>139.48333333333335</c:v>
                </c:pt>
                <c:pt idx="50">
                  <c:v>144.30000000000001</c:v>
                </c:pt>
                <c:pt idx="51">
                  <c:v>142.23333333333335</c:v>
                </c:pt>
                <c:pt idx="52">
                  <c:v>143.73333333333332</c:v>
                </c:pt>
                <c:pt idx="53">
                  <c:v>146.58333333333334</c:v>
                </c:pt>
                <c:pt idx="54">
                  <c:v>145.93333333333334</c:v>
                </c:pt>
                <c:pt idx="55">
                  <c:v>147.08333333333334</c:v>
                </c:pt>
                <c:pt idx="56">
                  <c:v>153.19999999999999</c:v>
                </c:pt>
                <c:pt idx="57">
                  <c:v>155.85</c:v>
                </c:pt>
                <c:pt idx="58">
                  <c:v>150.31666666666666</c:v>
                </c:pt>
                <c:pt idx="59">
                  <c:v>156.5</c:v>
                </c:pt>
                <c:pt idx="60">
                  <c:v>158.20000000000002</c:v>
                </c:pt>
                <c:pt idx="61">
                  <c:v>161.11666666666667</c:v>
                </c:pt>
                <c:pt idx="62">
                  <c:v>165.38333333333333</c:v>
                </c:pt>
                <c:pt idx="63">
                  <c:v>162.73333333333332</c:v>
                </c:pt>
                <c:pt idx="64">
                  <c:v>161.94999999999999</c:v>
                </c:pt>
                <c:pt idx="65">
                  <c:v>162.81666666666666</c:v>
                </c:pt>
                <c:pt idx="66">
                  <c:v>171.11666666666667</c:v>
                </c:pt>
                <c:pt idx="67">
                  <c:v>171.03333333333333</c:v>
                </c:pt>
                <c:pt idx="68">
                  <c:v>172.83333333333331</c:v>
                </c:pt>
                <c:pt idx="69">
                  <c:v>174.38333333333333</c:v>
                </c:pt>
                <c:pt idx="70">
                  <c:v>180.96666666666664</c:v>
                </c:pt>
                <c:pt idx="71">
                  <c:v>179.16666666666666</c:v>
                </c:pt>
                <c:pt idx="72">
                  <c:v>174.81666666666666</c:v>
                </c:pt>
                <c:pt idx="73">
                  <c:v>178.66666666666666</c:v>
                </c:pt>
                <c:pt idx="74">
                  <c:v>188.58333333333334</c:v>
                </c:pt>
                <c:pt idx="75">
                  <c:v>184.9</c:v>
                </c:pt>
                <c:pt idx="76">
                  <c:v>213.45</c:v>
                </c:pt>
                <c:pt idx="77">
                  <c:v>216.98333333333332</c:v>
                </c:pt>
                <c:pt idx="78">
                  <c:v>227.01666666666665</c:v>
                </c:pt>
                <c:pt idx="79">
                  <c:v>195.9</c:v>
                </c:pt>
                <c:pt idx="80">
                  <c:v>210.48333333333332</c:v>
                </c:pt>
                <c:pt idx="81">
                  <c:v>221.96666666666667</c:v>
                </c:pt>
                <c:pt idx="82">
                  <c:v>259.11666666666667</c:v>
                </c:pt>
                <c:pt idx="83">
                  <c:v>257.85000000000002</c:v>
                </c:pt>
                <c:pt idx="84">
                  <c:v>236.63333333333333</c:v>
                </c:pt>
                <c:pt idx="85">
                  <c:v>274.91666666666663</c:v>
                </c:pt>
                <c:pt idx="86">
                  <c:v>309.68333333333334</c:v>
                </c:pt>
                <c:pt idx="87">
                  <c:v>365.88333333333333</c:v>
                </c:pt>
                <c:pt idx="88">
                  <c:v>395.63333333333338</c:v>
                </c:pt>
                <c:pt idx="89">
                  <c:v>395.7833333333333</c:v>
                </c:pt>
                <c:pt idx="90">
                  <c:v>505.91666666666663</c:v>
                </c:pt>
                <c:pt idx="91">
                  <c:v>340.01666666666671</c:v>
                </c:pt>
                <c:pt idx="92">
                  <c:v>367.2166666666667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2025-49B6-80C6-1EE65224E259}"/>
            </c:ext>
          </c:extLst>
        </c:ser>
        <c:ser>
          <c:idx val="5"/>
          <c:order val="1"/>
          <c:tx>
            <c:strRef>
              <c:f>Marathon!$C$6</c:f>
              <c:strCache>
                <c:ptCount val="1"/>
                <c:pt idx="0">
                  <c:v>2025 Bernhard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Marathon!$C$7:$C$106</c:f>
              <c:numCache>
                <c:formatCode>General</c:formatCode>
                <c:ptCount val="100"/>
                <c:pt idx="3" formatCode="0.000">
                  <c:v>416.65</c:v>
                </c:pt>
                <c:pt idx="4" formatCode="0.000">
                  <c:v>325.14999999999998</c:v>
                </c:pt>
                <c:pt idx="5" formatCode="0.000">
                  <c:v>399.11666666666667</c:v>
                </c:pt>
                <c:pt idx="6" formatCode="0.000">
                  <c:v>244.13333333333333</c:v>
                </c:pt>
                <c:pt idx="7" formatCode="0.000">
                  <c:v>195.33333333333334</c:v>
                </c:pt>
                <c:pt idx="8" formatCode="0.000">
                  <c:v>176.95</c:v>
                </c:pt>
                <c:pt idx="9" formatCode="0.000">
                  <c:v>182.38333333333333</c:v>
                </c:pt>
                <c:pt idx="10" formatCode="0.000">
                  <c:v>170.03333333333333</c:v>
                </c:pt>
                <c:pt idx="11" formatCode="0.000">
                  <c:v>182.31666666666666</c:v>
                </c:pt>
                <c:pt idx="12" formatCode="0.000">
                  <c:v>163.03333333333336</c:v>
                </c:pt>
                <c:pt idx="13" formatCode="0.000">
                  <c:v>161.71666666666664</c:v>
                </c:pt>
                <c:pt idx="14" formatCode="0.000">
                  <c:v>149.18333333333334</c:v>
                </c:pt>
                <c:pt idx="15" formatCode="0.000">
                  <c:v>135.11666666666665</c:v>
                </c:pt>
                <c:pt idx="16" formatCode="0.000">
                  <c:v>130.76666666666668</c:v>
                </c:pt>
                <c:pt idx="17" formatCode="0.000">
                  <c:v>124.53333333333333</c:v>
                </c:pt>
                <c:pt idx="18" formatCode="0.000">
                  <c:v>124.80000000000001</c:v>
                </c:pt>
                <c:pt idx="19" formatCode="0.000">
                  <c:v>124.76666666666667</c:v>
                </c:pt>
                <c:pt idx="20" formatCode="0.000">
                  <c:v>124.38333333333333</c:v>
                </c:pt>
                <c:pt idx="21" formatCode="0.000">
                  <c:v>124.86666666666665</c:v>
                </c:pt>
                <c:pt idx="22" formatCode="0.000">
                  <c:v>120.58333333333333</c:v>
                </c:pt>
                <c:pt idx="23" formatCode="0.000">
                  <c:v>124.03333333333333</c:v>
                </c:pt>
                <c:pt idx="24" formatCode="0.000">
                  <c:v>122.80000000000001</c:v>
                </c:pt>
                <c:pt idx="25" formatCode="0.000">
                  <c:v>123.63333333333335</c:v>
                </c:pt>
                <c:pt idx="26" formatCode="0.000">
                  <c:v>122.91666666666666</c:v>
                </c:pt>
                <c:pt idx="27" formatCode="0.000">
                  <c:v>123.6</c:v>
                </c:pt>
                <c:pt idx="28" formatCode="0.000">
                  <c:v>123.23333333333332</c:v>
                </c:pt>
                <c:pt idx="29" formatCode="0.000">
                  <c:v>122.95000000000002</c:v>
                </c:pt>
                <c:pt idx="30" formatCode="0.000">
                  <c:v>123.08333333333334</c:v>
                </c:pt>
                <c:pt idx="31" formatCode="0.000">
                  <c:v>123.53333333333333</c:v>
                </c:pt>
                <c:pt idx="32" formatCode="0.000">
                  <c:v>121.64999999999999</c:v>
                </c:pt>
                <c:pt idx="33" formatCode="0.000">
                  <c:v>122.61666666666667</c:v>
                </c:pt>
                <c:pt idx="34" formatCode="0.000">
                  <c:v>123.98333333333335</c:v>
                </c:pt>
                <c:pt idx="35" formatCode="0.000">
                  <c:v>125.45</c:v>
                </c:pt>
                <c:pt idx="36" formatCode="0.000">
                  <c:v>121.68333333333332</c:v>
                </c:pt>
                <c:pt idx="37" formatCode="0.000">
                  <c:v>122.69999999999999</c:v>
                </c:pt>
                <c:pt idx="38" formatCode="0.000">
                  <c:v>126.00000000000001</c:v>
                </c:pt>
                <c:pt idx="39" formatCode="0.000">
                  <c:v>125.88333333333334</c:v>
                </c:pt>
                <c:pt idx="40" formatCode="0.000">
                  <c:v>124.25</c:v>
                </c:pt>
                <c:pt idx="41" formatCode="0.000">
                  <c:v>127.83333333333333</c:v>
                </c:pt>
                <c:pt idx="42" formatCode="0.000">
                  <c:v>129.06666666666666</c:v>
                </c:pt>
                <c:pt idx="43" formatCode="0.000">
                  <c:v>129.14999999999998</c:v>
                </c:pt>
                <c:pt idx="44" formatCode="0.000">
                  <c:v>132.78333333333333</c:v>
                </c:pt>
                <c:pt idx="45" formatCode="0.000">
                  <c:v>135.4</c:v>
                </c:pt>
                <c:pt idx="46" formatCode="0.000">
                  <c:v>136.33333333333334</c:v>
                </c:pt>
                <c:pt idx="47" formatCode="0.000">
                  <c:v>138.94999999999999</c:v>
                </c:pt>
                <c:pt idx="48" formatCode="0.000">
                  <c:v>139.78333333333333</c:v>
                </c:pt>
                <c:pt idx="49" formatCode="0.000">
                  <c:v>139.48333333333335</c:v>
                </c:pt>
                <c:pt idx="50" formatCode="0.000">
                  <c:v>144.30000000000001</c:v>
                </c:pt>
                <c:pt idx="51" formatCode="0.000">
                  <c:v>142.23333333333335</c:v>
                </c:pt>
                <c:pt idx="52" formatCode="0.000">
                  <c:v>143.73333333333332</c:v>
                </c:pt>
                <c:pt idx="53" formatCode="0.000">
                  <c:v>146.58333333333334</c:v>
                </c:pt>
                <c:pt idx="54" formatCode="0.000">
                  <c:v>145.93333333333334</c:v>
                </c:pt>
                <c:pt idx="55" formatCode="0.000">
                  <c:v>147.08333333333334</c:v>
                </c:pt>
                <c:pt idx="56" formatCode="0.000">
                  <c:v>153.19999999999999</c:v>
                </c:pt>
                <c:pt idx="57" formatCode="0.000">
                  <c:v>155.85</c:v>
                </c:pt>
                <c:pt idx="58" formatCode="0.000">
                  <c:v>150.31666666666666</c:v>
                </c:pt>
                <c:pt idx="59" formatCode="0.000">
                  <c:v>156.5</c:v>
                </c:pt>
                <c:pt idx="60" formatCode="0.000">
                  <c:v>158.20000000000002</c:v>
                </c:pt>
                <c:pt idx="61" formatCode="0.000">
                  <c:v>161.11666666666667</c:v>
                </c:pt>
                <c:pt idx="62" formatCode="0.000">
                  <c:v>165.38333333333333</c:v>
                </c:pt>
                <c:pt idx="63" formatCode="0.000">
                  <c:v>162.73333333333332</c:v>
                </c:pt>
                <c:pt idx="64" formatCode="0.000">
                  <c:v>161.94999999999999</c:v>
                </c:pt>
                <c:pt idx="65" formatCode="0.000">
                  <c:v>162.81666666666666</c:v>
                </c:pt>
                <c:pt idx="66" formatCode="0.000">
                  <c:v>171.11666666666667</c:v>
                </c:pt>
                <c:pt idx="67" formatCode="0.000">
                  <c:v>171.03333333333333</c:v>
                </c:pt>
                <c:pt idx="68" formatCode="0.000">
                  <c:v>172.83333333333331</c:v>
                </c:pt>
                <c:pt idx="69" formatCode="0.000">
                  <c:v>174.38333333333333</c:v>
                </c:pt>
                <c:pt idx="70" formatCode="0.000">
                  <c:v>180.96666666666664</c:v>
                </c:pt>
                <c:pt idx="71" formatCode="0.000">
                  <c:v>179.16666666666666</c:v>
                </c:pt>
                <c:pt idx="72" formatCode="0.000">
                  <c:v>174.81666666666666</c:v>
                </c:pt>
                <c:pt idx="73" formatCode="0.000">
                  <c:v>178.66666666666666</c:v>
                </c:pt>
                <c:pt idx="74" formatCode="0.000">
                  <c:v>188.58333333333334</c:v>
                </c:pt>
                <c:pt idx="75" formatCode="0.000">
                  <c:v>184.9</c:v>
                </c:pt>
                <c:pt idx="76" formatCode="0.000">
                  <c:v>213.45</c:v>
                </c:pt>
                <c:pt idx="77" formatCode="0.000">
                  <c:v>216.98333333333332</c:v>
                </c:pt>
                <c:pt idx="78" formatCode="0.000">
                  <c:v>227.01666666666665</c:v>
                </c:pt>
                <c:pt idx="79" formatCode="0.000">
                  <c:v>195.9</c:v>
                </c:pt>
                <c:pt idx="80" formatCode="0.000">
                  <c:v>210.48333333333332</c:v>
                </c:pt>
                <c:pt idx="81" formatCode="0.000">
                  <c:v>221.96666666666667</c:v>
                </c:pt>
                <c:pt idx="82" formatCode="0.000">
                  <c:v>259.11666666666667</c:v>
                </c:pt>
                <c:pt idx="83" formatCode="0.000">
                  <c:v>257.85000000000002</c:v>
                </c:pt>
                <c:pt idx="84" formatCode="0.000">
                  <c:v>236.63333333333333</c:v>
                </c:pt>
                <c:pt idx="85" formatCode="0.000">
                  <c:v>274.91666666666663</c:v>
                </c:pt>
                <c:pt idx="86" formatCode="0.000">
                  <c:v>309.68333333333334</c:v>
                </c:pt>
                <c:pt idx="87" formatCode="0.000">
                  <c:v>365.88333333333333</c:v>
                </c:pt>
                <c:pt idx="88" formatCode="0.000">
                  <c:v>395.63333333333338</c:v>
                </c:pt>
                <c:pt idx="89" formatCode="0.000">
                  <c:v>395.7833333333333</c:v>
                </c:pt>
                <c:pt idx="90" formatCode="0.000">
                  <c:v>505.91666666666663</c:v>
                </c:pt>
                <c:pt idx="91" formatCode="0.000">
                  <c:v>340.01666666666671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25-49B6-80C6-1EE65224E259}"/>
            </c:ext>
          </c:extLst>
        </c:ser>
        <c:ser>
          <c:idx val="3"/>
          <c:order val="2"/>
          <c:tx>
            <c:strRef>
              <c:f>Marathon!$F$6</c:f>
              <c:strCache>
                <c:ptCount val="1"/>
                <c:pt idx="0">
                  <c:v>2020 Age-Grade Standards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Marathon!$F$7:$F$106</c:f>
              <c:numCache>
                <c:formatCode>0.000</c:formatCode>
                <c:ptCount val="100"/>
                <c:pt idx="2">
                  <c:v>250.51482701812188</c:v>
                </c:pt>
                <c:pt idx="3">
                  <c:v>222.15120525931337</c:v>
                </c:pt>
                <c:pt idx="4">
                  <c:v>200.87516512549536</c:v>
                </c:pt>
                <c:pt idx="5">
                  <c:v>184.42995755003031</c:v>
                </c:pt>
                <c:pt idx="6">
                  <c:v>171.43461104847799</c:v>
                </c:pt>
                <c:pt idx="7">
                  <c:v>160.99788247750129</c:v>
                </c:pt>
                <c:pt idx="8">
                  <c:v>152.52006018054161</c:v>
                </c:pt>
                <c:pt idx="9">
                  <c:v>145.58401148875058</c:v>
                </c:pt>
                <c:pt idx="10">
                  <c:v>139.89190432382705</c:v>
                </c:pt>
                <c:pt idx="11">
                  <c:v>135.22676745220099</c:v>
                </c:pt>
                <c:pt idx="12">
                  <c:v>131.42826274848747</c:v>
                </c:pt>
                <c:pt idx="13">
                  <c:v>128.37695230054874</c:v>
                </c:pt>
                <c:pt idx="14">
                  <c:v>125.98384424192211</c:v>
                </c:pt>
                <c:pt idx="15">
                  <c:v>124.18334013883216</c:v>
                </c:pt>
                <c:pt idx="16">
                  <c:v>122.68051633723275</c:v>
                </c:pt>
                <c:pt idx="17">
                  <c:v>121.73347438243366</c:v>
                </c:pt>
                <c:pt idx="18">
                  <c:v>121.64999999999999</c:v>
                </c:pt>
                <c:pt idx="19">
                  <c:v>121.64999999999999</c:v>
                </c:pt>
                <c:pt idx="20">
                  <c:v>121.64999999999999</c:v>
                </c:pt>
                <c:pt idx="21">
                  <c:v>121.64999999999999</c:v>
                </c:pt>
                <c:pt idx="22">
                  <c:v>121.64999999999999</c:v>
                </c:pt>
                <c:pt idx="23">
                  <c:v>121.64999999999999</c:v>
                </c:pt>
                <c:pt idx="24">
                  <c:v>121.64999999999999</c:v>
                </c:pt>
                <c:pt idx="25">
                  <c:v>121.64999999999999</c:v>
                </c:pt>
                <c:pt idx="26">
                  <c:v>121.64999999999999</c:v>
                </c:pt>
                <c:pt idx="27">
                  <c:v>121.64999999999999</c:v>
                </c:pt>
                <c:pt idx="28">
                  <c:v>121.64999999999999</c:v>
                </c:pt>
                <c:pt idx="29">
                  <c:v>121.64999999999999</c:v>
                </c:pt>
                <c:pt idx="30">
                  <c:v>121.64999999999999</c:v>
                </c:pt>
                <c:pt idx="31">
                  <c:v>121.67390955041175</c:v>
                </c:pt>
                <c:pt idx="32">
                  <c:v>121.79115343567413</c:v>
                </c:pt>
                <c:pt idx="33">
                  <c:v>122.00668844035674</c:v>
                </c:pt>
                <c:pt idx="34">
                  <c:v>122.32155923169904</c:v>
                </c:pt>
                <c:pt idx="35">
                  <c:v>122.73730192038649</c:v>
                </c:pt>
                <c:pt idx="36">
                  <c:v>123.25596293370468</c:v>
                </c:pt>
                <c:pt idx="37">
                  <c:v>123.88012448304019</c:v>
                </c:pt>
                <c:pt idx="38">
                  <c:v>124.61293722441846</c:v>
                </c:pt>
                <c:pt idx="39">
                  <c:v>125.45816089598605</c:v>
                </c:pt>
                <c:pt idx="40">
                  <c:v>126.42021393230776</c:v>
                </c:pt>
                <c:pt idx="41">
                  <c:v>127.45066197863355</c:v>
                </c:pt>
                <c:pt idx="42">
                  <c:v>128.49804638605187</c:v>
                </c:pt>
                <c:pt idx="43">
                  <c:v>129.56278816137996</c:v>
                </c:pt>
                <c:pt idx="44">
                  <c:v>130.64532238196546</c:v>
                </c:pt>
                <c:pt idx="45">
                  <c:v>131.74609878845573</c:v>
                </c:pt>
                <c:pt idx="46">
                  <c:v>132.86558240778865</c:v>
                </c:pt>
                <c:pt idx="47">
                  <c:v>134.00425420821824</c:v>
                </c:pt>
                <c:pt idx="48">
                  <c:v>135.162611788313</c:v>
                </c:pt>
                <c:pt idx="49">
                  <c:v>136.34117010200089</c:v>
                </c:pt>
                <c:pt idx="50">
                  <c:v>137.54046222188052</c:v>
                </c:pt>
                <c:pt idx="51">
                  <c:v>138.76104014317536</c:v>
                </c:pt>
                <c:pt idx="52">
                  <c:v>140.0034756308788</c:v>
                </c:pt>
                <c:pt idx="53">
                  <c:v>141.26836111282074</c:v>
                </c:pt>
                <c:pt idx="54">
                  <c:v>142.55631062158767</c:v>
                </c:pt>
                <c:pt idx="55">
                  <c:v>143.86796078844137</c:v>
                </c:pt>
                <c:pt idx="56">
                  <c:v>145.20397189261709</c:v>
                </c:pt>
                <c:pt idx="57">
                  <c:v>146.56502896963516</c:v>
                </c:pt>
                <c:pt idx="58">
                  <c:v>147.951842982534</c:v>
                </c:pt>
                <c:pt idx="59">
                  <c:v>149.36515206023228</c:v>
                </c:pt>
                <c:pt idx="60">
                  <c:v>150.80572280755254</c:v>
                </c:pt>
                <c:pt idx="61">
                  <c:v>152.2743516917912</c:v>
                </c:pt>
                <c:pt idx="62">
                  <c:v>153.77186651110404</c:v>
                </c:pt>
                <c:pt idx="63">
                  <c:v>155.29912795039618</c:v>
                </c:pt>
                <c:pt idx="64">
                  <c:v>156.85703123086029</c:v>
                </c:pt>
                <c:pt idx="65">
                  <c:v>158.44650785980639</c:v>
                </c:pt>
                <c:pt idx="66">
                  <c:v>160.06852748797019</c:v>
                </c:pt>
                <c:pt idx="67">
                  <c:v>161.72409988208031</c:v>
                </c:pt>
                <c:pt idx="68">
                  <c:v>163.41427702111827</c:v>
                </c:pt>
                <c:pt idx="69">
                  <c:v>165.14015532541364</c:v>
                </c:pt>
                <c:pt idx="70">
                  <c:v>166.96782180765825</c:v>
                </c:pt>
                <c:pt idx="71">
                  <c:v>168.99976174715053</c:v>
                </c:pt>
                <c:pt idx="72">
                  <c:v>171.25035281232775</c:v>
                </c:pt>
                <c:pt idx="73">
                  <c:v>173.73520697911391</c:v>
                </c:pt>
                <c:pt idx="74">
                  <c:v>176.47225222258567</c:v>
                </c:pt>
                <c:pt idx="75">
                  <c:v>179.48209125775412</c:v>
                </c:pt>
                <c:pt idx="76">
                  <c:v>182.78843647143941</c:v>
                </c:pt>
                <c:pt idx="77">
                  <c:v>186.41863971858677</c:v>
                </c:pt>
                <c:pt idx="78">
                  <c:v>190.40434118767541</c:v>
                </c:pt>
                <c:pt idx="79">
                  <c:v>194.78226896925514</c:v>
                </c:pt>
                <c:pt idx="80">
                  <c:v>199.59523104399054</c:v>
                </c:pt>
                <c:pt idx="81">
                  <c:v>204.89335524027598</c:v>
                </c:pt>
                <c:pt idx="82">
                  <c:v>210.73565191632591</c:v>
                </c:pt>
                <c:pt idx="83">
                  <c:v>217.19200112122138</c:v>
                </c:pt>
                <c:pt idx="84">
                  <c:v>224.34570446672021</c:v>
                </c:pt>
                <c:pt idx="85">
                  <c:v>232.29679758861985</c:v>
                </c:pt>
                <c:pt idx="86">
                  <c:v>241.16640085166534</c:v>
                </c:pt>
                <c:pt idx="87">
                  <c:v>251.10250823849475</c:v>
                </c:pt>
                <c:pt idx="88">
                  <c:v>262.28780076045138</c:v>
                </c:pt>
                <c:pt idx="89">
                  <c:v>274.95036089353789</c:v>
                </c:pt>
                <c:pt idx="90">
                  <c:v>289.37862689663132</c:v>
                </c:pt>
                <c:pt idx="91">
                  <c:v>305.94268195919011</c:v>
                </c:pt>
                <c:pt idx="92">
                  <c:v>325.12524604885306</c:v>
                </c:pt>
                <c:pt idx="93">
                  <c:v>347.56795289189972</c:v>
                </c:pt>
                <c:pt idx="94">
                  <c:v>374.14249400649271</c:v>
                </c:pt>
                <c:pt idx="95">
                  <c:v>406.06375184214096</c:v>
                </c:pt>
                <c:pt idx="96">
                  <c:v>445.07698752577102</c:v>
                </c:pt>
                <c:pt idx="97">
                  <c:v>493.78256113425897</c:v>
                </c:pt>
                <c:pt idx="98">
                  <c:v>556.23252485671253</c:v>
                </c:pt>
                <c:pt idx="99">
                  <c:v>639.10771841434075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04-430B-95C2-CE77AF2AAB0D}"/>
            </c:ext>
          </c:extLst>
        </c:ser>
        <c:ser>
          <c:idx val="2"/>
          <c:order val="3"/>
          <c:tx>
            <c:strRef>
              <c:f>Marathon!$D$6</c:f>
              <c:strCache>
                <c:ptCount val="1"/>
                <c:pt idx="0">
                  <c:v>Proposed 2025 Age-Grade Standards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Marathon!$D$7:$D$105</c:f>
              <c:numCache>
                <c:formatCode>General</c:formatCode>
                <c:ptCount val="99"/>
                <c:pt idx="2" formatCode="0.000">
                  <c:v>409.03437358661239</c:v>
                </c:pt>
                <c:pt idx="3" formatCode="0.000">
                  <c:v>325.636871005491</c:v>
                </c:pt>
                <c:pt idx="4" formatCode="0.000">
                  <c:v>273.1838090922821</c:v>
                </c:pt>
                <c:pt idx="5" formatCode="0.000">
                  <c:v>237.36876640419948</c:v>
                </c:pt>
                <c:pt idx="6" formatCode="0.000">
                  <c:v>211.47550567052494</c:v>
                </c:pt>
                <c:pt idx="7" formatCode="0.000">
                  <c:v>192.04225725964855</c:v>
                </c:pt>
                <c:pt idx="8" formatCode="0.000">
                  <c:v>177.01605010765314</c:v>
                </c:pt>
                <c:pt idx="9" formatCode="0.000">
                  <c:v>165.16002374104005</c:v>
                </c:pt>
                <c:pt idx="10" formatCode="0.000">
                  <c:v>155.6918442005595</c:v>
                </c:pt>
                <c:pt idx="11" formatCode="0.000">
                  <c:v>148.04583589113975</c:v>
                </c:pt>
                <c:pt idx="12" formatCode="0.000">
                  <c:v>141.86274509803923</c:v>
                </c:pt>
                <c:pt idx="13" formatCode="0.000">
                  <c:v>136.8554458442099</c:v>
                </c:pt>
                <c:pt idx="14" formatCode="0.000">
                  <c:v>132.83028567232134</c:v>
                </c:pt>
                <c:pt idx="15" formatCode="0.000">
                  <c:v>129.65949820788529</c:v>
                </c:pt>
                <c:pt idx="16" formatCode="0.000">
                  <c:v>126.92982456140351</c:v>
                </c:pt>
                <c:pt idx="17" formatCode="0.000">
                  <c:v>124.56955922865014</c:v>
                </c:pt>
                <c:pt idx="18" formatCode="0.000">
                  <c:v>122.79361846571622</c:v>
                </c:pt>
                <c:pt idx="19" formatCode="0.000">
                  <c:v>121.55577956989247</c:v>
                </c:pt>
                <c:pt idx="20" formatCode="0.000">
                  <c:v>120.82498329993319</c:v>
                </c:pt>
                <c:pt idx="21" formatCode="0.000">
                  <c:v>120.58333333333333</c:v>
                </c:pt>
                <c:pt idx="22" formatCode="0.000">
                  <c:v>120.58333333333333</c:v>
                </c:pt>
                <c:pt idx="23" formatCode="0.000">
                  <c:v>120.58333333333333</c:v>
                </c:pt>
                <c:pt idx="24" formatCode="0.000">
                  <c:v>120.58333333333333</c:v>
                </c:pt>
                <c:pt idx="25" formatCode="0.000">
                  <c:v>120.58333333333333</c:v>
                </c:pt>
                <c:pt idx="26" formatCode="0.000">
                  <c:v>120.58333333333333</c:v>
                </c:pt>
                <c:pt idx="27" formatCode="0.000">
                  <c:v>120.58333333333333</c:v>
                </c:pt>
                <c:pt idx="28" formatCode="0.000">
                  <c:v>120.58333333333333</c:v>
                </c:pt>
                <c:pt idx="29" formatCode="0.000">
                  <c:v>120.58333333333333</c:v>
                </c:pt>
                <c:pt idx="30" formatCode="0.000">
                  <c:v>120.58333333333333</c:v>
                </c:pt>
                <c:pt idx="31" formatCode="0.000">
                  <c:v>120.58333333333333</c:v>
                </c:pt>
                <c:pt idx="32" formatCode="0.000">
                  <c:v>120.58333333333333</c:v>
                </c:pt>
                <c:pt idx="33" formatCode="0.000">
                  <c:v>120.58333333333333</c:v>
                </c:pt>
                <c:pt idx="34" formatCode="0.000">
                  <c:v>120.58333333333333</c:v>
                </c:pt>
                <c:pt idx="35" formatCode="0.000">
                  <c:v>120.69195609381777</c:v>
                </c:pt>
                <c:pt idx="36" formatCode="0.000">
                  <c:v>121.00685733400233</c:v>
                </c:pt>
                <c:pt idx="37" formatCode="0.000">
                  <c:v>121.5435271981991</c:v>
                </c:pt>
                <c:pt idx="38" formatCode="0.000">
                  <c:v>122.29546991210277</c:v>
                </c:pt>
                <c:pt idx="39" formatCode="0.000">
                  <c:v>123.25803264165729</c:v>
                </c:pt>
                <c:pt idx="40" formatCode="0.000">
                  <c:v>124.2999003539154</c:v>
                </c:pt>
                <c:pt idx="41" formatCode="0.000">
                  <c:v>125.35953148282913</c:v>
                </c:pt>
                <c:pt idx="42" formatCode="0.000">
                  <c:v>126.43738422285135</c:v>
                </c:pt>
                <c:pt idx="43" formatCode="0.000">
                  <c:v>127.53393266349373</c:v>
                </c:pt>
                <c:pt idx="44" formatCode="0.000">
                  <c:v>128.64966748461893</c:v>
                </c:pt>
                <c:pt idx="45" formatCode="0.000">
                  <c:v>129.78509668855165</c:v>
                </c:pt>
                <c:pt idx="46" formatCode="0.000">
                  <c:v>130.94074637130342</c:v>
                </c:pt>
                <c:pt idx="47" formatCode="0.000">
                  <c:v>132.11716153537125</c:v>
                </c:pt>
                <c:pt idx="48" formatCode="0.000">
                  <c:v>133.31490694674775</c:v>
                </c:pt>
                <c:pt idx="49" formatCode="0.000">
                  <c:v>134.53456803897504</c:v>
                </c:pt>
                <c:pt idx="50" formatCode="0.000">
                  <c:v>135.7767518672822</c:v>
                </c:pt>
                <c:pt idx="51" formatCode="0.000">
                  <c:v>137.04208811607378</c:v>
                </c:pt>
                <c:pt idx="52" formatCode="0.000">
                  <c:v>138.33123016328247</c:v>
                </c:pt>
                <c:pt idx="53" formatCode="0.000">
                  <c:v>139.64485620536576</c:v>
                </c:pt>
                <c:pt idx="54" formatCode="0.000">
                  <c:v>140.98367044701664</c:v>
                </c:pt>
                <c:pt idx="55" formatCode="0.000">
                  <c:v>142.34840435997324</c:v>
                </c:pt>
                <c:pt idx="56" formatCode="0.000">
                  <c:v>143.73981801565543</c:v>
                </c:pt>
                <c:pt idx="57" formatCode="0.000">
                  <c:v>145.15870149672966</c:v>
                </c:pt>
                <c:pt idx="58" formatCode="0.000">
                  <c:v>146.60587639311044</c:v>
                </c:pt>
                <c:pt idx="59" formatCode="0.000">
                  <c:v>148.0821973883499</c:v>
                </c:pt>
                <c:pt idx="60" formatCode="0.000">
                  <c:v>149.5885539428524</c:v>
                </c:pt>
                <c:pt idx="61" formatCode="0.000">
                  <c:v>151.12587208087896</c:v>
                </c:pt>
                <c:pt idx="62" formatCode="0.000">
                  <c:v>152.69511628888608</c:v>
                </c:pt>
                <c:pt idx="63" formatCode="0.000">
                  <c:v>154.29729153337598</c:v>
                </c:pt>
                <c:pt idx="64" formatCode="0.000">
                  <c:v>155.93344540712962</c:v>
                </c:pt>
                <c:pt idx="65" formatCode="0.000">
                  <c:v>157.60467041345356</c:v>
                </c:pt>
                <c:pt idx="66" formatCode="0.000">
                  <c:v>159.31210639890782</c:v>
                </c:pt>
                <c:pt idx="67" formatCode="0.000">
                  <c:v>161.05694314589732</c:v>
                </c:pt>
                <c:pt idx="68" formatCode="0.000">
                  <c:v>162.84042313751968</c:v>
                </c:pt>
                <c:pt idx="69" formatCode="0.000">
                  <c:v>164.6638445081706</c:v>
                </c:pt>
                <c:pt idx="70" formatCode="0.000">
                  <c:v>166.52856419463242</c:v>
                </c:pt>
                <c:pt idx="71" formatCode="0.000">
                  <c:v>168.5537228590066</c:v>
                </c:pt>
                <c:pt idx="72" formatCode="0.000">
                  <c:v>170.84632095966751</c:v>
                </c:pt>
                <c:pt idx="73" formatCode="0.000">
                  <c:v>173.40139967404849</c:v>
                </c:pt>
                <c:pt idx="74" formatCode="0.000">
                  <c:v>176.23989087011594</c:v>
                </c:pt>
                <c:pt idx="75" formatCode="0.000">
                  <c:v>179.41278579576451</c:v>
                </c:pt>
                <c:pt idx="76" formatCode="0.000">
                  <c:v>182.92374595469255</c:v>
                </c:pt>
                <c:pt idx="77" formatCode="0.000">
                  <c:v>186.80609346759618</c:v>
                </c:pt>
                <c:pt idx="78" formatCode="0.000">
                  <c:v>191.12907486659267</c:v>
                </c:pt>
                <c:pt idx="79" formatCode="0.000">
                  <c:v>195.91118331979419</c:v>
                </c:pt>
                <c:pt idx="80" formatCode="0.000">
                  <c:v>201.24054294615044</c:v>
                </c:pt>
                <c:pt idx="81" formatCode="0.000">
                  <c:v>207.15226478840978</c:v>
                </c:pt>
                <c:pt idx="82" formatCode="0.000">
                  <c:v>213.72444759541531</c:v>
                </c:pt>
                <c:pt idx="83" formatCode="0.000">
                  <c:v>221.09155359980443</c:v>
                </c:pt>
                <c:pt idx="84" formatCode="0.000">
                  <c:v>229.33307975148978</c:v>
                </c:pt>
                <c:pt idx="85" formatCode="0.000">
                  <c:v>238.63711326604658</c:v>
                </c:pt>
                <c:pt idx="86" formatCode="0.000">
                  <c:v>249.13911845730027</c:v>
                </c:pt>
                <c:pt idx="87" formatCode="0.000">
                  <c:v>261.05939236486972</c:v>
                </c:pt>
                <c:pt idx="88" formatCode="0.000">
                  <c:v>274.73988000303785</c:v>
                </c:pt>
                <c:pt idx="89" formatCode="0.000">
                  <c:v>290.56224899598396</c:v>
                </c:pt>
                <c:pt idx="90" formatCode="0.000">
                  <c:v>308.87124316939889</c:v>
                </c:pt>
                <c:pt idx="91" formatCode="0.000">
                  <c:v>330.45583264821408</c:v>
                </c:pt>
                <c:pt idx="92" formatCode="0.000">
                  <c:v>356.2284588872476</c:v>
                </c:pt>
                <c:pt idx="93" formatCode="0.000">
                  <c:v>387.22971526439733</c:v>
                </c:pt>
                <c:pt idx="94" formatCode="0.000">
                  <c:v>425.63831038945756</c:v>
                </c:pt>
                <c:pt idx="95" formatCode="0.000">
                  <c:v>473.80484610347082</c:v>
                </c:pt>
                <c:pt idx="96" formatCode="0.000">
                  <c:v>536.40272835112694</c:v>
                </c:pt>
                <c:pt idx="97" formatCode="0.000">
                  <c:v>620.92344661860614</c:v>
                </c:pt>
                <c:pt idx="98" formatCode="0.000">
                  <c:v>740.68386568386563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25-49B6-80C6-1EE65224E259}"/>
            </c:ext>
          </c:extLst>
        </c:ser>
        <c:ser>
          <c:idx val="0"/>
          <c:order val="4"/>
          <c:tx>
            <c:v>World Record</c:v>
          </c:tx>
          <c:spPr>
            <a:ln w="28575">
              <a:noFill/>
            </a:ln>
          </c:spPr>
          <c:marker>
            <c:symbol val="diamond"/>
            <c:size val="14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Marathon!$A$32</c:f>
              <c:numCache>
                <c:formatCode>General</c:formatCode>
                <c:ptCount val="1"/>
                <c:pt idx="0">
                  <c:v>26</c:v>
                </c:pt>
              </c:numCache>
            </c:numRef>
          </c:xVal>
          <c:yVal>
            <c:numRef>
              <c:f>Marathon!$C$32</c:f>
              <c:numCache>
                <c:formatCode>0.000</c:formatCode>
                <c:ptCount val="1"/>
                <c:pt idx="0">
                  <c:v>123.63333333333335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F4-4257-8A7F-45758B9B0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32032"/>
        <c:axId val="143533952"/>
        <c:extLst/>
      </c:scatterChart>
      <c:valAx>
        <c:axId val="14353203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152563307452968"/>
              <c:y val="0.928808659248172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33952"/>
        <c:crosses val="autoZero"/>
        <c:crossBetween val="midCat"/>
        <c:majorUnit val="10"/>
        <c:minorUnit val="5"/>
      </c:valAx>
      <c:valAx>
        <c:axId val="143533952"/>
        <c:scaling>
          <c:orientation val="minMax"/>
          <c:max val="450"/>
          <c:min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(minutes)</a:t>
                </a:r>
              </a:p>
            </c:rich>
          </c:tx>
          <c:layout>
            <c:manualLayout>
              <c:xMode val="edge"/>
              <c:yMode val="edge"/>
              <c:x val="4.9850448654037887E-3"/>
              <c:y val="0.420530227110040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32032"/>
        <c:crosses val="autoZero"/>
        <c:crossBetween val="midCat"/>
        <c:majorUnit val="100"/>
        <c:minorUnit val="25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8843512549378869"/>
          <c:y val="0.19869519611328082"/>
          <c:w val="0.39726931670645604"/>
          <c:h val="0.221072354096693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'50K'!$A$1:$A$1</c:f>
          <c:strCache>
            <c:ptCount val="1"/>
            <c:pt idx="0">
              <c:v>Male 50 km Road</c:v>
            </c:pt>
          </c:strCache>
        </c:strRef>
      </c:tx>
      <c:layout>
        <c:manualLayout>
          <c:xMode val="edge"/>
          <c:yMode val="edge"/>
          <c:x val="0.33253588516746413"/>
          <c:y val="3.067484662576687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143540669856461E-2"/>
          <c:y val="0.22085933677494082"/>
          <c:w val="0.87081339712918659"/>
          <c:h val="0.67075798576093149"/>
        </c:manualLayout>
      </c:layout>
      <c:scatterChart>
        <c:scatterStyle val="lineMarker"/>
        <c:varyColors val="0"/>
        <c:ser>
          <c:idx val="4"/>
          <c:order val="0"/>
          <c:tx>
            <c:v>World Ultra records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'50K'!$C$7:$C$96</c:f>
              <c:numCache>
                <c:formatCode>General</c:formatCode>
                <c:ptCount val="90"/>
                <c:pt idx="26" formatCode="0.0">
                  <c:v>188.65</c:v>
                </c:pt>
                <c:pt idx="34" formatCode="0.0">
                  <c:v>208.56666666666669</c:v>
                </c:pt>
                <c:pt idx="39" formatCode="0.0">
                  <c:v>217.41666666666666</c:v>
                </c:pt>
                <c:pt idx="44" formatCode="0.0">
                  <c:v>219.61666666666665</c:v>
                </c:pt>
                <c:pt idx="46" formatCode="0.0">
                  <c:v>212.56666666666666</c:v>
                </c:pt>
                <c:pt idx="49" formatCode="0.0">
                  <c:v>226.95</c:v>
                </c:pt>
                <c:pt idx="54" formatCode="0.0">
                  <c:v>236.91666666666669</c:v>
                </c:pt>
                <c:pt idx="59" formatCode="0.0">
                  <c:v>264.46666666666664</c:v>
                </c:pt>
                <c:pt idx="64" formatCode="0.0">
                  <c:v>278.36666666666667</c:v>
                </c:pt>
                <c:pt idx="66" formatCode="0.0">
                  <c:v>290.83333333333331</c:v>
                </c:pt>
                <c:pt idx="69" formatCode="0.0">
                  <c:v>313.95</c:v>
                </c:pt>
                <c:pt idx="79" formatCode="0.0">
                  <c:v>0</c:v>
                </c:pt>
                <c:pt idx="84" formatCode="0.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73-4551-ADCB-C403CE7BC31D}"/>
            </c:ext>
          </c:extLst>
        </c:ser>
        <c:ser>
          <c:idx val="0"/>
          <c:order val="1"/>
          <c:tx>
            <c:strRef>
              <c:f>'50K'!$D$6</c:f>
              <c:strCache>
                <c:ptCount val="1"/>
                <c:pt idx="0">
                  <c:v>Proposed Standards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'50K'!$A$7:$A$105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'50K'!$D$7:$D$106</c:f>
              <c:numCache>
                <c:formatCode>General</c:formatCode>
                <c:ptCount val="100"/>
                <c:pt idx="3" formatCode="0.0">
                  <c:v>213.07435860269607</c:v>
                </c:pt>
                <c:pt idx="4" formatCode="0.0">
                  <c:v>202.75862068965517</c:v>
                </c:pt>
                <c:pt idx="5" formatCode="0.0">
                  <c:v>193.95698640981661</c:v>
                </c:pt>
                <c:pt idx="6" formatCode="0.0">
                  <c:v>186.40628962718742</c:v>
                </c:pt>
                <c:pt idx="7" formatCode="0.0">
                  <c:v>179.9045404479256</c:v>
                </c:pt>
                <c:pt idx="8" formatCode="0.0">
                  <c:v>174.29452217216033</c:v>
                </c:pt>
                <c:pt idx="9" formatCode="0.0">
                  <c:v>169.45244956772336</c:v>
                </c:pt>
                <c:pt idx="10" formatCode="0.0">
                  <c:v>165.27996402068811</c:v>
                </c:pt>
                <c:pt idx="11" formatCode="0.0">
                  <c:v>161.69838301616983</c:v>
                </c:pt>
                <c:pt idx="12" formatCode="0.0">
                  <c:v>158.6445067990503</c:v>
                </c:pt>
                <c:pt idx="13" formatCode="0.0">
                  <c:v>156.06752309162331</c:v>
                </c:pt>
                <c:pt idx="14" formatCode="0.0">
                  <c:v>153.92670157068062</c:v>
                </c:pt>
                <c:pt idx="15" formatCode="0.0">
                  <c:v>152.01654601861426</c:v>
                </c:pt>
                <c:pt idx="16" formatCode="0.0">
                  <c:v>150.15321756894789</c:v>
                </c:pt>
                <c:pt idx="17" formatCode="0.0">
                  <c:v>148.59205776173286</c:v>
                </c:pt>
                <c:pt idx="18" formatCode="0.0">
                  <c:v>147.56919546823462</c:v>
                </c:pt>
                <c:pt idx="19" formatCode="0.0">
                  <c:v>147.06302701157639</c:v>
                </c:pt>
                <c:pt idx="20" formatCode="0.0">
                  <c:v>147</c:v>
                </c:pt>
                <c:pt idx="21" formatCode="0.0">
                  <c:v>147</c:v>
                </c:pt>
                <c:pt idx="22" formatCode="0.0">
                  <c:v>147</c:v>
                </c:pt>
                <c:pt idx="23" formatCode="0.0">
                  <c:v>147</c:v>
                </c:pt>
                <c:pt idx="24" formatCode="0.0">
                  <c:v>147</c:v>
                </c:pt>
                <c:pt idx="25" formatCode="0.0">
                  <c:v>147</c:v>
                </c:pt>
                <c:pt idx="26" formatCode="0.0">
                  <c:v>147</c:v>
                </c:pt>
                <c:pt idx="27" formatCode="0.0">
                  <c:v>147.15092402464066</c:v>
                </c:pt>
                <c:pt idx="28" formatCode="0.0">
                  <c:v>147.34001542020047</c:v>
                </c:pt>
                <c:pt idx="29" formatCode="0.0">
                  <c:v>147.60556127703398</c:v>
                </c:pt>
                <c:pt idx="30" formatCode="0.0">
                  <c:v>147.94838709677418</c:v>
                </c:pt>
                <c:pt idx="31" formatCode="0.0">
                  <c:v>148.36956521739131</c:v>
                </c:pt>
                <c:pt idx="32" formatCode="0.0">
                  <c:v>148.87042326668399</c:v>
                </c:pt>
                <c:pt idx="33" formatCode="0.0">
                  <c:v>149.45255474452554</c:v>
                </c:pt>
                <c:pt idx="34" formatCode="0.0">
                  <c:v>150.11783189316574</c:v>
                </c:pt>
                <c:pt idx="35" formatCode="0.0">
                  <c:v>150.86842105263159</c:v>
                </c:pt>
                <c:pt idx="36" formatCode="0.0">
                  <c:v>151.70680074093676</c:v>
                </c:pt>
                <c:pt idx="37" formatCode="0.0">
                  <c:v>152.63578274760383</c:v>
                </c:pt>
                <c:pt idx="38" formatCode="0.0">
                  <c:v>153.65853658536585</c:v>
                </c:pt>
                <c:pt idx="39" formatCode="0.0">
                  <c:v>154.77861771058315</c:v>
                </c:pt>
                <c:pt idx="40" formatCode="0.0">
                  <c:v>156</c:v>
                </c:pt>
                <c:pt idx="41" formatCode="0.0">
                  <c:v>157.3271130625686</c:v>
                </c:pt>
                <c:pt idx="42" formatCode="0.0">
                  <c:v>158.76488507338686</c:v>
                </c:pt>
                <c:pt idx="43" formatCode="0.0">
                  <c:v>160.31879194630872</c:v>
                </c:pt>
                <c:pt idx="44" formatCode="0.0">
                  <c:v>161.99491381746256</c:v>
                </c:pt>
                <c:pt idx="45" formatCode="0.0">
                  <c:v>163.78830083565461</c:v>
                </c:pt>
                <c:pt idx="46" formatCode="0.0">
                  <c:v>165.63380281690141</c:v>
                </c:pt>
                <c:pt idx="47" formatCode="0.0">
                  <c:v>167.52136752136752</c:v>
                </c:pt>
                <c:pt idx="48" formatCode="0.0">
                  <c:v>169.45244956772336</c:v>
                </c:pt>
                <c:pt idx="49" formatCode="0.0">
                  <c:v>171.42857142857144</c:v>
                </c:pt>
                <c:pt idx="50" formatCode="0.0">
                  <c:v>173.45132743362831</c:v>
                </c:pt>
                <c:pt idx="51" formatCode="0.0">
                  <c:v>175.52238805970148</c:v>
                </c:pt>
                <c:pt idx="52" formatCode="0.0">
                  <c:v>177.64350453172204</c:v>
                </c:pt>
                <c:pt idx="53" formatCode="0.0">
                  <c:v>179.81651376146789</c:v>
                </c:pt>
                <c:pt idx="54" formatCode="0.0">
                  <c:v>182.06814550588933</c:v>
                </c:pt>
                <c:pt idx="55" formatCode="0.0">
                  <c:v>184.42777206232907</c:v>
                </c:pt>
                <c:pt idx="56" formatCode="0.0">
                  <c:v>186.90162871419307</c:v>
                </c:pt>
                <c:pt idx="57" formatCode="0.0">
                  <c:v>189.49648077964267</c:v>
                </c:pt>
                <c:pt idx="58" formatCode="0.0">
                  <c:v>192.21967963386726</c:v>
                </c:pt>
                <c:pt idx="59" formatCode="0.0">
                  <c:v>195.07922605302971</c:v>
                </c:pt>
                <c:pt idx="60" formatCode="0.0">
                  <c:v>198.08384201802966</c:v>
                </c:pt>
                <c:pt idx="61" formatCode="0.0">
                  <c:v>201.24305232319361</c:v>
                </c:pt>
                <c:pt idx="62" formatCode="0.0">
                  <c:v>204.56727758527114</c:v>
                </c:pt>
                <c:pt idx="63" formatCode="0.0">
                  <c:v>208.06794055201698</c:v>
                </c:pt>
                <c:pt idx="64" formatCode="0.0">
                  <c:v>211.75758798023594</c:v>
                </c:pt>
                <c:pt idx="65" formatCode="0.0">
                  <c:v>215.65003080714729</c:v>
                </c:pt>
                <c:pt idx="66" formatCode="0.0">
                  <c:v>219.76050589765438</c:v>
                </c:pt>
                <c:pt idx="67" formatCode="0.0">
                  <c:v>224.10586334115925</c:v>
                </c:pt>
                <c:pt idx="68" formatCode="0.0">
                  <c:v>228.70478413068847</c:v>
                </c:pt>
                <c:pt idx="69" formatCode="0.0">
                  <c:v>233.57803413099438</c:v>
                </c:pt>
                <c:pt idx="70" formatCode="0.0">
                  <c:v>238.74876159230809</c:v>
                </c:pt>
                <c:pt idx="71" formatCode="0.0">
                  <c:v>244.24284717376136</c:v>
                </c:pt>
                <c:pt idx="72" formatCode="0.0">
                  <c:v>250.08931761343339</c:v>
                </c:pt>
                <c:pt idx="73" formatCode="0.0">
                  <c:v>256.3208369659983</c:v>
                </c:pt>
                <c:pt idx="74" formatCode="0.0">
                  <c:v>262.97429292116135</c:v>
                </c:pt>
                <c:pt idx="75" formatCode="0.0">
                  <c:v>270.09150038584499</c:v>
                </c:pt>
                <c:pt idx="76" formatCode="0.0">
                  <c:v>277.72005063195485</c:v>
                </c:pt>
                <c:pt idx="77" formatCode="0.0">
                  <c:v>285.91434239701249</c:v>
                </c:pt>
                <c:pt idx="78" formatCode="0.0">
                  <c:v>294.73684210526312</c:v>
                </c:pt>
                <c:pt idx="79" formatCode="0.0">
                  <c:v>304.25963488843814</c:v>
                </c:pt>
                <c:pt idx="80" formatCode="0.0">
                  <c:v>314.56634782050457</c:v>
                </c:pt>
                <c:pt idx="81" formatCode="0.0">
                  <c:v>325.75455391570273</c:v>
                </c:pt>
                <c:pt idx="82" formatCode="0.0">
                  <c:v>337.93880319087793</c:v>
                </c:pt>
                <c:pt idx="83" formatCode="0.0">
                  <c:v>351.25448028673839</c:v>
                </c:pt>
                <c:pt idx="84" formatCode="0.0">
                  <c:v>365.86276413051598</c:v>
                </c:pt>
                <c:pt idx="85" formatCode="0.0">
                  <c:v>381.95707530010912</c:v>
                </c:pt>
                <c:pt idx="86" formatCode="0.0">
                  <c:v>399.77155910908056</c:v>
                </c:pt>
                <c:pt idx="87" formatCode="0.0">
                  <c:v>419.59239595821191</c:v>
                </c:pt>
                <c:pt idx="88" formatCode="0.0">
                  <c:v>441.77310293012772</c:v>
                </c:pt>
                <c:pt idx="89" formatCode="0.0">
                  <c:v>466.75557248999809</c:v>
                </c:pt>
                <c:pt idx="90" formatCode="0.0">
                  <c:v>495.09952510861876</c:v>
                </c:pt>
                <c:pt idx="91" formatCode="0.0">
                  <c:v>527.52458192779727</c:v>
                </c:pt>
                <c:pt idx="92" formatCode="0.0">
                  <c:v>564.97175141242951</c:v>
                </c:pt>
                <c:pt idx="93" formatCode="0.0">
                  <c:v>608.69565217391323</c:v>
                </c:pt>
                <c:pt idx="94" formatCode="0.0">
                  <c:v>660.40702637135553</c:v>
                </c:pt>
                <c:pt idx="95" formatCode="0.0">
                  <c:v>722.50073724565038</c:v>
                </c:pt>
                <c:pt idx="96" formatCode="0.0">
                  <c:v>798.43571777741568</c:v>
                </c:pt>
                <c:pt idx="97" formatCode="0.0">
                  <c:v>893.39978120821729</c:v>
                </c:pt>
                <c:pt idx="98" formatCode="0.0">
                  <c:v>1015.5440414507776</c:v>
                </c:pt>
                <c:pt idx="99" formatCode="0.0">
                  <c:v>1178.4511784511787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FD-4F71-9AF7-220DCED72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23296"/>
        <c:axId val="143638528"/>
      </c:scatterChart>
      <c:valAx>
        <c:axId val="143623296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162679425837319"/>
              <c:y val="0.926382300371962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38528"/>
        <c:crosses val="autoZero"/>
        <c:crossBetween val="midCat"/>
        <c:majorUnit val="10"/>
        <c:minorUnit val="5"/>
      </c:valAx>
      <c:valAx>
        <c:axId val="143638528"/>
        <c:scaling>
          <c:orientation val="minMax"/>
          <c:max val="500"/>
          <c:min val="1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5.9808612440191387E-3"/>
              <c:y val="0.415133783123735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23296"/>
        <c:crosses val="autoZero"/>
        <c:crossBetween val="midCat"/>
        <c:majorUnit val="200"/>
        <c:minorUnit val="5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069377990430622"/>
          <c:y val="0.29243418192357856"/>
          <c:w val="0.2715311004784689"/>
          <c:h val="0.1803892580913680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2402373461684E-2"/>
          <c:y val="0.20846394984326019"/>
          <c:w val="0.86666746136614337"/>
          <c:h val="0.69278996865203757"/>
        </c:manualLayout>
      </c:layout>
      <c:scatterChart>
        <c:scatterStyle val="lineMarker"/>
        <c:varyColors val="0"/>
        <c:ser>
          <c:idx val="2"/>
          <c:order val="0"/>
          <c:tx>
            <c:strRef>
              <c:f>'100K'!$A$1:$A$1</c:f>
              <c:strCache>
                <c:ptCount val="1"/>
                <c:pt idx="0">
                  <c:v>Male 100 km Road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'100K'!$D$7:$D$105</c:f>
              <c:numCache>
                <c:formatCode>General</c:formatCode>
                <c:ptCount val="99"/>
                <c:pt idx="3" formatCode="0.0">
                  <c:v>516.01681403101907</c:v>
                </c:pt>
                <c:pt idx="4" formatCode="0.0">
                  <c:v>491.0344827586207</c:v>
                </c:pt>
                <c:pt idx="5" formatCode="0.0">
                  <c:v>469.71896028499799</c:v>
                </c:pt>
                <c:pt idx="6" formatCode="0.0">
                  <c:v>451.43291909713417</c:v>
                </c:pt>
                <c:pt idx="7" formatCode="0.0">
                  <c:v>435.68718639089468</c:v>
                </c:pt>
                <c:pt idx="8" formatCode="0.0">
                  <c:v>422.10101968223859</c:v>
                </c:pt>
                <c:pt idx="9" formatCode="0.0">
                  <c:v>410.37463976945247</c:v>
                </c:pt>
                <c:pt idx="10" formatCode="0.0">
                  <c:v>400.26984483921746</c:v>
                </c:pt>
                <c:pt idx="11" formatCode="0.0">
                  <c:v>391.59608403915962</c:v>
                </c:pt>
                <c:pt idx="12" formatCode="0.0">
                  <c:v>384.20030218001295</c:v>
                </c:pt>
                <c:pt idx="13" formatCode="0.0">
                  <c:v>377.95944367767282</c:v>
                </c:pt>
                <c:pt idx="14" formatCode="0.0">
                  <c:v>372.77486910994764</c:v>
                </c:pt>
                <c:pt idx="15" formatCode="0.0">
                  <c:v>368.14891416752846</c:v>
                </c:pt>
                <c:pt idx="16" formatCode="0.0">
                  <c:v>363.63636363636363</c:v>
                </c:pt>
                <c:pt idx="17" formatCode="0.0">
                  <c:v>359.85559566787003</c:v>
                </c:pt>
                <c:pt idx="18" formatCode="0.0">
                  <c:v>357.37845977341175</c:v>
                </c:pt>
                <c:pt idx="19" formatCode="0.0">
                  <c:v>356.15263684436189</c:v>
                </c:pt>
                <c:pt idx="20" formatCode="0.0">
                  <c:v>356</c:v>
                </c:pt>
                <c:pt idx="21" formatCode="0.0">
                  <c:v>356</c:v>
                </c:pt>
                <c:pt idx="22" formatCode="0.0">
                  <c:v>356</c:v>
                </c:pt>
                <c:pt idx="23" formatCode="0.0">
                  <c:v>356</c:v>
                </c:pt>
                <c:pt idx="24" formatCode="0.0">
                  <c:v>356</c:v>
                </c:pt>
                <c:pt idx="25" formatCode="0.0">
                  <c:v>356</c:v>
                </c:pt>
                <c:pt idx="26" formatCode="0.0">
                  <c:v>356</c:v>
                </c:pt>
                <c:pt idx="27" formatCode="0.0">
                  <c:v>356.36550308008214</c:v>
                </c:pt>
                <c:pt idx="28" formatCode="0.0">
                  <c:v>356.82343870470316</c:v>
                </c:pt>
                <c:pt idx="29" formatCode="0.0">
                  <c:v>357.46652935118436</c:v>
                </c:pt>
                <c:pt idx="30" formatCode="0.0">
                  <c:v>358.2967741935484</c:v>
                </c:pt>
                <c:pt idx="31" formatCode="0.0">
                  <c:v>359.31677018633542</c:v>
                </c:pt>
                <c:pt idx="32" formatCode="0.0">
                  <c:v>360.52973253700338</c:v>
                </c:pt>
                <c:pt idx="33" formatCode="0.0">
                  <c:v>361.93952033368089</c:v>
                </c:pt>
                <c:pt idx="34" formatCode="0.0">
                  <c:v>363.55066771406126</c:v>
                </c:pt>
                <c:pt idx="35" formatCode="0.0">
                  <c:v>365.36842105263156</c:v>
                </c:pt>
                <c:pt idx="36" formatCode="0.0">
                  <c:v>367.3987827467584</c:v>
                </c:pt>
                <c:pt idx="37" formatCode="0.0">
                  <c:v>369.6485623003195</c:v>
                </c:pt>
                <c:pt idx="38" formatCode="0.0">
                  <c:v>372.1254355400697</c:v>
                </c:pt>
                <c:pt idx="39" formatCode="0.0">
                  <c:v>374.8380129589633</c:v>
                </c:pt>
                <c:pt idx="40" formatCode="0.0">
                  <c:v>377.79591836734693</c:v>
                </c:pt>
                <c:pt idx="41" formatCode="0.0">
                  <c:v>381.00987925356748</c:v>
                </c:pt>
                <c:pt idx="42" formatCode="0.0">
                  <c:v>384.49183051786207</c:v>
                </c:pt>
                <c:pt idx="43" formatCode="0.0">
                  <c:v>388.25503355704694</c:v>
                </c:pt>
                <c:pt idx="44" formatCode="0.0">
                  <c:v>392.31421305453517</c:v>
                </c:pt>
                <c:pt idx="45" formatCode="0.0">
                  <c:v>396.65738161559892</c:v>
                </c:pt>
                <c:pt idx="46" formatCode="0.0">
                  <c:v>401.12676056338029</c:v>
                </c:pt>
                <c:pt idx="47" formatCode="0.0">
                  <c:v>405.69800569800572</c:v>
                </c:pt>
                <c:pt idx="48" formatCode="0.0">
                  <c:v>410.37463976945247</c:v>
                </c:pt>
                <c:pt idx="49" formatCode="0.0">
                  <c:v>415.16034985422743</c:v>
                </c:pt>
                <c:pt idx="50" formatCode="0.0">
                  <c:v>420.05899705014747</c:v>
                </c:pt>
                <c:pt idx="51" formatCode="0.0">
                  <c:v>425.07462686567163</c:v>
                </c:pt>
                <c:pt idx="52" formatCode="0.0">
                  <c:v>430.21148036253777</c:v>
                </c:pt>
                <c:pt idx="53" formatCode="0.0">
                  <c:v>435.47400611620793</c:v>
                </c:pt>
                <c:pt idx="54" formatCode="0.0">
                  <c:v>440.92693741562317</c:v>
                </c:pt>
                <c:pt idx="55" formatCode="0.0">
                  <c:v>446.64140717135473</c:v>
                </c:pt>
                <c:pt idx="56" formatCode="0.0">
                  <c:v>452.63251579763767</c:v>
                </c:pt>
                <c:pt idx="57" formatCode="0.0">
                  <c:v>458.91664733029108</c:v>
                </c:pt>
                <c:pt idx="58" formatCode="0.0">
                  <c:v>465.51160509970578</c:v>
                </c:pt>
                <c:pt idx="59" formatCode="0.0">
                  <c:v>472.43676513522837</c:v>
                </c:pt>
                <c:pt idx="60" formatCode="0.0">
                  <c:v>479.71325005726914</c:v>
                </c:pt>
                <c:pt idx="61" formatCode="0.0">
                  <c:v>487.36412671467292</c:v>
                </c:pt>
                <c:pt idx="62" formatCode="0.0">
                  <c:v>495.41463143099679</c:v>
                </c:pt>
                <c:pt idx="63" formatCode="0.0">
                  <c:v>503.89242745930642</c:v>
                </c:pt>
                <c:pt idx="64" formatCode="0.0">
                  <c:v>512.82790014261218</c:v>
                </c:pt>
                <c:pt idx="65" formatCode="0.0">
                  <c:v>522.25449637649274</c:v>
                </c:pt>
                <c:pt idx="66" formatCode="0.0">
                  <c:v>532.20911632357115</c:v>
                </c:pt>
                <c:pt idx="67" formatCode="0.0">
                  <c:v>542.73256700307957</c:v>
                </c:pt>
                <c:pt idx="68" formatCode="0.0">
                  <c:v>553.8700894593544</c:v>
                </c:pt>
                <c:pt idx="69" formatCode="0.0">
                  <c:v>565.67197381383676</c:v>
                </c:pt>
                <c:pt idx="70" formatCode="0.0">
                  <c:v>578.19427977456917</c:v>
                </c:pt>
                <c:pt idx="71" formatCode="0.0">
                  <c:v>591.49968431196623</c:v>
                </c:pt>
                <c:pt idx="72" formatCode="0.0">
                  <c:v>605.65848347198835</c:v>
                </c:pt>
                <c:pt idx="73" formatCode="0.0">
                  <c:v>620.74978204010472</c:v>
                </c:pt>
                <c:pt idx="74" formatCode="0.0">
                  <c:v>636.86291346893495</c:v>
                </c:pt>
                <c:pt idx="75" formatCode="0.0">
                  <c:v>654.09914379157021</c:v>
                </c:pt>
                <c:pt idx="76" formatCode="0.0">
                  <c:v>672.57372806106071</c:v>
                </c:pt>
                <c:pt idx="77" formatCode="0.0">
                  <c:v>692.41840743766284</c:v>
                </c:pt>
                <c:pt idx="78" formatCode="0.0">
                  <c:v>713.78446115288216</c:v>
                </c:pt>
                <c:pt idx="79" formatCode="0.0">
                  <c:v>736.84646272302018</c:v>
                </c:pt>
                <c:pt idx="80" formatCode="0.0">
                  <c:v>761.80693757890901</c:v>
                </c:pt>
                <c:pt idx="81" formatCode="0.0">
                  <c:v>788.90218499313039</c:v>
                </c:pt>
                <c:pt idx="82" formatCode="0.0">
                  <c:v>818.40961861192216</c:v>
                </c:pt>
                <c:pt idx="83" formatCode="0.0">
                  <c:v>850.65710872162492</c:v>
                </c:pt>
                <c:pt idx="84" formatCode="0.0">
                  <c:v>886.03499340451481</c:v>
                </c:pt>
                <c:pt idx="85" formatCode="0.0">
                  <c:v>925.01169256352966</c:v>
                </c:pt>
                <c:pt idx="86" formatCode="0.0">
                  <c:v>968.15425199205902</c:v>
                </c:pt>
                <c:pt idx="87" formatCode="0.0">
                  <c:v>1016.1557344294112</c:v>
                </c:pt>
                <c:pt idx="88" formatCode="0.0">
                  <c:v>1069.8722764838467</c:v>
                </c:pt>
                <c:pt idx="89" formatCode="0.0">
                  <c:v>1130.3740394995873</c:v>
                </c:pt>
                <c:pt idx="90" formatCode="0.0">
                  <c:v>1199.0165369977433</c:v>
                </c:pt>
                <c:pt idx="91" formatCode="0.0">
                  <c:v>1277.5425249407879</c:v>
                </c:pt>
                <c:pt idx="92" formatCode="0.0">
                  <c:v>1368.2309081824824</c:v>
                </c:pt>
                <c:pt idx="93" formatCode="0.0">
                  <c:v>1474.1200828157355</c:v>
                </c:pt>
                <c:pt idx="94" formatCode="0.0">
                  <c:v>1599.3530706680447</c:v>
                </c:pt>
                <c:pt idx="95" formatCode="0.0">
                  <c:v>1749.7296765949084</c:v>
                </c:pt>
                <c:pt idx="96" formatCode="0.0">
                  <c:v>1933.626636250068</c:v>
                </c:pt>
                <c:pt idx="97" formatCode="0.0">
                  <c:v>2163.6076334022137</c:v>
                </c:pt>
                <c:pt idx="98" formatCode="0.0">
                  <c:v>2459.4127806563051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4D-4C4D-84B4-28C50E14D706}"/>
            </c:ext>
          </c:extLst>
        </c:ser>
        <c:ser>
          <c:idx val="4"/>
          <c:order val="1"/>
          <c:tx>
            <c:v>World Ultra records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'100K'!$C$7:$C$96</c:f>
              <c:numCache>
                <c:formatCode>General</c:formatCode>
                <c:ptCount val="90"/>
                <c:pt idx="26" formatCode="0.0">
                  <c:v>393.18333333333328</c:v>
                </c:pt>
                <c:pt idx="34" formatCode="0.0">
                  <c:v>420.7833333333333</c:v>
                </c:pt>
                <c:pt idx="39" formatCode="0.0">
                  <c:v>440.36666666666673</c:v>
                </c:pt>
                <c:pt idx="44" formatCode="0.0">
                  <c:v>466.7</c:v>
                </c:pt>
                <c:pt idx="49" formatCode="0.0">
                  <c:v>472.13333333333333</c:v>
                </c:pt>
                <c:pt idx="54" formatCode="0.0">
                  <c:v>522.6</c:v>
                </c:pt>
                <c:pt idx="59" formatCode="0.0">
                  <c:v>560.11666666666667</c:v>
                </c:pt>
                <c:pt idx="64" formatCode="0.0">
                  <c:v>621.35</c:v>
                </c:pt>
                <c:pt idx="69" formatCode="0.0">
                  <c:v>696.2833333333333</c:v>
                </c:pt>
                <c:pt idx="79" formatCode="0.0">
                  <c:v>1039.3</c:v>
                </c:pt>
                <c:pt idx="84" formatCode="0.0">
                  <c:v>1095.2833333333333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4D-4C4D-84B4-28C50E14D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77024"/>
        <c:axId val="146184064"/>
      </c:scatterChart>
      <c:valAx>
        <c:axId val="146177024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76530750557589"/>
              <c:y val="0.932601880877742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184064"/>
        <c:crosses val="autoZero"/>
        <c:crossBetween val="midCat"/>
        <c:majorUnit val="10"/>
        <c:minorUnit val="5"/>
      </c:valAx>
      <c:valAx>
        <c:axId val="146184064"/>
        <c:scaling>
          <c:orientation val="minMax"/>
          <c:max val="1250"/>
          <c:min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6948356807511738E-3"/>
              <c:y val="0.426332288401253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177024"/>
        <c:crosses val="autoZero"/>
        <c:crossBetween val="midCat"/>
        <c:majorUnit val="250"/>
        <c:minorUnit val="5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5633822532746786"/>
          <c:y val="0.28369905956112851"/>
          <c:w val="0.25539925819131759"/>
          <c:h val="0.252351097178683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'200K'!$A$1:$A$1</c:f>
          <c:strCache>
            <c:ptCount val="1"/>
            <c:pt idx="0">
              <c:v>Male 200 km Road</c:v>
            </c:pt>
          </c:strCache>
        </c:strRef>
      </c:tx>
      <c:layout>
        <c:manualLayout>
          <c:xMode val="edge"/>
          <c:yMode val="edge"/>
          <c:x val="0.33206126905892486"/>
          <c:y val="2.838063439065108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4739376438751"/>
          <c:y val="0.21869782971619364"/>
          <c:w val="0.84577081844122548"/>
          <c:h val="0.67612687813021699"/>
        </c:manualLayout>
      </c:layout>
      <c:scatterChart>
        <c:scatterStyle val="lineMarker"/>
        <c:varyColors val="0"/>
        <c:ser>
          <c:idx val="4"/>
          <c:order val="0"/>
          <c:tx>
            <c:v>World Ultra records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'200K'!$C$7:$C$96</c:f>
              <c:numCache>
                <c:formatCode>General</c:formatCode>
                <c:ptCount val="90"/>
                <c:pt idx="41" formatCode="0.0">
                  <c:v>1140.0166666666667</c:v>
                </c:pt>
                <c:pt idx="44" formatCode="0.0">
                  <c:v>1140.5166666666667</c:v>
                </c:pt>
                <c:pt idx="48" formatCode="0.0">
                  <c:v>1189.6000000000001</c:v>
                </c:pt>
                <c:pt idx="50" formatCode="0.0">
                  <c:v>1148.3499999999999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C6-449B-A89D-ADB3D95C8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35360"/>
        <c:axId val="143950592"/>
      </c:scatterChart>
      <c:valAx>
        <c:axId val="14393536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809180341006992"/>
              <c:y val="0.928213689482470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50592"/>
        <c:crosses val="autoZero"/>
        <c:crossBetween val="midCat"/>
        <c:majorUnit val="10"/>
        <c:minorUnit val="5"/>
      </c:valAx>
      <c:valAx>
        <c:axId val="143950592"/>
        <c:scaling>
          <c:orientation val="minMax"/>
          <c:max val="2000"/>
          <c:min val="7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7709923664122139E-3"/>
              <c:y val="0.419031719532554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35360"/>
        <c:crosses val="autoZero"/>
        <c:crossBetween val="midCat"/>
        <c:majorUnit val="250"/>
        <c:minorUnit val="5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3778645989861955"/>
          <c:y val="0.31218697829716191"/>
          <c:w val="0.255725291018012"/>
          <c:h val="0.2687813021702838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Male Age factor vs log of distance</a:t>
            </a:r>
          </a:p>
        </c:rich>
      </c:tx>
      <c:layout>
        <c:manualLayout>
          <c:xMode val="edge"/>
          <c:yMode val="edge"/>
          <c:x val="0.28073781248655394"/>
          <c:y val="2.66272189349112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2437642708146496"/>
          <c:y val="0.12505229922568639"/>
          <c:w val="0.75629548461901774"/>
          <c:h val="0.74533996657631196"/>
        </c:manualLayout>
      </c:layout>
      <c:scatterChart>
        <c:scatterStyle val="lineMarker"/>
        <c:varyColors val="0"/>
        <c:ser>
          <c:idx val="0"/>
          <c:order val="0"/>
          <c:tx>
            <c:v>40 yrs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Factors'!$C$3:$P$3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16.093440000000001</c:v>
                </c:pt>
                <c:pt idx="9">
                  <c:v>20</c:v>
                </c:pt>
                <c:pt idx="10">
                  <c:v>21.0975</c:v>
                </c:pt>
                <c:pt idx="11">
                  <c:v>25</c:v>
                </c:pt>
                <c:pt idx="12">
                  <c:v>30</c:v>
                </c:pt>
                <c:pt idx="13">
                  <c:v>42.195</c:v>
                </c:pt>
              </c:numCache>
            </c:numRef>
          </c:xVal>
          <c:yVal>
            <c:numRef>
              <c:f>'Age Factors'!$C$41:$P$41</c:f>
              <c:numCache>
                <c:formatCode>0.0000</c:formatCode>
                <c:ptCount val="14"/>
                <c:pt idx="0">
                  <c:v>0.94610000000000005</c:v>
                </c:pt>
                <c:pt idx="1">
                  <c:v>0.94920000000000004</c:v>
                </c:pt>
                <c:pt idx="2">
                  <c:v>0.95040000000000002</c:v>
                </c:pt>
                <c:pt idx="3">
                  <c:v>0.95399999999999996</c:v>
                </c:pt>
                <c:pt idx="4">
                  <c:v>0.95409999999999995</c:v>
                </c:pt>
                <c:pt idx="5">
                  <c:v>0.95779999999999998</c:v>
                </c:pt>
                <c:pt idx="6">
                  <c:v>0.95940000000000003</c:v>
                </c:pt>
                <c:pt idx="7">
                  <c:v>0.96130000000000004</c:v>
                </c:pt>
                <c:pt idx="8">
                  <c:v>0.96189999999999998</c:v>
                </c:pt>
                <c:pt idx="9">
                  <c:v>0.9637</c:v>
                </c:pt>
                <c:pt idx="10">
                  <c:v>0.96419999999999995</c:v>
                </c:pt>
                <c:pt idx="11">
                  <c:v>0.9677</c:v>
                </c:pt>
                <c:pt idx="12">
                  <c:v>0.97140000000000004</c:v>
                </c:pt>
                <c:pt idx="13">
                  <c:v>0.97829999999999995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F6-4532-91C0-B1CE16CF64E7}"/>
            </c:ext>
          </c:extLst>
        </c:ser>
        <c:ser>
          <c:idx val="1"/>
          <c:order val="1"/>
          <c:tx>
            <c:v>50 yrs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Factors'!$C$3:$P$3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16.093440000000001</c:v>
                </c:pt>
                <c:pt idx="9">
                  <c:v>20</c:v>
                </c:pt>
                <c:pt idx="10">
                  <c:v>21.0975</c:v>
                </c:pt>
                <c:pt idx="11">
                  <c:v>25</c:v>
                </c:pt>
                <c:pt idx="12">
                  <c:v>30</c:v>
                </c:pt>
                <c:pt idx="13">
                  <c:v>42.195</c:v>
                </c:pt>
              </c:numCache>
            </c:numRef>
          </c:xVal>
          <c:yVal>
            <c:numRef>
              <c:f>'Age Factors'!$C$51:$P$51</c:f>
              <c:numCache>
                <c:formatCode>0.0000</c:formatCode>
                <c:ptCount val="14"/>
                <c:pt idx="0">
                  <c:v>0.87609999999999999</c:v>
                </c:pt>
                <c:pt idx="1">
                  <c:v>0.87809999999999999</c:v>
                </c:pt>
                <c:pt idx="2">
                  <c:v>0.87890000000000001</c:v>
                </c:pt>
                <c:pt idx="3">
                  <c:v>0.88129999999999997</c:v>
                </c:pt>
                <c:pt idx="4">
                  <c:v>0.88139999999999996</c:v>
                </c:pt>
                <c:pt idx="5">
                  <c:v>0.88380000000000003</c:v>
                </c:pt>
                <c:pt idx="6">
                  <c:v>0.88439999999999996</c:v>
                </c:pt>
                <c:pt idx="7">
                  <c:v>0.88519999999999999</c:v>
                </c:pt>
                <c:pt idx="8">
                  <c:v>0.88549999999999995</c:v>
                </c:pt>
                <c:pt idx="9">
                  <c:v>0.88619999999999999</c:v>
                </c:pt>
                <c:pt idx="10">
                  <c:v>0.88639999999999997</c:v>
                </c:pt>
                <c:pt idx="11">
                  <c:v>0.88880000000000003</c:v>
                </c:pt>
                <c:pt idx="12">
                  <c:v>0.89139999999999997</c:v>
                </c:pt>
                <c:pt idx="13">
                  <c:v>0.89629999999999999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F6-4532-91C0-B1CE16CF64E7}"/>
            </c:ext>
          </c:extLst>
        </c:ser>
        <c:ser>
          <c:idx val="2"/>
          <c:order val="2"/>
          <c:tx>
            <c:v>60 yrs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Factors'!$C$3:$P$3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16.093440000000001</c:v>
                </c:pt>
                <c:pt idx="9">
                  <c:v>20</c:v>
                </c:pt>
                <c:pt idx="10">
                  <c:v>21.0975</c:v>
                </c:pt>
                <c:pt idx="11">
                  <c:v>25</c:v>
                </c:pt>
                <c:pt idx="12">
                  <c:v>30</c:v>
                </c:pt>
                <c:pt idx="13">
                  <c:v>42.195</c:v>
                </c:pt>
              </c:numCache>
            </c:numRef>
          </c:xVal>
          <c:yVal>
            <c:numRef>
              <c:f>'Age Factors'!$C$61:$P$61</c:f>
              <c:numCache>
                <c:formatCode>0.0000</c:formatCode>
                <c:ptCount val="14"/>
                <c:pt idx="0">
                  <c:v>0.80610000000000004</c:v>
                </c:pt>
                <c:pt idx="1">
                  <c:v>0.80679999999999996</c:v>
                </c:pt>
                <c:pt idx="2">
                  <c:v>0.80710000000000004</c:v>
                </c:pt>
                <c:pt idx="3">
                  <c:v>0.80789999999999995</c:v>
                </c:pt>
                <c:pt idx="4">
                  <c:v>0.80800000000000005</c:v>
                </c:pt>
                <c:pt idx="5">
                  <c:v>0.80879999999999996</c:v>
                </c:pt>
                <c:pt idx="6">
                  <c:v>0.80879999999999996</c:v>
                </c:pt>
                <c:pt idx="7">
                  <c:v>0.80869999999999997</c:v>
                </c:pt>
                <c:pt idx="8">
                  <c:v>0.80869999999999997</c:v>
                </c:pt>
                <c:pt idx="9">
                  <c:v>0.80859999999999999</c:v>
                </c:pt>
                <c:pt idx="10">
                  <c:v>0.80859999999999999</c:v>
                </c:pt>
                <c:pt idx="11">
                  <c:v>0.81</c:v>
                </c:pt>
                <c:pt idx="12">
                  <c:v>0.8115</c:v>
                </c:pt>
                <c:pt idx="13">
                  <c:v>0.81430000000000002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F6-4532-91C0-B1CE16CF64E7}"/>
            </c:ext>
          </c:extLst>
        </c:ser>
        <c:ser>
          <c:idx val="3"/>
          <c:order val="3"/>
          <c:tx>
            <c:v>70 yrs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Factors'!$C$3:$P$3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16.093440000000001</c:v>
                </c:pt>
                <c:pt idx="9">
                  <c:v>20</c:v>
                </c:pt>
                <c:pt idx="10">
                  <c:v>21.0975</c:v>
                </c:pt>
                <c:pt idx="11">
                  <c:v>25</c:v>
                </c:pt>
                <c:pt idx="12">
                  <c:v>30</c:v>
                </c:pt>
                <c:pt idx="13">
                  <c:v>42.195</c:v>
                </c:pt>
              </c:numCache>
            </c:numRef>
          </c:xVal>
          <c:yVal>
            <c:numRef>
              <c:f>'Age Factors'!$C$71:$P$71</c:f>
              <c:numCache>
                <c:formatCode>0.0000</c:formatCode>
                <c:ptCount val="14"/>
                <c:pt idx="0">
                  <c:v>0.7339</c:v>
                </c:pt>
                <c:pt idx="1">
                  <c:v>0.73380000000000001</c:v>
                </c:pt>
                <c:pt idx="2">
                  <c:v>0.73380000000000001</c:v>
                </c:pt>
                <c:pt idx="3">
                  <c:v>0.73380000000000001</c:v>
                </c:pt>
                <c:pt idx="4">
                  <c:v>0.73380000000000001</c:v>
                </c:pt>
                <c:pt idx="5">
                  <c:v>0.73370000000000002</c:v>
                </c:pt>
                <c:pt idx="6">
                  <c:v>0.73270000000000002</c:v>
                </c:pt>
                <c:pt idx="7">
                  <c:v>0.73160000000000003</c:v>
                </c:pt>
                <c:pt idx="8">
                  <c:v>0.73119999999999996</c:v>
                </c:pt>
                <c:pt idx="9">
                  <c:v>0.73009999999999997</c:v>
                </c:pt>
                <c:pt idx="10">
                  <c:v>0.7298</c:v>
                </c:pt>
                <c:pt idx="11">
                  <c:v>0.73040000000000005</c:v>
                </c:pt>
                <c:pt idx="12">
                  <c:v>0.73109999999999997</c:v>
                </c:pt>
                <c:pt idx="13">
                  <c:v>0.73229999999999995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F6-4532-91C0-B1CE16CF64E7}"/>
            </c:ext>
          </c:extLst>
        </c:ser>
        <c:ser>
          <c:idx val="4"/>
          <c:order val="4"/>
          <c:tx>
            <c:v>80 yrs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Factors'!$C$3:$P$3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16.093440000000001</c:v>
                </c:pt>
                <c:pt idx="9">
                  <c:v>20</c:v>
                </c:pt>
                <c:pt idx="10">
                  <c:v>21.0975</c:v>
                </c:pt>
                <c:pt idx="11">
                  <c:v>25</c:v>
                </c:pt>
                <c:pt idx="12">
                  <c:v>30</c:v>
                </c:pt>
                <c:pt idx="13">
                  <c:v>42.195</c:v>
                </c:pt>
              </c:numCache>
            </c:numRef>
          </c:xVal>
          <c:yVal>
            <c:numRef>
              <c:f>'Age Factors'!$C$81:$P$81</c:f>
              <c:numCache>
                <c:formatCode>0.0000</c:formatCode>
                <c:ptCount val="14"/>
                <c:pt idx="0">
                  <c:v>0.61770000000000003</c:v>
                </c:pt>
                <c:pt idx="1">
                  <c:v>0.61960000000000004</c:v>
                </c:pt>
                <c:pt idx="2">
                  <c:v>0.62029999999999996</c:v>
                </c:pt>
                <c:pt idx="3">
                  <c:v>0.62260000000000004</c:v>
                </c:pt>
                <c:pt idx="4">
                  <c:v>0.62260000000000004</c:v>
                </c:pt>
                <c:pt idx="5">
                  <c:v>0.62490000000000001</c:v>
                </c:pt>
                <c:pt idx="6">
                  <c:v>0.61950000000000005</c:v>
                </c:pt>
                <c:pt idx="7">
                  <c:v>0.61480000000000001</c:v>
                </c:pt>
                <c:pt idx="8">
                  <c:v>0.61299999999999999</c:v>
                </c:pt>
                <c:pt idx="9">
                  <c:v>0.60760000000000003</c:v>
                </c:pt>
                <c:pt idx="10">
                  <c:v>0.60629999999999995</c:v>
                </c:pt>
                <c:pt idx="11">
                  <c:v>0.60860000000000003</c:v>
                </c:pt>
                <c:pt idx="12">
                  <c:v>0.61099999999999999</c:v>
                </c:pt>
                <c:pt idx="13">
                  <c:v>0.61550000000000005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F6-4532-91C0-B1CE16CF64E7}"/>
            </c:ext>
          </c:extLst>
        </c:ser>
        <c:ser>
          <c:idx val="5"/>
          <c:order val="5"/>
          <c:tx>
            <c:v>90 yrs</c:v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Factors'!$C$3:$P$3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16.093440000000001</c:v>
                </c:pt>
                <c:pt idx="9">
                  <c:v>20</c:v>
                </c:pt>
                <c:pt idx="10">
                  <c:v>21.0975</c:v>
                </c:pt>
                <c:pt idx="11">
                  <c:v>25</c:v>
                </c:pt>
                <c:pt idx="12">
                  <c:v>30</c:v>
                </c:pt>
                <c:pt idx="13">
                  <c:v>42.195</c:v>
                </c:pt>
              </c:numCache>
            </c:numRef>
          </c:xVal>
          <c:yVal>
            <c:numRef>
              <c:f>'Age Factors'!$C$91:$P$91</c:f>
              <c:numCache>
                <c:formatCode>0.0000</c:formatCode>
                <c:ptCount val="14"/>
                <c:pt idx="0">
                  <c:v>0.4415</c:v>
                </c:pt>
                <c:pt idx="1">
                  <c:v>0.44350000000000001</c:v>
                </c:pt>
                <c:pt idx="2">
                  <c:v>0.44429999999999997</c:v>
                </c:pt>
                <c:pt idx="3">
                  <c:v>0.44669999999999999</c:v>
                </c:pt>
                <c:pt idx="4">
                  <c:v>0.44669999999999999</c:v>
                </c:pt>
                <c:pt idx="5">
                  <c:v>0.4491</c:v>
                </c:pt>
                <c:pt idx="6">
                  <c:v>0.44069999999999998</c:v>
                </c:pt>
                <c:pt idx="7">
                  <c:v>0.4304</c:v>
                </c:pt>
                <c:pt idx="8">
                  <c:v>0.42709999999999998</c:v>
                </c:pt>
                <c:pt idx="9">
                  <c:v>0.41710000000000003</c:v>
                </c:pt>
                <c:pt idx="10">
                  <c:v>0.41460000000000002</c:v>
                </c:pt>
                <c:pt idx="11">
                  <c:v>0.41470000000000001</c:v>
                </c:pt>
                <c:pt idx="12">
                  <c:v>0.4148</c:v>
                </c:pt>
                <c:pt idx="13">
                  <c:v>0.41499999999999998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F6-4532-91C0-B1CE16CF64E7}"/>
            </c:ext>
          </c:extLst>
        </c:ser>
        <c:ser>
          <c:idx val="6"/>
          <c:order val="6"/>
          <c:tx>
            <c:v>95 yrs</c:v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8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Factors'!$C$3:$P$3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16.093440000000001</c:v>
                </c:pt>
                <c:pt idx="9">
                  <c:v>20</c:v>
                </c:pt>
                <c:pt idx="10">
                  <c:v>21.0975</c:v>
                </c:pt>
                <c:pt idx="11">
                  <c:v>25</c:v>
                </c:pt>
                <c:pt idx="12">
                  <c:v>30</c:v>
                </c:pt>
                <c:pt idx="13">
                  <c:v>42.195</c:v>
                </c:pt>
              </c:numCache>
            </c:numRef>
          </c:xVal>
          <c:yVal>
            <c:numRef>
              <c:f>'Age Factors'!$C$96:$P$96</c:f>
              <c:numCache>
                <c:formatCode>0.0000</c:formatCode>
                <c:ptCount val="14"/>
                <c:pt idx="0">
                  <c:v>0.33090000000000003</c:v>
                </c:pt>
                <c:pt idx="1">
                  <c:v>0.3322</c:v>
                </c:pt>
                <c:pt idx="2">
                  <c:v>0.33279999999999998</c:v>
                </c:pt>
                <c:pt idx="3">
                  <c:v>0.33439999999999998</c:v>
                </c:pt>
                <c:pt idx="4">
                  <c:v>0.33439999999999998</c:v>
                </c:pt>
                <c:pt idx="5">
                  <c:v>0.33600000000000002</c:v>
                </c:pt>
                <c:pt idx="6">
                  <c:v>0.32550000000000001</c:v>
                </c:pt>
                <c:pt idx="7">
                  <c:v>0.31280000000000002</c:v>
                </c:pt>
                <c:pt idx="8">
                  <c:v>0.30869999999999997</c:v>
                </c:pt>
                <c:pt idx="9">
                  <c:v>0.29630000000000001</c:v>
                </c:pt>
                <c:pt idx="10">
                  <c:v>0.29320000000000002</c:v>
                </c:pt>
                <c:pt idx="11">
                  <c:v>0.2908</c:v>
                </c:pt>
                <c:pt idx="12">
                  <c:v>0.28820000000000001</c:v>
                </c:pt>
                <c:pt idx="13">
                  <c:v>0.2833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7F6-4532-91C0-B1CE16CF6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64992"/>
        <c:axId val="146567552"/>
      </c:scatterChart>
      <c:valAx>
        <c:axId val="146564992"/>
        <c:scaling>
          <c:logBase val="10"/>
          <c:orientation val="minMax"/>
          <c:max val="50"/>
          <c:min val="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42213136267802587"/>
              <c:y val="0.933432573886843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567552"/>
        <c:crosses val="autoZero"/>
        <c:crossBetween val="midCat"/>
        <c:minorUnit val="1"/>
      </c:valAx>
      <c:valAx>
        <c:axId val="146567552"/>
        <c:scaling>
          <c:orientation val="minMax"/>
          <c:max val="1"/>
          <c:min val="0.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Age-Factor</a:t>
                </a:r>
              </a:p>
            </c:rich>
          </c:tx>
          <c:layout>
            <c:manualLayout>
              <c:xMode val="edge"/>
              <c:yMode val="edge"/>
              <c:x val="5.1229508196721308E-3"/>
              <c:y val="0.4792902514404634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564992"/>
        <c:crossesAt val="5"/>
        <c:crossBetween val="midCat"/>
        <c:majorUnit val="0.2"/>
        <c:minorUnit val="0.1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036659398430129"/>
          <c:y val="0.3074162738822403"/>
          <c:w val="0.10044973200900834"/>
          <c:h val="0.3801384506481977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Male</a:t>
            </a:r>
            <a:r>
              <a:rPr lang="en-US" baseline="0"/>
              <a:t> Age Factor vs Distance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834213035474913"/>
          <c:y val="0.10752631249432514"/>
          <c:w val="0.78151496913145069"/>
          <c:h val="0.73806903053262207"/>
        </c:manualLayout>
      </c:layout>
      <c:scatterChart>
        <c:scatterStyle val="lineMarker"/>
        <c:varyColors val="0"/>
        <c:ser>
          <c:idx val="0"/>
          <c:order val="0"/>
          <c:tx>
            <c:v>5 yrs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Factors'!$C$3:$P$3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16.093440000000001</c:v>
                </c:pt>
                <c:pt idx="9">
                  <c:v>20</c:v>
                </c:pt>
                <c:pt idx="10">
                  <c:v>21.0975</c:v>
                </c:pt>
                <c:pt idx="11">
                  <c:v>25</c:v>
                </c:pt>
                <c:pt idx="12">
                  <c:v>30</c:v>
                </c:pt>
                <c:pt idx="13">
                  <c:v>42.195</c:v>
                </c:pt>
              </c:numCache>
            </c:numRef>
          </c:xVal>
          <c:yVal>
            <c:numRef>
              <c:f>'Age Factors'!$C$6:$P$6</c:f>
              <c:numCache>
                <c:formatCode>0.0000</c:formatCode>
                <c:ptCount val="14"/>
                <c:pt idx="0">
                  <c:v>0.55310000000000004</c:v>
                </c:pt>
                <c:pt idx="1">
                  <c:v>0.54110000000000003</c:v>
                </c:pt>
                <c:pt idx="2">
                  <c:v>0.53639999999999999</c:v>
                </c:pt>
                <c:pt idx="3">
                  <c:v>0.52200000000000002</c:v>
                </c:pt>
                <c:pt idx="4">
                  <c:v>0.52170000000000005</c:v>
                </c:pt>
                <c:pt idx="5">
                  <c:v>0.50729999999999997</c:v>
                </c:pt>
                <c:pt idx="6">
                  <c:v>0.49630000000000002</c:v>
                </c:pt>
                <c:pt idx="7">
                  <c:v>0.48280000000000001</c:v>
                </c:pt>
                <c:pt idx="8">
                  <c:v>0.47849999999999998</c:v>
                </c:pt>
                <c:pt idx="9">
                  <c:v>0.46529999999999999</c:v>
                </c:pt>
                <c:pt idx="10">
                  <c:v>0.46210000000000001</c:v>
                </c:pt>
                <c:pt idx="11">
                  <c:v>0.45700000000000002</c:v>
                </c:pt>
                <c:pt idx="12">
                  <c:v>0.4516</c:v>
                </c:pt>
                <c:pt idx="13">
                  <c:v>0.44140000000000001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CD-486D-A85F-4DCF5FE97782}"/>
            </c:ext>
          </c:extLst>
        </c:ser>
        <c:ser>
          <c:idx val="1"/>
          <c:order val="1"/>
          <c:tx>
            <c:v>10 yrs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Factors'!$C$3:$P$3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16.093440000000001</c:v>
                </c:pt>
                <c:pt idx="9">
                  <c:v>20</c:v>
                </c:pt>
                <c:pt idx="10">
                  <c:v>21.0975</c:v>
                </c:pt>
                <c:pt idx="11">
                  <c:v>25</c:v>
                </c:pt>
                <c:pt idx="12">
                  <c:v>30</c:v>
                </c:pt>
                <c:pt idx="13">
                  <c:v>42.195</c:v>
                </c:pt>
              </c:numCache>
            </c:numRef>
          </c:xVal>
          <c:yVal>
            <c:numRef>
              <c:f>'Age Factors'!$C$11:$P$11</c:f>
              <c:numCache>
                <c:formatCode>0.0000</c:formatCode>
                <c:ptCount val="14"/>
                <c:pt idx="0">
                  <c:v>0.81840000000000002</c:v>
                </c:pt>
                <c:pt idx="1">
                  <c:v>0.80559999999999998</c:v>
                </c:pt>
                <c:pt idx="2">
                  <c:v>0.80069999999999997</c:v>
                </c:pt>
                <c:pt idx="3">
                  <c:v>0.78539999999999999</c:v>
                </c:pt>
                <c:pt idx="4">
                  <c:v>0.78500000000000003</c:v>
                </c:pt>
                <c:pt idx="5">
                  <c:v>0.76980000000000004</c:v>
                </c:pt>
                <c:pt idx="6">
                  <c:v>0.77139999999999997</c:v>
                </c:pt>
                <c:pt idx="7">
                  <c:v>0.77329999999999999</c:v>
                </c:pt>
                <c:pt idx="8">
                  <c:v>0.77390000000000003</c:v>
                </c:pt>
                <c:pt idx="9">
                  <c:v>0.77569999999999995</c:v>
                </c:pt>
                <c:pt idx="10">
                  <c:v>0.7762</c:v>
                </c:pt>
                <c:pt idx="11">
                  <c:v>0.76490000000000002</c:v>
                </c:pt>
                <c:pt idx="12">
                  <c:v>0.75280000000000002</c:v>
                </c:pt>
                <c:pt idx="13">
                  <c:v>0.73009999999999997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CD-486D-A85F-4DCF5FE97782}"/>
            </c:ext>
          </c:extLst>
        </c:ser>
        <c:ser>
          <c:idx val="2"/>
          <c:order val="2"/>
          <c:tx>
            <c:v>15 yrs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Factors'!$C$3:$P$3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 formatCode="0.0000">
                  <c:v>8.0467200000000005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16.093440000000001</c:v>
                </c:pt>
                <c:pt idx="9">
                  <c:v>20</c:v>
                </c:pt>
                <c:pt idx="10">
                  <c:v>21.0975</c:v>
                </c:pt>
                <c:pt idx="11">
                  <c:v>25</c:v>
                </c:pt>
                <c:pt idx="12">
                  <c:v>30</c:v>
                </c:pt>
                <c:pt idx="13">
                  <c:v>42.195</c:v>
                </c:pt>
              </c:numCache>
            </c:numRef>
          </c:xVal>
          <c:yVal>
            <c:numRef>
              <c:f>'Age Factors'!$C$16:$P$16</c:f>
              <c:numCache>
                <c:formatCode>0.0000</c:formatCode>
                <c:ptCount val="14"/>
                <c:pt idx="0">
                  <c:v>0.9637</c:v>
                </c:pt>
                <c:pt idx="1">
                  <c:v>0.95540000000000003</c:v>
                </c:pt>
                <c:pt idx="2">
                  <c:v>0.95230000000000004</c:v>
                </c:pt>
                <c:pt idx="3">
                  <c:v>0.94240000000000002</c:v>
                </c:pt>
                <c:pt idx="4">
                  <c:v>0.94210000000000005</c:v>
                </c:pt>
                <c:pt idx="5">
                  <c:v>0.93230000000000002</c:v>
                </c:pt>
                <c:pt idx="6">
                  <c:v>0.93579999999999997</c:v>
                </c:pt>
                <c:pt idx="7">
                  <c:v>0.94010000000000005</c:v>
                </c:pt>
                <c:pt idx="8">
                  <c:v>0.9415</c:v>
                </c:pt>
                <c:pt idx="9">
                  <c:v>0.94569999999999999</c:v>
                </c:pt>
                <c:pt idx="10">
                  <c:v>0.94669999999999999</c:v>
                </c:pt>
                <c:pt idx="11">
                  <c:v>0.93720000000000003</c:v>
                </c:pt>
                <c:pt idx="12">
                  <c:v>0.92689999999999995</c:v>
                </c:pt>
                <c:pt idx="13">
                  <c:v>0.90780000000000005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CD-486D-A85F-4DCF5FE97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98752"/>
        <c:axId val="146305408"/>
      </c:scatterChart>
      <c:valAx>
        <c:axId val="14629875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46635071090047392"/>
              <c:y val="0.915698284807422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305408"/>
        <c:crosses val="autoZero"/>
        <c:crossBetween val="midCat"/>
        <c:minorUnit val="5"/>
      </c:valAx>
      <c:valAx>
        <c:axId val="146305408"/>
        <c:scaling>
          <c:orientation val="minMax"/>
          <c:max val="1"/>
          <c:min val="0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Age-Factor</a:t>
                </a:r>
              </a:p>
            </c:rich>
          </c:tx>
          <c:layout>
            <c:manualLayout>
              <c:xMode val="edge"/>
              <c:yMode val="edge"/>
              <c:x val="1.5165876777251185E-2"/>
              <c:y val="0.3488375144967343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298752"/>
        <c:crosses val="autoZero"/>
        <c:crossBetween val="midCat"/>
        <c:majorUnit val="0.1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703887095946429"/>
          <c:y val="0.19469800763514125"/>
          <c:w val="9.80042622097482E-2"/>
          <c:h val="0.385505807579685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Female pace</a:t>
            </a:r>
          </a:p>
        </c:rich>
      </c:tx>
      <c:layout>
        <c:manualLayout>
          <c:xMode val="edge"/>
          <c:yMode val="edge"/>
          <c:x val="0.40630036076487458"/>
          <c:y val="2.0097394608421804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152730469208932E-2"/>
          <c:y val="0.10253503319050378"/>
          <c:w val="0.88027819587447143"/>
          <c:h val="0.78725859973522883"/>
        </c:manualLayout>
      </c:layout>
      <c:scatterChart>
        <c:scatterStyle val="lineMarker"/>
        <c:varyColors val="0"/>
        <c:ser>
          <c:idx val="0"/>
          <c:order val="0"/>
          <c:tx>
            <c:v>40 yrs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Pace!$B$3:$U$3</c:f>
              <c:numCache>
                <c:formatCode>0.0000</c:formatCode>
                <c:ptCount val="20"/>
                <c:pt idx="0" formatCode="General">
                  <c:v>5</c:v>
                </c:pt>
                <c:pt idx="1">
                  <c:v>6</c:v>
                </c:pt>
                <c:pt idx="2" formatCode="General">
                  <c:v>6.4373760000000004</c:v>
                </c:pt>
                <c:pt idx="3" formatCode="General">
                  <c:v>8</c:v>
                </c:pt>
                <c:pt idx="4">
                  <c:v>8.0467200000000005</c:v>
                </c:pt>
                <c:pt idx="5" formatCode="General">
                  <c:v>10</c:v>
                </c:pt>
                <c:pt idx="6" formatCode="General">
                  <c:v>12</c:v>
                </c:pt>
                <c:pt idx="7" formatCode="General">
                  <c:v>15</c:v>
                </c:pt>
                <c:pt idx="8" formatCode="General">
                  <c:v>16.093440000000001</c:v>
                </c:pt>
                <c:pt idx="9" formatCode="General">
                  <c:v>20</c:v>
                </c:pt>
                <c:pt idx="10" formatCode="General">
                  <c:v>21.0975</c:v>
                </c:pt>
                <c:pt idx="11" formatCode="General">
                  <c:v>25</c:v>
                </c:pt>
                <c:pt idx="12" formatCode="General">
                  <c:v>30</c:v>
                </c:pt>
                <c:pt idx="13" formatCode="General">
                  <c:v>42.195</c:v>
                </c:pt>
                <c:pt idx="14" formatCode="General">
                  <c:v>50</c:v>
                </c:pt>
                <c:pt idx="15" formatCode="General">
                  <c:v>80.467200000000005</c:v>
                </c:pt>
                <c:pt idx="16" formatCode="General">
                  <c:v>100</c:v>
                </c:pt>
                <c:pt idx="17" formatCode="General">
                  <c:v>150</c:v>
                </c:pt>
                <c:pt idx="18" formatCode="General">
                  <c:v>160.93440000000001</c:v>
                </c:pt>
                <c:pt idx="19" formatCode="General">
                  <c:v>200</c:v>
                </c:pt>
              </c:numCache>
            </c:numRef>
          </c:xVal>
          <c:yVal>
            <c:numRef>
              <c:f>Pace!$B$41:$U$41</c:f>
              <c:numCache>
                <c:formatCode>0</c:formatCode>
                <c:ptCount val="20"/>
                <c:pt idx="0">
                  <c:v>162.6</c:v>
                </c:pt>
                <c:pt idx="1">
                  <c:v>163.33333333333334</c:v>
                </c:pt>
                <c:pt idx="2">
                  <c:v>163.42062355841881</c:v>
                </c:pt>
                <c:pt idx="3">
                  <c:v>164.5</c:v>
                </c:pt>
                <c:pt idx="4">
                  <c:v>164.66336594289348</c:v>
                </c:pt>
                <c:pt idx="5">
                  <c:v>165.4</c:v>
                </c:pt>
                <c:pt idx="6">
                  <c:v>166.33333333333334</c:v>
                </c:pt>
                <c:pt idx="7">
                  <c:v>167.46666666666667</c:v>
                </c:pt>
                <c:pt idx="8">
                  <c:v>167.64594766563269</c:v>
                </c:pt>
                <c:pt idx="9">
                  <c:v>169.15</c:v>
                </c:pt>
                <c:pt idx="10">
                  <c:v>169.64095271951652</c:v>
                </c:pt>
                <c:pt idx="11">
                  <c:v>169.88</c:v>
                </c:pt>
                <c:pt idx="12">
                  <c:v>170.9</c:v>
                </c:pt>
                <c:pt idx="13">
                  <c:v>175.25773195876289</c:v>
                </c:pt>
                <c:pt idx="14">
                  <c:v>180.32</c:v>
                </c:pt>
                <c:pt idx="15">
                  <c:v>204.26956573610116</c:v>
                </c:pt>
                <c:pt idx="16">
                  <c:v>218.34</c:v>
                </c:pt>
                <c:pt idx="17">
                  <c:v>247.36666666666667</c:v>
                </c:pt>
                <c:pt idx="18">
                  <c:v>252.73030501869084</c:v>
                </c:pt>
                <c:pt idx="19">
                  <c:v>269.85500000000002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74-4AC0-B9EE-F3FB9E77EC07}"/>
            </c:ext>
          </c:extLst>
        </c:ser>
        <c:ser>
          <c:idx val="1"/>
          <c:order val="1"/>
          <c:tx>
            <c:v>50 yrs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Pace!$B$3:$U$3</c:f>
              <c:numCache>
                <c:formatCode>0.0000</c:formatCode>
                <c:ptCount val="20"/>
                <c:pt idx="0" formatCode="General">
                  <c:v>5</c:v>
                </c:pt>
                <c:pt idx="1">
                  <c:v>6</c:v>
                </c:pt>
                <c:pt idx="2" formatCode="General">
                  <c:v>6.4373760000000004</c:v>
                </c:pt>
                <c:pt idx="3" formatCode="General">
                  <c:v>8</c:v>
                </c:pt>
                <c:pt idx="4">
                  <c:v>8.0467200000000005</c:v>
                </c:pt>
                <c:pt idx="5" formatCode="General">
                  <c:v>10</c:v>
                </c:pt>
                <c:pt idx="6" formatCode="General">
                  <c:v>12</c:v>
                </c:pt>
                <c:pt idx="7" formatCode="General">
                  <c:v>15</c:v>
                </c:pt>
                <c:pt idx="8" formatCode="General">
                  <c:v>16.093440000000001</c:v>
                </c:pt>
                <c:pt idx="9" formatCode="General">
                  <c:v>20</c:v>
                </c:pt>
                <c:pt idx="10" formatCode="General">
                  <c:v>21.0975</c:v>
                </c:pt>
                <c:pt idx="11" formatCode="General">
                  <c:v>25</c:v>
                </c:pt>
                <c:pt idx="12" formatCode="General">
                  <c:v>30</c:v>
                </c:pt>
                <c:pt idx="13" formatCode="General">
                  <c:v>42.195</c:v>
                </c:pt>
                <c:pt idx="14" formatCode="General">
                  <c:v>50</c:v>
                </c:pt>
                <c:pt idx="15" formatCode="General">
                  <c:v>80.467200000000005</c:v>
                </c:pt>
                <c:pt idx="16" formatCode="General">
                  <c:v>100</c:v>
                </c:pt>
                <c:pt idx="17" formatCode="General">
                  <c:v>150</c:v>
                </c:pt>
                <c:pt idx="18" formatCode="General">
                  <c:v>160.93440000000001</c:v>
                </c:pt>
                <c:pt idx="19" formatCode="General">
                  <c:v>200</c:v>
                </c:pt>
              </c:numCache>
            </c:numRef>
          </c:xVal>
          <c:yVal>
            <c:numRef>
              <c:f>Pace!$B$51:$U$51</c:f>
              <c:numCache>
                <c:formatCode>0</c:formatCode>
                <c:ptCount val="20"/>
                <c:pt idx="0">
                  <c:v>175.6</c:v>
                </c:pt>
                <c:pt idx="1">
                  <c:v>176.5</c:v>
                </c:pt>
                <c:pt idx="2">
                  <c:v>176.7801041915215</c:v>
                </c:pt>
                <c:pt idx="3">
                  <c:v>178</c:v>
                </c:pt>
                <c:pt idx="4">
                  <c:v>178.20925793366737</c:v>
                </c:pt>
                <c:pt idx="5">
                  <c:v>179.2</c:v>
                </c:pt>
                <c:pt idx="6">
                  <c:v>180.41666666666666</c:v>
                </c:pt>
                <c:pt idx="7">
                  <c:v>181.86666666666667</c:v>
                </c:pt>
                <c:pt idx="8">
                  <c:v>182.12389644476258</c:v>
                </c:pt>
                <c:pt idx="9">
                  <c:v>183.95</c:v>
                </c:pt>
                <c:pt idx="10">
                  <c:v>184.52423272899634</c:v>
                </c:pt>
                <c:pt idx="11">
                  <c:v>184.96</c:v>
                </c:pt>
                <c:pt idx="12">
                  <c:v>186.23333333333332</c:v>
                </c:pt>
                <c:pt idx="13">
                  <c:v>191.30228700082949</c:v>
                </c:pt>
                <c:pt idx="14">
                  <c:v>196.8</c:v>
                </c:pt>
                <c:pt idx="15">
                  <c:v>222.94798377475541</c:v>
                </c:pt>
                <c:pt idx="16">
                  <c:v>238.31</c:v>
                </c:pt>
                <c:pt idx="17">
                  <c:v>270</c:v>
                </c:pt>
                <c:pt idx="18">
                  <c:v>275.85152708184205</c:v>
                </c:pt>
                <c:pt idx="19">
                  <c:v>294.54500000000002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74-4AC0-B9EE-F3FB9E77EC07}"/>
            </c:ext>
          </c:extLst>
        </c:ser>
        <c:ser>
          <c:idx val="2"/>
          <c:order val="2"/>
          <c:tx>
            <c:v>60 yrs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Pace!$B$3:$U$3</c:f>
              <c:numCache>
                <c:formatCode>0.0000</c:formatCode>
                <c:ptCount val="20"/>
                <c:pt idx="0" formatCode="General">
                  <c:v>5</c:v>
                </c:pt>
                <c:pt idx="1">
                  <c:v>6</c:v>
                </c:pt>
                <c:pt idx="2" formatCode="General">
                  <c:v>6.4373760000000004</c:v>
                </c:pt>
                <c:pt idx="3" formatCode="General">
                  <c:v>8</c:v>
                </c:pt>
                <c:pt idx="4">
                  <c:v>8.0467200000000005</c:v>
                </c:pt>
                <c:pt idx="5" formatCode="General">
                  <c:v>10</c:v>
                </c:pt>
                <c:pt idx="6" formatCode="General">
                  <c:v>12</c:v>
                </c:pt>
                <c:pt idx="7" formatCode="General">
                  <c:v>15</c:v>
                </c:pt>
                <c:pt idx="8" formatCode="General">
                  <c:v>16.093440000000001</c:v>
                </c:pt>
                <c:pt idx="9" formatCode="General">
                  <c:v>20</c:v>
                </c:pt>
                <c:pt idx="10" formatCode="General">
                  <c:v>21.0975</c:v>
                </c:pt>
                <c:pt idx="11" formatCode="General">
                  <c:v>25</c:v>
                </c:pt>
                <c:pt idx="12" formatCode="General">
                  <c:v>30</c:v>
                </c:pt>
                <c:pt idx="13" formatCode="General">
                  <c:v>42.195</c:v>
                </c:pt>
                <c:pt idx="14" formatCode="General">
                  <c:v>50</c:v>
                </c:pt>
                <c:pt idx="15" formatCode="General">
                  <c:v>80.467200000000005</c:v>
                </c:pt>
                <c:pt idx="16" formatCode="General">
                  <c:v>100</c:v>
                </c:pt>
                <c:pt idx="17" formatCode="General">
                  <c:v>150</c:v>
                </c:pt>
                <c:pt idx="18" formatCode="General">
                  <c:v>160.93440000000001</c:v>
                </c:pt>
                <c:pt idx="19" formatCode="General">
                  <c:v>200</c:v>
                </c:pt>
              </c:numCache>
            </c:numRef>
          </c:xVal>
          <c:yVal>
            <c:numRef>
              <c:f>Pace!$B$61:$U$61</c:f>
              <c:numCache>
                <c:formatCode>0</c:formatCode>
                <c:ptCount val="20"/>
                <c:pt idx="0">
                  <c:v>190.8</c:v>
                </c:pt>
                <c:pt idx="1">
                  <c:v>192.16666666666666</c:v>
                </c:pt>
                <c:pt idx="2">
                  <c:v>192.46972679551419</c:v>
                </c:pt>
                <c:pt idx="3">
                  <c:v>194.125</c:v>
                </c:pt>
                <c:pt idx="4">
                  <c:v>194.36490893183804</c:v>
                </c:pt>
                <c:pt idx="5">
                  <c:v>195.8</c:v>
                </c:pt>
                <c:pt idx="6">
                  <c:v>197.33333333333334</c:v>
                </c:pt>
                <c:pt idx="7">
                  <c:v>199.06666666666666</c:v>
                </c:pt>
                <c:pt idx="8">
                  <c:v>199.39801558896045</c:v>
                </c:pt>
                <c:pt idx="9">
                  <c:v>201.6</c:v>
                </c:pt>
                <c:pt idx="10">
                  <c:v>202.29885057471265</c:v>
                </c:pt>
                <c:pt idx="11">
                  <c:v>202.96</c:v>
                </c:pt>
                <c:pt idx="12">
                  <c:v>204.56666666666666</c:v>
                </c:pt>
                <c:pt idx="13">
                  <c:v>210.56997274558597</c:v>
                </c:pt>
                <c:pt idx="14">
                  <c:v>216.62</c:v>
                </c:pt>
                <c:pt idx="15">
                  <c:v>245.40433866221267</c:v>
                </c:pt>
                <c:pt idx="16">
                  <c:v>262.31</c:v>
                </c:pt>
                <c:pt idx="17">
                  <c:v>297.18666666666667</c:v>
                </c:pt>
                <c:pt idx="18">
                  <c:v>303.62681937485087</c:v>
                </c:pt>
                <c:pt idx="19">
                  <c:v>324.20499999999998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74-4AC0-B9EE-F3FB9E77EC07}"/>
            </c:ext>
          </c:extLst>
        </c:ser>
        <c:ser>
          <c:idx val="3"/>
          <c:order val="3"/>
          <c:tx>
            <c:v>70 yrs</c:v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  <a:prstDash val="solid"/>
              </a:ln>
            </c:spPr>
          </c:marker>
          <c:xVal>
            <c:numRef>
              <c:f>Pace!$B$3:$U$3</c:f>
              <c:numCache>
                <c:formatCode>0.0000</c:formatCode>
                <c:ptCount val="20"/>
                <c:pt idx="0" formatCode="General">
                  <c:v>5</c:v>
                </c:pt>
                <c:pt idx="1">
                  <c:v>6</c:v>
                </c:pt>
                <c:pt idx="2" formatCode="General">
                  <c:v>6.4373760000000004</c:v>
                </c:pt>
                <c:pt idx="3" formatCode="General">
                  <c:v>8</c:v>
                </c:pt>
                <c:pt idx="4">
                  <c:v>8.0467200000000005</c:v>
                </c:pt>
                <c:pt idx="5" formatCode="General">
                  <c:v>10</c:v>
                </c:pt>
                <c:pt idx="6" formatCode="General">
                  <c:v>12</c:v>
                </c:pt>
                <c:pt idx="7" formatCode="General">
                  <c:v>15</c:v>
                </c:pt>
                <c:pt idx="8" formatCode="General">
                  <c:v>16.093440000000001</c:v>
                </c:pt>
                <c:pt idx="9" formatCode="General">
                  <c:v>20</c:v>
                </c:pt>
                <c:pt idx="10" formatCode="General">
                  <c:v>21.0975</c:v>
                </c:pt>
                <c:pt idx="11" formatCode="General">
                  <c:v>25</c:v>
                </c:pt>
                <c:pt idx="12" formatCode="General">
                  <c:v>30</c:v>
                </c:pt>
                <c:pt idx="13" formatCode="General">
                  <c:v>42.195</c:v>
                </c:pt>
                <c:pt idx="14" formatCode="General">
                  <c:v>50</c:v>
                </c:pt>
                <c:pt idx="15" formatCode="General">
                  <c:v>80.467200000000005</c:v>
                </c:pt>
                <c:pt idx="16" formatCode="General">
                  <c:v>100</c:v>
                </c:pt>
                <c:pt idx="17" formatCode="General">
                  <c:v>150</c:v>
                </c:pt>
                <c:pt idx="18" formatCode="General">
                  <c:v>160.93440000000001</c:v>
                </c:pt>
                <c:pt idx="19" formatCode="General">
                  <c:v>200</c:v>
                </c:pt>
              </c:numCache>
            </c:numRef>
          </c:xVal>
          <c:yVal>
            <c:numRef>
              <c:f>Pace!$B$71:$U$71</c:f>
              <c:numCache>
                <c:formatCode>0</c:formatCode>
                <c:ptCount val="20"/>
                <c:pt idx="0">
                  <c:v>209.6</c:v>
                </c:pt>
                <c:pt idx="1">
                  <c:v>211.16666666666666</c:v>
                </c:pt>
                <c:pt idx="2">
                  <c:v>211.73223375487154</c:v>
                </c:pt>
                <c:pt idx="3">
                  <c:v>213.75</c:v>
                </c:pt>
                <c:pt idx="4">
                  <c:v>214.12451284498528</c:v>
                </c:pt>
                <c:pt idx="5">
                  <c:v>215.9</c:v>
                </c:pt>
                <c:pt idx="6">
                  <c:v>217.83333333333334</c:v>
                </c:pt>
                <c:pt idx="7">
                  <c:v>220.06666666666666</c:v>
                </c:pt>
                <c:pt idx="8">
                  <c:v>220.52463612502982</c:v>
                </c:pt>
                <c:pt idx="9">
                  <c:v>223.25</c:v>
                </c:pt>
                <c:pt idx="10">
                  <c:v>224.14978077971324</c:v>
                </c:pt>
                <c:pt idx="11">
                  <c:v>225.08</c:v>
                </c:pt>
                <c:pt idx="12">
                  <c:v>227.06666666666666</c:v>
                </c:pt>
                <c:pt idx="13">
                  <c:v>234.1509657542363</c:v>
                </c:pt>
                <c:pt idx="14">
                  <c:v>240.88</c:v>
                </c:pt>
                <c:pt idx="15">
                  <c:v>272.88137278294755</c:v>
                </c:pt>
                <c:pt idx="16">
                  <c:v>291.68</c:v>
                </c:pt>
                <c:pt idx="17">
                  <c:v>330.46666666666664</c:v>
                </c:pt>
                <c:pt idx="18">
                  <c:v>337.62825101407776</c:v>
                </c:pt>
                <c:pt idx="19">
                  <c:v>360.51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74-4AC0-B9EE-F3FB9E77EC07}"/>
            </c:ext>
          </c:extLst>
        </c:ser>
        <c:ser>
          <c:idx val="4"/>
          <c:order val="4"/>
          <c:tx>
            <c:v>80 yrs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Pace!$B$3:$U$3</c:f>
              <c:numCache>
                <c:formatCode>0.0000</c:formatCode>
                <c:ptCount val="20"/>
                <c:pt idx="0" formatCode="General">
                  <c:v>5</c:v>
                </c:pt>
                <c:pt idx="1">
                  <c:v>6</c:v>
                </c:pt>
                <c:pt idx="2" formatCode="General">
                  <c:v>6.4373760000000004</c:v>
                </c:pt>
                <c:pt idx="3" formatCode="General">
                  <c:v>8</c:v>
                </c:pt>
                <c:pt idx="4">
                  <c:v>8.0467200000000005</c:v>
                </c:pt>
                <c:pt idx="5" formatCode="General">
                  <c:v>10</c:v>
                </c:pt>
                <c:pt idx="6" formatCode="General">
                  <c:v>12</c:v>
                </c:pt>
                <c:pt idx="7" formatCode="General">
                  <c:v>15</c:v>
                </c:pt>
                <c:pt idx="8" formatCode="General">
                  <c:v>16.093440000000001</c:v>
                </c:pt>
                <c:pt idx="9" formatCode="General">
                  <c:v>20</c:v>
                </c:pt>
                <c:pt idx="10" formatCode="General">
                  <c:v>21.0975</c:v>
                </c:pt>
                <c:pt idx="11" formatCode="General">
                  <c:v>25</c:v>
                </c:pt>
                <c:pt idx="12" formatCode="General">
                  <c:v>30</c:v>
                </c:pt>
                <c:pt idx="13" formatCode="General">
                  <c:v>42.195</c:v>
                </c:pt>
                <c:pt idx="14" formatCode="General">
                  <c:v>50</c:v>
                </c:pt>
                <c:pt idx="15" formatCode="General">
                  <c:v>80.467200000000005</c:v>
                </c:pt>
                <c:pt idx="16" formatCode="General">
                  <c:v>100</c:v>
                </c:pt>
                <c:pt idx="17" formatCode="General">
                  <c:v>150</c:v>
                </c:pt>
                <c:pt idx="18" formatCode="General">
                  <c:v>160.93440000000001</c:v>
                </c:pt>
                <c:pt idx="19" formatCode="General">
                  <c:v>200</c:v>
                </c:pt>
              </c:numCache>
            </c:numRef>
          </c:xVal>
          <c:yVal>
            <c:numRef>
              <c:f>Pace!$B$81:$U$81</c:f>
              <c:numCache>
                <c:formatCode>0</c:formatCode>
                <c:ptCount val="20"/>
                <c:pt idx="0">
                  <c:v>249</c:v>
                </c:pt>
                <c:pt idx="1">
                  <c:v>250.16666666666666</c:v>
                </c:pt>
                <c:pt idx="2">
                  <c:v>250.41259047164559</c:v>
                </c:pt>
                <c:pt idx="3">
                  <c:v>252</c:v>
                </c:pt>
                <c:pt idx="4">
                  <c:v>252.27670404835757</c:v>
                </c:pt>
                <c:pt idx="5">
                  <c:v>253.5</c:v>
                </c:pt>
                <c:pt idx="6">
                  <c:v>257.58333333333331</c:v>
                </c:pt>
                <c:pt idx="7">
                  <c:v>261.86666666666667</c:v>
                </c:pt>
                <c:pt idx="8">
                  <c:v>263.02642567406343</c:v>
                </c:pt>
                <c:pt idx="9">
                  <c:v>268.25</c:v>
                </c:pt>
                <c:pt idx="10">
                  <c:v>269.79499940751276</c:v>
                </c:pt>
                <c:pt idx="11">
                  <c:v>270.12</c:v>
                </c:pt>
                <c:pt idx="12">
                  <c:v>271.7</c:v>
                </c:pt>
                <c:pt idx="13">
                  <c:v>278.58751036852709</c:v>
                </c:pt>
                <c:pt idx="14">
                  <c:v>286.60000000000002</c:v>
                </c:pt>
                <c:pt idx="15">
                  <c:v>324.66644794400696</c:v>
                </c:pt>
                <c:pt idx="16">
                  <c:v>347.03</c:v>
                </c:pt>
                <c:pt idx="17">
                  <c:v>393.17333333333335</c:v>
                </c:pt>
                <c:pt idx="18">
                  <c:v>401.69783464566927</c:v>
                </c:pt>
                <c:pt idx="19">
                  <c:v>428.92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74-4AC0-B9EE-F3FB9E77E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5792"/>
        <c:axId val="146716544"/>
      </c:scatterChart>
      <c:valAx>
        <c:axId val="146705792"/>
        <c:scaling>
          <c:logBase val="10"/>
          <c:orientation val="minMax"/>
          <c:max val="50"/>
          <c:min val="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44762776183863318"/>
              <c:y val="0.92880864229719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716544"/>
        <c:crosses val="autoZero"/>
        <c:crossBetween val="midCat"/>
        <c:majorUnit val="10"/>
      </c:valAx>
      <c:valAx>
        <c:axId val="146716544"/>
        <c:scaling>
          <c:orientation val="minMax"/>
          <c:max val="300"/>
          <c:min val="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Pace (min/km)</a:t>
                </a:r>
              </a:p>
            </c:rich>
          </c:tx>
          <c:layout>
            <c:manualLayout>
              <c:xMode val="edge"/>
              <c:yMode val="edge"/>
              <c:x val="4.4762757385854966E-3"/>
              <c:y val="0.428808294658531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705792"/>
        <c:crossesAt val="5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5028368610796"/>
          <c:y val="0.13302066936788992"/>
          <c:w val="8.6003980126238402E-2"/>
          <c:h val="0.204324411398944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Record pace</a:t>
            </a:r>
          </a:p>
        </c:rich>
      </c:tx>
      <c:layout>
        <c:manualLayout>
          <c:xMode val="edge"/>
          <c:yMode val="edge"/>
          <c:x val="0.37304708005249343"/>
          <c:y val="2.717390663245745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6.8359407596305655E-2"/>
          <c:y val="0.21875014512444876"/>
          <c:w val="0.82714883191529842"/>
          <c:h val="0.6752721871232984"/>
        </c:manualLayout>
      </c:layout>
      <c:scatterChart>
        <c:scatterStyle val="lineMarker"/>
        <c:varyColors val="0"/>
        <c:ser>
          <c:idx val="1"/>
          <c:order val="1"/>
          <c:tx>
            <c:v>Female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Parameters!$B$2:$B$32</c:f>
              <c:numCache>
                <c:formatCode>0.0000</c:formatCode>
                <c:ptCount val="3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12</c:v>
                </c:pt>
                <c:pt idx="18">
                  <c:v>15</c:v>
                </c:pt>
                <c:pt idx="19">
                  <c:v>16.093440000000001</c:v>
                </c:pt>
                <c:pt idx="20">
                  <c:v>20</c:v>
                </c:pt>
                <c:pt idx="21">
                  <c:v>21.0975</c:v>
                </c:pt>
                <c:pt idx="22">
                  <c:v>25</c:v>
                </c:pt>
                <c:pt idx="23">
                  <c:v>30</c:v>
                </c:pt>
                <c:pt idx="24">
                  <c:v>42.195</c:v>
                </c:pt>
                <c:pt idx="25">
                  <c:v>50</c:v>
                </c:pt>
                <c:pt idx="26">
                  <c:v>80.467200000000005</c:v>
                </c:pt>
                <c:pt idx="27">
                  <c:v>100</c:v>
                </c:pt>
                <c:pt idx="28">
                  <c:v>150</c:v>
                </c:pt>
                <c:pt idx="29">
                  <c:v>160.93440000000001</c:v>
                </c:pt>
                <c:pt idx="30">
                  <c:v>200</c:v>
                </c:pt>
              </c:numCache>
            </c:numRef>
          </c:xVal>
          <c:yVal>
            <c:numRef>
              <c:f>Parameters!$J$2:$J$32</c:f>
              <c:numCache>
                <c:formatCode>0.0000</c:formatCode>
                <c:ptCount val="31"/>
                <c:pt idx="10">
                  <c:v>2.4026352766510244</c:v>
                </c:pt>
                <c:pt idx="11">
                  <c:v>2.563333333333333</c:v>
                </c:pt>
                <c:pt idx="12">
                  <c:v>2.5833333333333335</c:v>
                </c:pt>
                <c:pt idx="13">
                  <c:v>2.5890466343222243</c:v>
                </c:pt>
                <c:pt idx="14">
                  <c:v>2.614583333333333</c:v>
                </c:pt>
                <c:pt idx="15">
                  <c:v>2.6180439566266336</c:v>
                </c:pt>
                <c:pt idx="16">
                  <c:v>2.64</c:v>
                </c:pt>
                <c:pt idx="17">
                  <c:v>2.6597222222222223</c:v>
                </c:pt>
                <c:pt idx="18">
                  <c:v>2.6833333333333331</c:v>
                </c:pt>
                <c:pt idx="19">
                  <c:v>2.6874304064264694</c:v>
                </c:pt>
                <c:pt idx="20">
                  <c:v>2.7166666666666668</c:v>
                </c:pt>
                <c:pt idx="21">
                  <c:v>2.726231386025201</c:v>
                </c:pt>
                <c:pt idx="22">
                  <c:v>2.7399999999999998</c:v>
                </c:pt>
                <c:pt idx="23">
                  <c:v>2.7666666666666666</c:v>
                </c:pt>
                <c:pt idx="24">
                  <c:v>2.8577635580835015</c:v>
                </c:pt>
                <c:pt idx="25">
                  <c:v>2.9399999999999995</c:v>
                </c:pt>
                <c:pt idx="26">
                  <c:v>3.3305495903921103</c:v>
                </c:pt>
                <c:pt idx="27">
                  <c:v>3.5600000000000005</c:v>
                </c:pt>
                <c:pt idx="28">
                  <c:v>4.0333333333333332</c:v>
                </c:pt>
                <c:pt idx="29">
                  <c:v>4.1207266231872532</c:v>
                </c:pt>
                <c:pt idx="30">
                  <c:v>4.4000000000000004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F9-4102-AE0A-E695BED149FC}"/>
            </c:ext>
          </c:extLst>
        </c:ser>
        <c:ser>
          <c:idx val="2"/>
          <c:order val="2"/>
          <c:tx>
            <c:v>Track: Adjusted records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Parameters!$B$2:$B$32</c:f>
              <c:numCache>
                <c:formatCode>0.0000</c:formatCode>
                <c:ptCount val="3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12</c:v>
                </c:pt>
                <c:pt idx="18">
                  <c:v>15</c:v>
                </c:pt>
                <c:pt idx="19">
                  <c:v>16.093440000000001</c:v>
                </c:pt>
                <c:pt idx="20">
                  <c:v>20</c:v>
                </c:pt>
                <c:pt idx="21">
                  <c:v>21.0975</c:v>
                </c:pt>
                <c:pt idx="22">
                  <c:v>25</c:v>
                </c:pt>
                <c:pt idx="23">
                  <c:v>30</c:v>
                </c:pt>
                <c:pt idx="24">
                  <c:v>42.195</c:v>
                </c:pt>
                <c:pt idx="25">
                  <c:v>50</c:v>
                </c:pt>
                <c:pt idx="26">
                  <c:v>80.467200000000005</c:v>
                </c:pt>
                <c:pt idx="27">
                  <c:v>100</c:v>
                </c:pt>
                <c:pt idx="28">
                  <c:v>150</c:v>
                </c:pt>
                <c:pt idx="29">
                  <c:v>160.93440000000001</c:v>
                </c:pt>
                <c:pt idx="30">
                  <c:v>200</c:v>
                </c:pt>
              </c:numCache>
            </c:numRef>
          </c:xVal>
          <c:yVal>
            <c:numRef>
              <c:f>Parameters!$K$2:$K$11</c:f>
              <c:numCache>
                <c:formatCode>0.0000</c:formatCode>
                <c:ptCount val="10"/>
                <c:pt idx="0" formatCode="@">
                  <c:v>1.7483333333333333</c:v>
                </c:pt>
                <c:pt idx="1">
                  <c:v>1.7783333333333331</c:v>
                </c:pt>
                <c:pt idx="2">
                  <c:v>1.9833333333333334</c:v>
                </c:pt>
                <c:pt idx="3">
                  <c:v>2.36</c:v>
                </c:pt>
                <c:pt idx="4">
                  <c:v>2.5606666666666671</c:v>
                </c:pt>
                <c:pt idx="5">
                  <c:v>2.5797260664386648</c:v>
                </c:pt>
                <c:pt idx="6">
                  <c:v>2.8033333333333332</c:v>
                </c:pt>
                <c:pt idx="7">
                  <c:v>2.9529666666666667</c:v>
                </c:pt>
                <c:pt idx="8">
                  <c:v>3.0809337599241617</c:v>
                </c:pt>
                <c:pt idx="9">
                  <c:v>3.2093059999210016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F9-4102-AE0A-E695BED149FC}"/>
            </c:ext>
          </c:extLst>
        </c:ser>
        <c:ser>
          <c:idx val="3"/>
          <c:order val="3"/>
          <c:tx>
            <c:v>Log-log fit</c:v>
          </c:tx>
          <c:spPr>
            <a:ln w="28575">
              <a:noFill/>
            </a:ln>
          </c:spPr>
          <c:marker>
            <c:symbol val="none"/>
          </c:marker>
          <c:xVal>
            <c:numRef>
              <c:f>Parameters!$B$2:$B$32</c:f>
              <c:numCache>
                <c:formatCode>0.0000</c:formatCode>
                <c:ptCount val="3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12</c:v>
                </c:pt>
                <c:pt idx="18">
                  <c:v>15</c:v>
                </c:pt>
                <c:pt idx="19">
                  <c:v>16.093440000000001</c:v>
                </c:pt>
                <c:pt idx="20">
                  <c:v>20</c:v>
                </c:pt>
                <c:pt idx="21">
                  <c:v>21.0975</c:v>
                </c:pt>
                <c:pt idx="22">
                  <c:v>25</c:v>
                </c:pt>
                <c:pt idx="23">
                  <c:v>30</c:v>
                </c:pt>
                <c:pt idx="24">
                  <c:v>42.195</c:v>
                </c:pt>
                <c:pt idx="25">
                  <c:v>50</c:v>
                </c:pt>
                <c:pt idx="26">
                  <c:v>80.467200000000005</c:v>
                </c:pt>
                <c:pt idx="27">
                  <c:v>100</c:v>
                </c:pt>
                <c:pt idx="28">
                  <c:v>150</c:v>
                </c:pt>
                <c:pt idx="29">
                  <c:v>160.93440000000001</c:v>
                </c:pt>
                <c:pt idx="30">
                  <c:v>200</c:v>
                </c:pt>
              </c:numCache>
            </c:numRef>
          </c:xVal>
          <c:yVal>
            <c:numRef>
              <c:f>Parameters!$N$13:$N$26</c:f>
              <c:numCache>
                <c:formatCode>0.000000</c:formatCode>
                <c:ptCount val="14"/>
                <c:pt idx="0">
                  <c:v>2.5633333333333335</c:v>
                </c:pt>
                <c:pt idx="2">
                  <c:v>2.596566452821941</c:v>
                </c:pt>
                <c:pt idx="3">
                  <c:v>2.6254930810671082</c:v>
                </c:pt>
                <c:pt idx="5">
                  <c:v>2.6555301395716415</c:v>
                </c:pt>
                <c:pt idx="6">
                  <c:v>2.6803271179352164</c:v>
                </c:pt>
                <c:pt idx="7">
                  <c:v>2.7109915074296214</c:v>
                </c:pt>
                <c:pt idx="8">
                  <c:v>2.7207331513091644</c:v>
                </c:pt>
                <c:pt idx="9">
                  <c:v>2.7510430385591862</c:v>
                </c:pt>
                <c:pt idx="10">
                  <c:v>2.7585454512681058</c:v>
                </c:pt>
                <c:pt idx="11">
                  <c:v>2.7825164563691867</c:v>
                </c:pt>
                <c:pt idx="12">
                  <c:v>2.8084992156445181</c:v>
                </c:pt>
                <c:pt idx="13">
                  <c:v>2.8577635580835019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F9-4102-AE0A-E695BED149FC}"/>
            </c:ext>
          </c:extLst>
        </c:ser>
        <c:ser>
          <c:idx val="4"/>
          <c:order val="4"/>
          <c:tx>
            <c:v>Male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Parameters!$B$2:$B$32</c:f>
              <c:numCache>
                <c:formatCode>0.0000</c:formatCode>
                <c:ptCount val="3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12</c:v>
                </c:pt>
                <c:pt idx="18">
                  <c:v>15</c:v>
                </c:pt>
                <c:pt idx="19">
                  <c:v>16.093440000000001</c:v>
                </c:pt>
                <c:pt idx="20">
                  <c:v>20</c:v>
                </c:pt>
                <c:pt idx="21">
                  <c:v>21.0975</c:v>
                </c:pt>
                <c:pt idx="22">
                  <c:v>25</c:v>
                </c:pt>
                <c:pt idx="23">
                  <c:v>30</c:v>
                </c:pt>
                <c:pt idx="24">
                  <c:v>42.195</c:v>
                </c:pt>
                <c:pt idx="25">
                  <c:v>50</c:v>
                </c:pt>
                <c:pt idx="26">
                  <c:v>80.467200000000005</c:v>
                </c:pt>
                <c:pt idx="27">
                  <c:v>100</c:v>
                </c:pt>
                <c:pt idx="28">
                  <c:v>150</c:v>
                </c:pt>
                <c:pt idx="29">
                  <c:v>160.93440000000001</c:v>
                </c:pt>
                <c:pt idx="30">
                  <c:v>200</c:v>
                </c:pt>
              </c:numCache>
            </c:numRef>
          </c:xVal>
          <c:yVal>
            <c:numRef>
              <c:f>Parameters!$AK$2:$AK$32</c:f>
              <c:numCache>
                <c:formatCode>0.000000</c:formatCode>
                <c:ptCount val="31"/>
                <c:pt idx="11">
                  <c:v>2.58</c:v>
                </c:pt>
                <c:pt idx="12">
                  <c:v>2.6111111111111112</c:v>
                </c:pt>
                <c:pt idx="13">
                  <c:v>2.6175261472997695</c:v>
                </c:pt>
                <c:pt idx="14">
                  <c:v>2.65</c:v>
                </c:pt>
                <c:pt idx="15">
                  <c:v>2.6511837535459581</c:v>
                </c:pt>
                <c:pt idx="16">
                  <c:v>2.6850000000000001</c:v>
                </c:pt>
                <c:pt idx="17">
                  <c:v>2.7097222222222221</c:v>
                </c:pt>
                <c:pt idx="18">
                  <c:v>2.7433333333333332</c:v>
                </c:pt>
                <c:pt idx="19">
                  <c:v>2.7578524748800337</c:v>
                </c:pt>
                <c:pt idx="20">
                  <c:v>2.7983333333333338</c:v>
                </c:pt>
                <c:pt idx="21">
                  <c:v>2.8068096535924476</c:v>
                </c:pt>
                <c:pt idx="22">
                  <c:v>2.8393333333333328</c:v>
                </c:pt>
                <c:pt idx="23">
                  <c:v>2.8772222222222221</c:v>
                </c:pt>
                <c:pt idx="24">
                  <c:v>2.9604613500809731</c:v>
                </c:pt>
                <c:pt idx="25">
                  <c:v>3.0266666666666673</c:v>
                </c:pt>
                <c:pt idx="26">
                  <c:v>3.3305429679810552</c:v>
                </c:pt>
                <c:pt idx="27">
                  <c:v>3.56</c:v>
                </c:pt>
                <c:pt idx="28">
                  <c:v>4.0333333333333332</c:v>
                </c:pt>
                <c:pt idx="29">
                  <c:v>4.1269403351096265</c:v>
                </c:pt>
                <c:pt idx="30">
                  <c:v>4.4000000000000004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F9-4102-AE0A-E695BED149FC}"/>
            </c:ext>
          </c:extLst>
        </c:ser>
        <c:ser>
          <c:idx val="5"/>
          <c:order val="5"/>
          <c:tx>
            <c:v>Male records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Parameters!$B$2:$B$32</c:f>
              <c:numCache>
                <c:formatCode>0.0000</c:formatCode>
                <c:ptCount val="3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12</c:v>
                </c:pt>
                <c:pt idx="18">
                  <c:v>15</c:v>
                </c:pt>
                <c:pt idx="19">
                  <c:v>16.093440000000001</c:v>
                </c:pt>
                <c:pt idx="20">
                  <c:v>20</c:v>
                </c:pt>
                <c:pt idx="21">
                  <c:v>21.0975</c:v>
                </c:pt>
                <c:pt idx="22">
                  <c:v>25</c:v>
                </c:pt>
                <c:pt idx="23">
                  <c:v>30</c:v>
                </c:pt>
                <c:pt idx="24">
                  <c:v>42.195</c:v>
                </c:pt>
                <c:pt idx="25">
                  <c:v>50</c:v>
                </c:pt>
                <c:pt idx="26">
                  <c:v>80.467200000000005</c:v>
                </c:pt>
                <c:pt idx="27">
                  <c:v>100</c:v>
                </c:pt>
                <c:pt idx="28">
                  <c:v>150</c:v>
                </c:pt>
                <c:pt idx="29">
                  <c:v>160.93440000000001</c:v>
                </c:pt>
                <c:pt idx="30">
                  <c:v>200</c:v>
                </c:pt>
              </c:numCache>
            </c:numRef>
          </c:xVal>
          <c:yVal>
            <c:numRef>
              <c:f>Parameters!$AL$2:$AL$32</c:f>
              <c:numCache>
                <c:formatCode>0.00000</c:formatCode>
                <c:ptCount val="31"/>
                <c:pt idx="0">
                  <c:v>1.63</c:v>
                </c:pt>
                <c:pt idx="1">
                  <c:v>1.61</c:v>
                </c:pt>
                <c:pt idx="2">
                  <c:v>1.79925</c:v>
                </c:pt>
                <c:pt idx="3">
                  <c:v>2.1065</c:v>
                </c:pt>
                <c:pt idx="4">
                  <c:v>2.2888888888888888</c:v>
                </c:pt>
                <c:pt idx="5">
                  <c:v>2.3094295978154245</c:v>
                </c:pt>
                <c:pt idx="6">
                  <c:v>2.5333333333333337</c:v>
                </c:pt>
                <c:pt idx="7">
                  <c:v>2.6383333333333332</c:v>
                </c:pt>
                <c:pt idx="8">
                  <c:v>2.8099695856539082</c:v>
                </c:pt>
                <c:pt idx="9">
                  <c:v>2.9604613500809736</c:v>
                </c:pt>
                <c:pt idx="11">
                  <c:v>2.6</c:v>
                </c:pt>
                <c:pt idx="14">
                  <c:v>2.7562500000000001</c:v>
                </c:pt>
                <c:pt idx="16">
                  <c:v>2.7183333333333333</c:v>
                </c:pt>
                <c:pt idx="17">
                  <c:v>2.7930555555555556</c:v>
                </c:pt>
                <c:pt idx="18">
                  <c:v>2.7655555555555558</c:v>
                </c:pt>
                <c:pt idx="19">
                  <c:v>2.8085977889127496</c:v>
                </c:pt>
                <c:pt idx="20">
                  <c:v>2.8149999999999999</c:v>
                </c:pt>
                <c:pt idx="21">
                  <c:v>2.8099695856539082</c:v>
                </c:pt>
                <c:pt idx="22">
                  <c:v>2.9146666666666663</c:v>
                </c:pt>
                <c:pt idx="23">
                  <c:v>2.9794444444444443</c:v>
                </c:pt>
                <c:pt idx="24">
                  <c:v>2.9604613500809736</c:v>
                </c:pt>
                <c:pt idx="25">
                  <c:v>3.2726666666666664</c:v>
                </c:pt>
                <c:pt idx="26">
                  <c:v>3.6145090381988418</c:v>
                </c:pt>
                <c:pt idx="27">
                  <c:v>3.7033333333333331</c:v>
                </c:pt>
                <c:pt idx="28">
                  <c:v>4.2446666666666673</c:v>
                </c:pt>
                <c:pt idx="29">
                  <c:v>4.2753444881889759</c:v>
                </c:pt>
                <c:pt idx="30">
                  <c:v>4.4083333333333332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F9-4102-AE0A-E695BED149FC}"/>
            </c:ext>
          </c:extLst>
        </c:ser>
        <c:ser>
          <c:idx val="6"/>
          <c:order val="6"/>
          <c:tx>
            <c:v>Female records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Parameters!$B$2:$B$32</c:f>
              <c:numCache>
                <c:formatCode>0.0000</c:formatCode>
                <c:ptCount val="3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12</c:v>
                </c:pt>
                <c:pt idx="18">
                  <c:v>15</c:v>
                </c:pt>
                <c:pt idx="19">
                  <c:v>16.093440000000001</c:v>
                </c:pt>
                <c:pt idx="20">
                  <c:v>20</c:v>
                </c:pt>
                <c:pt idx="21">
                  <c:v>21.0975</c:v>
                </c:pt>
                <c:pt idx="22">
                  <c:v>25</c:v>
                </c:pt>
                <c:pt idx="23">
                  <c:v>30</c:v>
                </c:pt>
                <c:pt idx="24">
                  <c:v>42.195</c:v>
                </c:pt>
                <c:pt idx="25">
                  <c:v>50</c:v>
                </c:pt>
                <c:pt idx="26">
                  <c:v>80.467200000000005</c:v>
                </c:pt>
                <c:pt idx="27">
                  <c:v>100</c:v>
                </c:pt>
                <c:pt idx="28">
                  <c:v>150</c:v>
                </c:pt>
                <c:pt idx="29">
                  <c:v>160.93440000000001</c:v>
                </c:pt>
                <c:pt idx="30">
                  <c:v>200</c:v>
                </c:pt>
              </c:numCache>
            </c:numRef>
          </c:xVal>
          <c:yVal>
            <c:numRef>
              <c:f>Parameters!$C$2:$C$32</c:f>
              <c:numCache>
                <c:formatCode>0.0000</c:formatCode>
                <c:ptCount val="31"/>
                <c:pt idx="0">
                  <c:v>1.63</c:v>
                </c:pt>
                <c:pt idx="1">
                  <c:v>1.6099999999999999</c:v>
                </c:pt>
                <c:pt idx="2">
                  <c:v>1.79925</c:v>
                </c:pt>
                <c:pt idx="3">
                  <c:v>2.1065</c:v>
                </c:pt>
                <c:pt idx="4">
                  <c:v>2.2888888888888888</c:v>
                </c:pt>
                <c:pt idx="5">
                  <c:v>2.3094295978154245</c:v>
                </c:pt>
                <c:pt idx="6">
                  <c:v>2.5233333333333334</c:v>
                </c:pt>
                <c:pt idx="7">
                  <c:v>2.63</c:v>
                </c:pt>
                <c:pt idx="8">
                  <c:v>2.7499308764861552</c:v>
                </c:pt>
                <c:pt idx="9">
                  <c:v>2.8830430145751862</c:v>
                </c:pt>
                <c:pt idx="10">
                  <c:v>2.4026352766510244</c:v>
                </c:pt>
                <c:pt idx="11">
                  <c:v>2.5633333333333335</c:v>
                </c:pt>
                <c:pt idx="14">
                  <c:v>2.7541666666666669</c:v>
                </c:pt>
                <c:pt idx="15">
                  <c:v>0</c:v>
                </c:pt>
                <c:pt idx="16">
                  <c:v>2.6399999999999997</c:v>
                </c:pt>
                <c:pt idx="17">
                  <c:v>2.8138888888888887</c:v>
                </c:pt>
                <c:pt idx="18">
                  <c:v>2.7388888888888889</c:v>
                </c:pt>
                <c:pt idx="19">
                  <c:v>2.7878854158381716</c:v>
                </c:pt>
                <c:pt idx="20">
                  <c:v>2.8008333333333333</c:v>
                </c:pt>
                <c:pt idx="21">
                  <c:v>2.7262313860252005</c:v>
                </c:pt>
                <c:pt idx="22">
                  <c:v>2.8486666666666669</c:v>
                </c:pt>
                <c:pt idx="23">
                  <c:v>2.8838888888888889</c:v>
                </c:pt>
                <c:pt idx="24">
                  <c:v>2.857763558083501</c:v>
                </c:pt>
                <c:pt idx="25">
                  <c:v>3.2726666666666664</c:v>
                </c:pt>
                <c:pt idx="26">
                  <c:v>3.6145162252445711</c:v>
                </c:pt>
                <c:pt idx="27">
                  <c:v>3.7033333333333331</c:v>
                </c:pt>
                <c:pt idx="28">
                  <c:v>4.2446666666666673</c:v>
                </c:pt>
                <c:pt idx="29">
                  <c:v>4.2753444881889759</c:v>
                </c:pt>
                <c:pt idx="30">
                  <c:v>4.4083333333333332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BF9-4102-AE0A-E695BED149FC}"/>
            </c:ext>
          </c:extLst>
        </c:ser>
        <c:ser>
          <c:idx val="7"/>
          <c:order val="7"/>
          <c:tx>
            <c:v>Male Performance factor</c:v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Parameters!$B$2:$B$32</c:f>
              <c:numCache>
                <c:formatCode>0.0000</c:formatCode>
                <c:ptCount val="3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12</c:v>
                </c:pt>
                <c:pt idx="18">
                  <c:v>15</c:v>
                </c:pt>
                <c:pt idx="19">
                  <c:v>16.093440000000001</c:v>
                </c:pt>
                <c:pt idx="20">
                  <c:v>20</c:v>
                </c:pt>
                <c:pt idx="21">
                  <c:v>21.0975</c:v>
                </c:pt>
                <c:pt idx="22">
                  <c:v>25</c:v>
                </c:pt>
                <c:pt idx="23">
                  <c:v>30</c:v>
                </c:pt>
                <c:pt idx="24">
                  <c:v>42.195</c:v>
                </c:pt>
                <c:pt idx="25">
                  <c:v>50</c:v>
                </c:pt>
                <c:pt idx="26">
                  <c:v>80.467200000000005</c:v>
                </c:pt>
                <c:pt idx="27">
                  <c:v>100</c:v>
                </c:pt>
                <c:pt idx="28">
                  <c:v>150</c:v>
                </c:pt>
                <c:pt idx="29">
                  <c:v>160.93440000000001</c:v>
                </c:pt>
                <c:pt idx="30">
                  <c:v>200</c:v>
                </c:pt>
              </c:numCache>
            </c:numRef>
          </c:xVal>
          <c:yVal>
            <c:numRef>
              <c:f>Parameters!$AM$2:$AM$32</c:f>
              <c:numCache>
                <c:formatCode>General</c:formatCode>
                <c:ptCount val="31"/>
                <c:pt idx="11" formatCode="0.0000">
                  <c:v>2.6011947544716691</c:v>
                </c:pt>
                <c:pt idx="12" formatCode="0.0000">
                  <c:v>2.6312929744937663</c:v>
                </c:pt>
                <c:pt idx="13" formatCode="0.0000">
                  <c:v>2.6430013951486009</c:v>
                </c:pt>
                <c:pt idx="14" formatCode="0.0000">
                  <c:v>2.6794943180815198</c:v>
                </c:pt>
                <c:pt idx="15" formatCode="0.0000">
                  <c:v>2.6804790313079039</c:v>
                </c:pt>
                <c:pt idx="16" formatCode="0.0000">
                  <c:v>2.7174894221810897</c:v>
                </c:pt>
                <c:pt idx="17" formatCode="0.0000">
                  <c:v>2.7489332786612395</c:v>
                </c:pt>
                <c:pt idx="18" formatCode="0.0000">
                  <c:v>2.7879130239738878</c:v>
                </c:pt>
                <c:pt idx="19" formatCode="0.0000">
                  <c:v>2.8003183542621493</c:v>
                </c:pt>
                <c:pt idx="20" formatCode="0.0000">
                  <c:v>2.8389834121305668</c:v>
                </c:pt>
                <c:pt idx="21" formatCode="0.0000">
                  <c:v>2.8485696191191034</c:v>
                </c:pt>
                <c:pt idx="22" formatCode="0.0000">
                  <c:v>2.8792400641237994</c:v>
                </c:pt>
                <c:pt idx="23" formatCode="0.0000">
                  <c:v>2.9125555245665282</c:v>
                </c:pt>
                <c:pt idx="24" formatCode="0.0000">
                  <c:v>2.9759239653221776</c:v>
                </c:pt>
                <c:pt idx="25" formatCode="0.0000">
                  <c:v>3.0079656299190201</c:v>
                </c:pt>
                <c:pt idx="26" formatCode="0.0000">
                  <c:v>3.0996482612584857</c:v>
                </c:pt>
                <c:pt idx="27" formatCode="0.0000">
                  <c:v>3.1424462807089837</c:v>
                </c:pt>
                <c:pt idx="28" formatCode="0.0000">
                  <c:v>3.2238826181318867</c:v>
                </c:pt>
                <c:pt idx="29" formatCode="0.0000">
                  <c:v>3.2382278750838078</c:v>
                </c:pt>
                <c:pt idx="30" formatCode="0.0000">
                  <c:v>3.2829393158350597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BF9-4102-AE0A-E695BED149FC}"/>
            </c:ext>
          </c:extLst>
        </c:ser>
        <c:ser>
          <c:idx val="8"/>
          <c:order val="8"/>
          <c:tx>
            <c:v>Female Performance factor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Parameters!$B$2:$B$32</c:f>
              <c:numCache>
                <c:formatCode>0.0000</c:formatCode>
                <c:ptCount val="31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5</c:v>
                </c:pt>
                <c:pt idx="7">
                  <c:v>10</c:v>
                </c:pt>
                <c:pt idx="8">
                  <c:v>21.0975</c:v>
                </c:pt>
                <c:pt idx="9">
                  <c:v>42.195</c:v>
                </c:pt>
                <c:pt idx="10">
                  <c:v>1.6093440000000001</c:v>
                </c:pt>
                <c:pt idx="11">
                  <c:v>5</c:v>
                </c:pt>
                <c:pt idx="12">
                  <c:v>6</c:v>
                </c:pt>
                <c:pt idx="13">
                  <c:v>6.4373760000000004</c:v>
                </c:pt>
                <c:pt idx="14">
                  <c:v>8</c:v>
                </c:pt>
                <c:pt idx="15">
                  <c:v>8.0467200000000005</c:v>
                </c:pt>
                <c:pt idx="16">
                  <c:v>10</c:v>
                </c:pt>
                <c:pt idx="17">
                  <c:v>12</c:v>
                </c:pt>
                <c:pt idx="18">
                  <c:v>15</c:v>
                </c:pt>
                <c:pt idx="19">
                  <c:v>16.093440000000001</c:v>
                </c:pt>
                <c:pt idx="20">
                  <c:v>20</c:v>
                </c:pt>
                <c:pt idx="21">
                  <c:v>21.0975</c:v>
                </c:pt>
                <c:pt idx="22">
                  <c:v>25</c:v>
                </c:pt>
                <c:pt idx="23">
                  <c:v>30</c:v>
                </c:pt>
                <c:pt idx="24">
                  <c:v>42.195</c:v>
                </c:pt>
                <c:pt idx="25">
                  <c:v>50</c:v>
                </c:pt>
                <c:pt idx="26">
                  <c:v>80.467200000000005</c:v>
                </c:pt>
                <c:pt idx="27">
                  <c:v>100</c:v>
                </c:pt>
                <c:pt idx="28">
                  <c:v>150</c:v>
                </c:pt>
                <c:pt idx="29">
                  <c:v>160.93440000000001</c:v>
                </c:pt>
                <c:pt idx="30">
                  <c:v>200</c:v>
                </c:pt>
              </c:numCache>
            </c:numRef>
          </c:xVal>
          <c:yVal>
            <c:numRef>
              <c:f>Parameters!$AN$2:$AN$32</c:f>
              <c:numCache>
                <c:formatCode>General</c:formatCode>
                <c:ptCount val="31"/>
                <c:pt idx="11" formatCode="0.0000">
                  <c:v>2.9803750963887921</c:v>
                </c:pt>
                <c:pt idx="12" formatCode="0.0000">
                  <c:v>3.0035587331855651</c:v>
                </c:pt>
                <c:pt idx="13" formatCode="0.0000">
                  <c:v>3.0125539134726247</c:v>
                </c:pt>
                <c:pt idx="14" formatCode="0.0000">
                  <c:v>3.0405071224784468</c:v>
                </c:pt>
                <c:pt idx="15" formatCode="0.0000">
                  <c:v>3.0412596744150644</c:v>
                </c:pt>
                <c:pt idx="16" formatCode="0.0000">
                  <c:v>3.0694792415204732</c:v>
                </c:pt>
                <c:pt idx="17" formatCode="0.0000">
                  <c:v>3.0933559985021257</c:v>
                </c:pt>
                <c:pt idx="18" formatCode="0.0000">
                  <c:v>3.1228316993039442</c:v>
                </c:pt>
                <c:pt idx="19" formatCode="0.0000">
                  <c:v>3.1321840831381662</c:v>
                </c:pt>
                <c:pt idx="20" formatCode="0.0000">
                  <c:v>3.1612473294187096</c:v>
                </c:pt>
                <c:pt idx="21" formatCode="0.0000">
                  <c:v>3.1684329273190817</c:v>
                </c:pt>
                <c:pt idx="22" formatCode="0.0000">
                  <c:v>3.1913699472123334</c:v>
                </c:pt>
                <c:pt idx="23" formatCode="0.0000">
                  <c:v>3.2161948633210322</c:v>
                </c:pt>
                <c:pt idx="24" formatCode="0.0000">
                  <c:v>3.2631594292744608</c:v>
                </c:pt>
                <c:pt idx="25" formatCode="0.0000">
                  <c:v>3.286782196257712</c:v>
                </c:pt>
                <c:pt idx="26" formatCode="0.0000">
                  <c:v>3.3539262102195408</c:v>
                </c:pt>
                <c:pt idx="27" formatCode="0.0000">
                  <c:v>3.3850469811790553</c:v>
                </c:pt>
                <c:pt idx="28" formatCode="0.0000">
                  <c:v>3.4438845109187777</c:v>
                </c:pt>
                <c:pt idx="29" formatCode="0.0000">
                  <c:v>3.4541983968172794</c:v>
                </c:pt>
                <c:pt idx="30" formatCode="0.0000">
                  <c:v>3.4862495841178602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BF9-4102-AE0A-E695BED14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36832"/>
        <c:axId val="1421387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Parameters!$B$1:$B$1</c15:sqref>
                        </c15:formulaRef>
                      </c:ext>
                    </c:extLst>
                    <c:strCache>
                      <c:ptCount val="1"/>
                      <c:pt idx="0">
                        <c:v>km</c:v>
                      </c:pt>
                    </c:strCache>
                  </c:strRef>
                </c:tx>
                <c:spPr>
                  <a:ln w="28575">
                    <a:noFill/>
                  </a:ln>
                </c:spPr>
                <c:marker>
                  <c:symbol val="square"/>
                  <c:size val="5"/>
                  <c:spPr>
                    <a:solidFill>
                      <a:srgbClr val="FF0000"/>
                    </a:solidFill>
                    <a:ln>
                      <a:solidFill>
                        <a:srgbClr val="000000"/>
                      </a:solidFill>
                      <a:prstDash val="solid"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Parameters!$B$2:$B$32</c15:sqref>
                        </c15:formulaRef>
                      </c:ext>
                    </c:extLst>
                    <c:numCache>
                      <c:formatCode>0.0000</c:formatCode>
                      <c:ptCount val="31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0.4</c:v>
                      </c:pt>
                      <c:pt idx="3">
                        <c:v>0.8</c:v>
                      </c:pt>
                      <c:pt idx="4">
                        <c:v>1.5</c:v>
                      </c:pt>
                      <c:pt idx="5">
                        <c:v>1.6093440000000001</c:v>
                      </c:pt>
                      <c:pt idx="6">
                        <c:v>5</c:v>
                      </c:pt>
                      <c:pt idx="7">
                        <c:v>10</c:v>
                      </c:pt>
                      <c:pt idx="8">
                        <c:v>21.0975</c:v>
                      </c:pt>
                      <c:pt idx="9">
                        <c:v>42.195</c:v>
                      </c:pt>
                      <c:pt idx="10">
                        <c:v>1.6093440000000001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6.4373760000000004</c:v>
                      </c:pt>
                      <c:pt idx="14">
                        <c:v>8</c:v>
                      </c:pt>
                      <c:pt idx="15">
                        <c:v>8.0467200000000005</c:v>
                      </c:pt>
                      <c:pt idx="16">
                        <c:v>10</c:v>
                      </c:pt>
                      <c:pt idx="17">
                        <c:v>12</c:v>
                      </c:pt>
                      <c:pt idx="18">
                        <c:v>15</c:v>
                      </c:pt>
                      <c:pt idx="19">
                        <c:v>16.093440000000001</c:v>
                      </c:pt>
                      <c:pt idx="20">
                        <c:v>20</c:v>
                      </c:pt>
                      <c:pt idx="21">
                        <c:v>21.0975</c:v>
                      </c:pt>
                      <c:pt idx="22">
                        <c:v>25</c:v>
                      </c:pt>
                      <c:pt idx="23">
                        <c:v>30</c:v>
                      </c:pt>
                      <c:pt idx="24">
                        <c:v>42.195</c:v>
                      </c:pt>
                      <c:pt idx="25">
                        <c:v>50</c:v>
                      </c:pt>
                      <c:pt idx="26">
                        <c:v>80.467200000000005</c:v>
                      </c:pt>
                      <c:pt idx="27">
                        <c:v>100</c:v>
                      </c:pt>
                      <c:pt idx="28">
                        <c:v>150</c:v>
                      </c:pt>
                      <c:pt idx="29">
                        <c:v>160.93440000000001</c:v>
                      </c:pt>
                      <c:pt idx="30">
                        <c:v>200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Parameters!$B$2:$B$26</c15:sqref>
                        </c15:formulaRef>
                      </c:ext>
                    </c:extLst>
                    <c:numCache>
                      <c:formatCode>0.0000</c:formatCode>
                      <c:ptCount val="25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0.4</c:v>
                      </c:pt>
                      <c:pt idx="3">
                        <c:v>0.8</c:v>
                      </c:pt>
                      <c:pt idx="4">
                        <c:v>1.5</c:v>
                      </c:pt>
                      <c:pt idx="5">
                        <c:v>1.6093440000000001</c:v>
                      </c:pt>
                      <c:pt idx="6">
                        <c:v>5</c:v>
                      </c:pt>
                      <c:pt idx="7">
                        <c:v>10</c:v>
                      </c:pt>
                      <c:pt idx="8">
                        <c:v>21.0975</c:v>
                      </c:pt>
                      <c:pt idx="9">
                        <c:v>42.195</c:v>
                      </c:pt>
                      <c:pt idx="10">
                        <c:v>1.6093440000000001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6.4373760000000004</c:v>
                      </c:pt>
                      <c:pt idx="14">
                        <c:v>8</c:v>
                      </c:pt>
                      <c:pt idx="15">
                        <c:v>8.0467200000000005</c:v>
                      </c:pt>
                      <c:pt idx="16">
                        <c:v>10</c:v>
                      </c:pt>
                      <c:pt idx="17">
                        <c:v>12</c:v>
                      </c:pt>
                      <c:pt idx="18">
                        <c:v>15</c:v>
                      </c:pt>
                      <c:pt idx="19">
                        <c:v>16.093440000000001</c:v>
                      </c:pt>
                      <c:pt idx="20">
                        <c:v>20</c:v>
                      </c:pt>
                      <c:pt idx="21">
                        <c:v>21.0975</c:v>
                      </c:pt>
                      <c:pt idx="22">
                        <c:v>25</c:v>
                      </c:pt>
                      <c:pt idx="23">
                        <c:v>30</c:v>
                      </c:pt>
                      <c:pt idx="24">
                        <c:v>42.195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BF9-4102-AE0A-E695BED149FC}"/>
                  </c:ext>
                </c:extLst>
              </c15:ser>
            </c15:filteredScatterSeries>
          </c:ext>
        </c:extLst>
      </c:scatterChart>
      <c:valAx>
        <c:axId val="142136832"/>
        <c:scaling>
          <c:logBase val="10"/>
          <c:orientation val="minMax"/>
          <c:max val="1000"/>
          <c:min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2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39550801755249343"/>
              <c:y val="0.93206582323277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38752"/>
        <c:crosses val="autoZero"/>
        <c:crossBetween val="midCat"/>
      </c:valAx>
      <c:valAx>
        <c:axId val="142138752"/>
        <c:scaling>
          <c:orientation val="minMax"/>
          <c:max val="5"/>
          <c:min val="2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Pace (minutes/km)</a:t>
                </a:r>
              </a:p>
            </c:rich>
          </c:tx>
          <c:layout>
            <c:manualLayout>
              <c:xMode val="edge"/>
              <c:yMode val="edge"/>
              <c:x val="4.8828125E-3"/>
              <c:y val="0.3967393612315314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36832"/>
        <c:crossesAt val="1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9628916502624671"/>
          <c:y val="0.20516323100061931"/>
          <c:w val="0.22558604002624671"/>
          <c:h val="0.28260889439381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1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Male 1</a:t>
            </a:r>
            <a:r>
              <a:rPr lang="en-US" baseline="0"/>
              <a:t> Mile</a:t>
            </a:r>
            <a:endParaRPr lang="en-US"/>
          </a:p>
        </c:rich>
      </c:tx>
      <c:layout>
        <c:manualLayout>
          <c:xMode val="edge"/>
          <c:yMode val="edge"/>
          <c:x val="0.39805332191947557"/>
          <c:y val="3.17008448673102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7791549881031508E-2"/>
          <c:y val="0.1234243953161985"/>
          <c:w val="0.87034396237940992"/>
          <c:h val="0.75158749367003519"/>
        </c:manualLayout>
      </c:layout>
      <c:scatterChart>
        <c:scatterStyle val="lineMarker"/>
        <c:varyColors val="0"/>
        <c:ser>
          <c:idx val="3"/>
          <c:order val="0"/>
          <c:tx>
            <c:strRef>
              <c:f>Mile!$F$6</c:f>
              <c:strCache>
                <c:ptCount val="1"/>
                <c:pt idx="0">
                  <c:v>2020 Bernhard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Mile!$A$7:$A$106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Mile!$F$7:$F$106</c:f>
              <c:numCache>
                <c:formatCode>General</c:formatCode>
                <c:ptCount val="100"/>
                <c:pt idx="39" formatCode="0.000">
                  <c:v>4.5166666666666666</c:v>
                </c:pt>
                <c:pt idx="40" formatCode="0.000">
                  <c:v>4.4666666666666668</c:v>
                </c:pt>
                <c:pt idx="41" formatCode="0.000">
                  <c:v>4.5166666666666666</c:v>
                </c:pt>
                <c:pt idx="42" formatCode="0.000">
                  <c:v>4.3666666666666663</c:v>
                </c:pt>
                <c:pt idx="43" formatCode="0.000">
                  <c:v>4.4666666666666668</c:v>
                </c:pt>
                <c:pt idx="44" formatCode="0.000">
                  <c:v>4.4000000000000004</c:v>
                </c:pt>
                <c:pt idx="45" formatCode="0.000">
                  <c:v>4.4333333333333336</c:v>
                </c:pt>
                <c:pt idx="46" formatCode="0.000">
                  <c:v>4.7</c:v>
                </c:pt>
                <c:pt idx="47" formatCode="0.000">
                  <c:v>4.5</c:v>
                </c:pt>
                <c:pt idx="48" formatCode="0.000">
                  <c:v>4.6333333333333337</c:v>
                </c:pt>
                <c:pt idx="49" formatCode="0.000">
                  <c:v>4.666666666666667</c:v>
                </c:pt>
                <c:pt idx="50" formatCode="0.000">
                  <c:v>4.7666666666666666</c:v>
                </c:pt>
                <c:pt idx="51" formatCode="0.000">
                  <c:v>4.9333333333333336</c:v>
                </c:pt>
                <c:pt idx="52" formatCode="0.000">
                  <c:v>4.7666666666666666</c:v>
                </c:pt>
                <c:pt idx="53" formatCode="0.000">
                  <c:v>4.8333333333333321</c:v>
                </c:pt>
                <c:pt idx="54" formatCode="0.000">
                  <c:v>4.8166666666666664</c:v>
                </c:pt>
                <c:pt idx="55" formatCode="0.000">
                  <c:v>4.8333333333333321</c:v>
                </c:pt>
                <c:pt idx="56" formatCode="0.000">
                  <c:v>4.9333333333333336</c:v>
                </c:pt>
                <c:pt idx="57" formatCode="0.000">
                  <c:v>5.0166666666666666</c:v>
                </c:pt>
                <c:pt idx="58" formatCode="0.000">
                  <c:v>5.083333333333333</c:v>
                </c:pt>
                <c:pt idx="59" formatCode="0.000">
                  <c:v>5.05</c:v>
                </c:pt>
                <c:pt idx="60" formatCode="0.000">
                  <c:v>5.2166666666666668</c:v>
                </c:pt>
                <c:pt idx="61" formatCode="0.000">
                  <c:v>5.333333333333333</c:v>
                </c:pt>
                <c:pt idx="62" formatCode="0.000">
                  <c:v>5.4333333333333336</c:v>
                </c:pt>
                <c:pt idx="63" formatCode="0.000">
                  <c:v>5.166666666666667</c:v>
                </c:pt>
                <c:pt idx="64" formatCode="0.000">
                  <c:v>5.3</c:v>
                </c:pt>
                <c:pt idx="65" formatCode="0.000">
                  <c:v>5.4666666666666668</c:v>
                </c:pt>
                <c:pt idx="66" formatCode="0.000">
                  <c:v>5.3666666666666663</c:v>
                </c:pt>
                <c:pt idx="67" formatCode="0.000">
                  <c:v>5.7</c:v>
                </c:pt>
                <c:pt idx="68" formatCode="0.000">
                  <c:v>6.0166666666666666</c:v>
                </c:pt>
                <c:pt idx="69" formatCode="0.000">
                  <c:v>5.7166666666666668</c:v>
                </c:pt>
                <c:pt idx="70" formatCode="0.000">
                  <c:v>6.083333333333333</c:v>
                </c:pt>
                <c:pt idx="71" formatCode="0.000">
                  <c:v>5.916666666666667</c:v>
                </c:pt>
                <c:pt idx="72" formatCode="0.000">
                  <c:v>6.2833333333333332</c:v>
                </c:pt>
                <c:pt idx="73" formatCode="0.000">
                  <c:v>6.4</c:v>
                </c:pt>
                <c:pt idx="74" formatCode="0.000">
                  <c:v>6.333333333333333</c:v>
                </c:pt>
                <c:pt idx="75" formatCode="0.000">
                  <c:v>7</c:v>
                </c:pt>
                <c:pt idx="76" formatCode="0.000">
                  <c:v>7.7333333333333343</c:v>
                </c:pt>
                <c:pt idx="77" formatCode="0.000">
                  <c:v>8.7166666666666668</c:v>
                </c:pt>
                <c:pt idx="78" formatCode="0.000">
                  <c:v>9.1833333333333336</c:v>
                </c:pt>
                <c:pt idx="79" formatCode="0.000">
                  <c:v>10.216666666666667</c:v>
                </c:pt>
                <c:pt idx="80" formatCode="0.000">
                  <c:v>10.183333333333334</c:v>
                </c:pt>
                <c:pt idx="81" formatCode="0.000">
                  <c:v>12.833333333333334</c:v>
                </c:pt>
                <c:pt idx="82" formatCode="0.000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75-4ED6-BDED-05137072A766}"/>
            </c:ext>
          </c:extLst>
        </c:ser>
        <c:ser>
          <c:idx val="0"/>
          <c:order val="1"/>
          <c:tx>
            <c:strRef>
              <c:f>Mile!$C$6</c:f>
              <c:strCache>
                <c:ptCount val="1"/>
                <c:pt idx="0">
                  <c:v>2025 Bernhard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Mile!$A$7:$A$106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Mile!$C$7:$C$106</c:f>
              <c:numCache>
                <c:formatCode>General</c:formatCode>
                <c:ptCount val="100"/>
                <c:pt idx="29" formatCode="0.000">
                  <c:v>3.8666666666666663</c:v>
                </c:pt>
                <c:pt idx="39" formatCode="0.000">
                  <c:v>4.5166666666666666</c:v>
                </c:pt>
                <c:pt idx="40" formatCode="0.000">
                  <c:v>4.4666666666666668</c:v>
                </c:pt>
                <c:pt idx="41" formatCode="0.000">
                  <c:v>4.416666666666667</c:v>
                </c:pt>
                <c:pt idx="42" formatCode="0.000">
                  <c:v>4.3666666666666663</c:v>
                </c:pt>
                <c:pt idx="43" formatCode="0.000">
                  <c:v>4.4666666666666668</c:v>
                </c:pt>
                <c:pt idx="44" formatCode="0.000">
                  <c:v>4.4000000000000004</c:v>
                </c:pt>
                <c:pt idx="45" formatCode="0.000">
                  <c:v>4.6166666666666671</c:v>
                </c:pt>
                <c:pt idx="46" formatCode="0.000">
                  <c:v>4.7</c:v>
                </c:pt>
                <c:pt idx="47" formatCode="0.000">
                  <c:v>4.5</c:v>
                </c:pt>
                <c:pt idx="48" formatCode="0.000">
                  <c:v>4.6333333333333337</c:v>
                </c:pt>
                <c:pt idx="49" formatCode="0.000">
                  <c:v>4.6333333333333337</c:v>
                </c:pt>
                <c:pt idx="50" formatCode="0.000">
                  <c:v>4.7333333333333334</c:v>
                </c:pt>
                <c:pt idx="51" formatCode="0.000">
                  <c:v>4.8666666666666663</c:v>
                </c:pt>
                <c:pt idx="52" formatCode="0.000">
                  <c:v>4.7</c:v>
                </c:pt>
                <c:pt idx="53" formatCode="0.000">
                  <c:v>4.7333333333333334</c:v>
                </c:pt>
                <c:pt idx="54" formatCode="0.000">
                  <c:v>4.7833333333333332</c:v>
                </c:pt>
                <c:pt idx="55" formatCode="0.000">
                  <c:v>4.833333333333333</c:v>
                </c:pt>
                <c:pt idx="56" formatCode="0.000">
                  <c:v>4.9333333333333336</c:v>
                </c:pt>
                <c:pt idx="57" formatCode="0.000">
                  <c:v>5.0166666666666666</c:v>
                </c:pt>
                <c:pt idx="58" formatCode="0.000">
                  <c:v>5.083333333333333</c:v>
                </c:pt>
                <c:pt idx="59" formatCode="0.000">
                  <c:v>4.8166666666666664</c:v>
                </c:pt>
                <c:pt idx="60" formatCode="0.000">
                  <c:v>5.2166666666666668</c:v>
                </c:pt>
                <c:pt idx="61" formatCode="0.000">
                  <c:v>5</c:v>
                </c:pt>
                <c:pt idx="62" formatCode="0.000">
                  <c:v>5.0999999999999996</c:v>
                </c:pt>
                <c:pt idx="63" formatCode="0.000">
                  <c:v>5.15</c:v>
                </c:pt>
                <c:pt idx="64" formatCode="0.000">
                  <c:v>5.3</c:v>
                </c:pt>
                <c:pt idx="65" formatCode="0.000">
                  <c:v>5.4666666666666668</c:v>
                </c:pt>
                <c:pt idx="66" formatCode="0.000">
                  <c:v>5.3166666666666673</c:v>
                </c:pt>
                <c:pt idx="67" formatCode="0.000">
                  <c:v>5.3833333333333329</c:v>
                </c:pt>
                <c:pt idx="68" formatCode="0.000">
                  <c:v>5.8500000000000005</c:v>
                </c:pt>
                <c:pt idx="69" formatCode="0.000">
                  <c:v>6.0166666666666675</c:v>
                </c:pt>
                <c:pt idx="70" formatCode="0.000">
                  <c:v>5.55</c:v>
                </c:pt>
                <c:pt idx="71" formatCode="0.000">
                  <c:v>6.083333333333333</c:v>
                </c:pt>
                <c:pt idx="72" formatCode="0.000">
                  <c:v>5.9166666666666661</c:v>
                </c:pt>
                <c:pt idx="74" formatCode="0.000">
                  <c:v>5.9333333333333336</c:v>
                </c:pt>
                <c:pt idx="75" formatCode="0.000">
                  <c:v>6.4</c:v>
                </c:pt>
                <c:pt idx="76" formatCode="0.000">
                  <c:v>6.3333333333333339</c:v>
                </c:pt>
                <c:pt idx="79" formatCode="0.000">
                  <c:v>7.1333333333333337</c:v>
                </c:pt>
                <c:pt idx="80" formatCode="0.000">
                  <c:v>7.7333333333333325</c:v>
                </c:pt>
                <c:pt idx="81" formatCode="0.000">
                  <c:v>8.7166666666666668</c:v>
                </c:pt>
                <c:pt idx="84" formatCode="0.000">
                  <c:v>10.216666666666667</c:v>
                </c:pt>
                <c:pt idx="85" formatCode="0.000">
                  <c:v>12.866666666666667</c:v>
                </c:pt>
                <c:pt idx="88" formatCode="0.000">
                  <c:v>10.183333333333334</c:v>
                </c:pt>
                <c:pt idx="89" formatCode="0.000">
                  <c:v>12.833333333333334</c:v>
                </c:pt>
                <c:pt idx="91" formatCode="0.000">
                  <c:v>13.5</c:v>
                </c:pt>
                <c:pt idx="95" formatCode="0.000">
                  <c:v>13.933333333333334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75-4ED6-BDED-05137072A766}"/>
            </c:ext>
          </c:extLst>
        </c:ser>
        <c:ser>
          <c:idx val="1"/>
          <c:order val="2"/>
          <c:tx>
            <c:strRef>
              <c:f>Mile!$G$6</c:f>
              <c:strCache>
                <c:ptCount val="1"/>
                <c:pt idx="0">
                  <c:v>2020 Standards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Mile!$A$7:$A$106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Mile!$G$7:$G$106</c:f>
              <c:numCache>
                <c:formatCode>0.0000</c:formatCode>
                <c:ptCount val="100"/>
                <c:pt idx="2">
                  <c:v>8.0556698203757033</c:v>
                </c:pt>
                <c:pt idx="3">
                  <c:v>7.1445944302565971</c:v>
                </c:pt>
                <c:pt idx="4">
                  <c:v>6.4610139667876387</c:v>
                </c:pt>
                <c:pt idx="5">
                  <c:v>5.9325456932242755</c:v>
                </c:pt>
                <c:pt idx="6">
                  <c:v>5.5148784379986857</c:v>
                </c:pt>
                <c:pt idx="7">
                  <c:v>5.1794058009344965</c:v>
                </c:pt>
                <c:pt idx="8">
                  <c:v>4.906873799381942</c:v>
                </c:pt>
                <c:pt idx="9">
                  <c:v>4.6838874272502586</c:v>
                </c:pt>
                <c:pt idx="10">
                  <c:v>4.5008810235194971</c:v>
                </c:pt>
                <c:pt idx="11">
                  <c:v>4.3508849885210692</c:v>
                </c:pt>
                <c:pt idx="12">
                  <c:v>4.2287482905060099</c:v>
                </c:pt>
                <c:pt idx="13">
                  <c:v>4.1306334809815084</c:v>
                </c:pt>
                <c:pt idx="14">
                  <c:v>4.0536810874215137</c:v>
                </c:pt>
                <c:pt idx="15">
                  <c:v>3.9957831735020064</c:v>
                </c:pt>
                <c:pt idx="16">
                  <c:v>3.9474568299402</c:v>
                </c:pt>
                <c:pt idx="17">
                  <c:v>3.9182942658232394</c:v>
                </c:pt>
                <c:pt idx="18">
                  <c:v>3.9166666666666665</c:v>
                </c:pt>
                <c:pt idx="19">
                  <c:v>3.9166666666666665</c:v>
                </c:pt>
                <c:pt idx="20">
                  <c:v>3.9166666666666665</c:v>
                </c:pt>
                <c:pt idx="21">
                  <c:v>3.9166666666666665</c:v>
                </c:pt>
                <c:pt idx="22">
                  <c:v>3.9166666666666665</c:v>
                </c:pt>
                <c:pt idx="23">
                  <c:v>3.9166666666666665</c:v>
                </c:pt>
                <c:pt idx="24">
                  <c:v>3.9166666666666665</c:v>
                </c:pt>
                <c:pt idx="25">
                  <c:v>3.9166666666666665</c:v>
                </c:pt>
                <c:pt idx="26">
                  <c:v>3.9166666666666665</c:v>
                </c:pt>
                <c:pt idx="27">
                  <c:v>3.9166666666666665</c:v>
                </c:pt>
                <c:pt idx="28">
                  <c:v>3.9169240645337648</c:v>
                </c:pt>
                <c:pt idx="29">
                  <c:v>3.9198221234760644</c:v>
                </c:pt>
                <c:pt idx="30">
                  <c:v>3.9259543529645371</c:v>
                </c:pt>
                <c:pt idx="31">
                  <c:v>3.9353511517421165</c:v>
                </c:pt>
                <c:pt idx="32">
                  <c:v>3.9480593788130571</c:v>
                </c:pt>
                <c:pt idx="33">
                  <c:v>3.9641429414518981</c:v>
                </c:pt>
                <c:pt idx="34">
                  <c:v>3.9836836068876798</c:v>
                </c:pt>
                <c:pt idx="35">
                  <c:v>4.0067820571184436</c:v>
                </c:pt>
                <c:pt idx="36">
                  <c:v>4.0335592126492417</c:v>
                </c:pt>
                <c:pt idx="37">
                  <c:v>4.0624265305840215</c:v>
                </c:pt>
                <c:pt idx="38">
                  <c:v>4.0917100213813615</c:v>
                </c:pt>
                <c:pt idx="39">
                  <c:v>4.121418750175379</c:v>
                </c:pt>
                <c:pt idx="40">
                  <c:v>4.1515620473030745</c:v>
                </c:pt>
                <c:pt idx="41">
                  <c:v>4.182149518074004</c:v>
                </c:pt>
                <c:pt idx="42">
                  <c:v>4.2131910529750503</c:v>
                </c:pt>
                <c:pt idx="43">
                  <c:v>4.2446968383330441</c:v>
                </c:pt>
                <c:pt idx="44">
                  <c:v>4.2766773674593992</c:v>
                </c:pt>
                <c:pt idx="45">
                  <c:v>4.309143452302366</c:v>
                </c:pt>
                <c:pt idx="46">
                  <c:v>4.3421062356340947</c:v>
                </c:pt>
                <c:pt idx="47">
                  <c:v>4.3755772038013525</c:v>
                </c:pt>
                <c:pt idx="48">
                  <c:v>4.4095682000705532</c:v>
                </c:pt>
                <c:pt idx="49">
                  <c:v>4.4440914385996759</c:v>
                </c:pt>
                <c:pt idx="50">
                  <c:v>4.4791595190716897</c:v>
                </c:pt>
                <c:pt idx="51">
                  <c:v>4.5147854420263123</c:v>
                </c:pt>
                <c:pt idx="52">
                  <c:v>4.5509826249293148</c:v>
                </c:pt>
                <c:pt idx="53">
                  <c:v>4.5877649190210681</c:v>
                </c:pt>
                <c:pt idx="54">
                  <c:v>4.6251466269888128</c:v>
                </c:pt>
                <c:pt idx="55">
                  <c:v>4.6631425215099851</c:v>
                </c:pt>
                <c:pt idx="56">
                  <c:v>4.7017678647171337</c:v>
                </c:pt>
                <c:pt idx="57">
                  <c:v>4.7410384286382934</c:v>
                </c:pt>
                <c:pt idx="58">
                  <c:v>4.7809705166703278</c:v>
                </c:pt>
                <c:pt idx="59">
                  <c:v>4.8215809861466745</c:v>
                </c:pt>
                <c:pt idx="60">
                  <c:v>4.862887272065092</c:v>
                </c:pt>
                <c:pt idx="61">
                  <c:v>4.9049074120456178</c:v>
                </c:pt>
                <c:pt idx="62">
                  <c:v>4.9476600725937532</c:v>
                </c:pt>
                <c:pt idx="63">
                  <c:v>4.9911645767492443</c:v>
                </c:pt>
                <c:pt idx="64">
                  <c:v>5.0354409332064831</c:v>
                </c:pt>
                <c:pt idx="65">
                  <c:v>5.080509866998737</c:v>
                </c:pt>
                <c:pt idx="66">
                  <c:v>5.1263928518450648</c:v>
                </c:pt>
                <c:pt idx="67">
                  <c:v>5.175196932759877</c:v>
                </c:pt>
                <c:pt idx="68">
                  <c:v>5.2291944815309304</c:v>
                </c:pt>
                <c:pt idx="69">
                  <c:v>5.2886833428979729</c:v>
                </c:pt>
                <c:pt idx="70">
                  <c:v>5.3540020595820685</c:v>
                </c:pt>
                <c:pt idx="71">
                  <c:v>5.4255351078296243</c:v>
                </c:pt>
                <c:pt idx="72">
                  <c:v>5.5037191089127457</c:v>
                </c:pt>
                <c:pt idx="73">
                  <c:v>5.5890502182107902</c:v>
                </c:pt>
                <c:pt idx="74">
                  <c:v>5.6820929445331005</c:v>
                </c:pt>
                <c:pt idx="75">
                  <c:v>5.7834907181126622</c:v>
                </c:pt>
                <c:pt idx="76">
                  <c:v>5.8939786111278316</c:v>
                </c:pt>
                <c:pt idx="77">
                  <c:v>6.0143987264830612</c:v>
                </c:pt>
                <c:pt idx="78">
                  <c:v>6.1457189183534702</c:v>
                </c:pt>
                <c:pt idx="79">
                  <c:v>6.2890557049763824</c:v>
                </c:pt>
                <c:pt idx="80">
                  <c:v>6.4457024992868588</c:v>
                </c:pt>
                <c:pt idx="81">
                  <c:v>6.6171646435037736</c:v>
                </c:pt>
                <c:pt idx="82">
                  <c:v>6.8052032294309113</c:v>
                </c:pt>
                <c:pt idx="83">
                  <c:v>7.0118903758074858</c:v>
                </c:pt>
                <c:pt idx="84">
                  <c:v>7.2396796056685142</c:v>
                </c:pt>
                <c:pt idx="85">
                  <c:v>7.4914963546697519</c:v>
                </c:pt>
                <c:pt idx="86">
                  <c:v>7.7708556538761684</c:v>
                </c:pt>
                <c:pt idx="87">
                  <c:v>8.0820169963097843</c:v>
                </c:pt>
                <c:pt idx="88">
                  <c:v>8.4301908451714738</c:v>
                </c:pt>
                <c:pt idx="89">
                  <c:v>8.8218180453103585</c:v>
                </c:pt>
                <c:pt idx="90">
                  <c:v>9.2649540300578757</c:v>
                </c:pt>
                <c:pt idx="91">
                  <c:v>9.7698067241214446</c:v>
                </c:pt>
                <c:pt idx="92">
                  <c:v>10.349504985378571</c:v>
                </c:pt>
                <c:pt idx="93">
                  <c:v>11.021221714151718</c:v>
                </c:pt>
                <c:pt idx="94">
                  <c:v>11.807858506682745</c:v>
                </c:pt>
                <c:pt idx="95">
                  <c:v>12.7406491767372</c:v>
                </c:pt>
                <c:pt idx="96">
                  <c:v>13.86332531030251</c:v>
                </c:pt>
                <c:pt idx="97">
                  <c:v>15.239058680102977</c:v>
                </c:pt>
                <c:pt idx="98">
                  <c:v>16.962610076512199</c:v>
                </c:pt>
                <c:pt idx="99">
                  <c:v>19.182890494265539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B75-4ED6-BDED-05137072A766}"/>
            </c:ext>
          </c:extLst>
        </c:ser>
        <c:ser>
          <c:idx val="2"/>
          <c:order val="3"/>
          <c:tx>
            <c:strRef>
              <c:f>Mile!$D$6</c:f>
              <c:strCache>
                <c:ptCount val="1"/>
                <c:pt idx="0">
                  <c:v>Proposed 2025 Age-Grade Standards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Mile!$A$7:$A$106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Mile!$D$7:$D$106</c:f>
              <c:numCache>
                <c:formatCode>General</c:formatCode>
                <c:ptCount val="100"/>
                <c:pt idx="2" formatCode="0.000">
                  <c:v>5.865695792880258</c:v>
                </c:pt>
                <c:pt idx="3" formatCode="0.000">
                  <c:v>5.5933265827667675</c:v>
                </c:pt>
                <c:pt idx="4" formatCode="0.000">
                  <c:v>5.3554939981532774</c:v>
                </c:pt>
                <c:pt idx="5" formatCode="0.000">
                  <c:v>5.1466347220373567</c:v>
                </c:pt>
                <c:pt idx="6" formatCode="0.000">
                  <c:v>4.962354551676933</c:v>
                </c:pt>
                <c:pt idx="7" formatCode="0.000">
                  <c:v>4.7991394646477179</c:v>
                </c:pt>
                <c:pt idx="8" formatCode="0.000">
                  <c:v>4.6541486117798101</c:v>
                </c:pt>
                <c:pt idx="9" formatCode="0.000">
                  <c:v>4.5250633898966246</c:v>
                </c:pt>
                <c:pt idx="10" formatCode="0.000">
                  <c:v>4.4099756690997562</c:v>
                </c:pt>
                <c:pt idx="11" formatCode="0.000">
                  <c:v>4.3073038505811141</c:v>
                </c:pt>
                <c:pt idx="12" formatCode="0.000">
                  <c:v>4.2157290303823221</c:v>
                </c:pt>
                <c:pt idx="13" formatCode="0.000">
                  <c:v>4.1341459068391595</c:v>
                </c:pt>
                <c:pt idx="14" formatCode="0.000">
                  <c:v>4.0616246498599438</c:v>
                </c:pt>
                <c:pt idx="15" formatCode="0.000">
                  <c:v>3.9944903581267215</c:v>
                </c:pt>
                <c:pt idx="16" formatCode="0.000">
                  <c:v>3.9295392953929538</c:v>
                </c:pt>
                <c:pt idx="17" formatCode="0.000">
                  <c:v>3.8821954484605081</c:v>
                </c:pt>
                <c:pt idx="18" formatCode="0.000">
                  <c:v>3.8666666666666663</c:v>
                </c:pt>
                <c:pt idx="19" formatCode="0.000">
                  <c:v>3.8666666666666663</c:v>
                </c:pt>
                <c:pt idx="20" formatCode="0.000">
                  <c:v>3.8666666666666663</c:v>
                </c:pt>
                <c:pt idx="21" formatCode="0.000">
                  <c:v>3.8666666666666663</c:v>
                </c:pt>
                <c:pt idx="22" formatCode="0.000">
                  <c:v>3.8666666666666663</c:v>
                </c:pt>
                <c:pt idx="23" formatCode="0.000">
                  <c:v>3.8666666666666663</c:v>
                </c:pt>
                <c:pt idx="24" formatCode="0.000">
                  <c:v>3.8666666666666663</c:v>
                </c:pt>
                <c:pt idx="25" formatCode="0.000">
                  <c:v>3.8666666666666663</c:v>
                </c:pt>
                <c:pt idx="26" formatCode="0.000">
                  <c:v>3.8666666666666663</c:v>
                </c:pt>
                <c:pt idx="27" formatCode="0.000">
                  <c:v>3.8666666666666663</c:v>
                </c:pt>
                <c:pt idx="28" formatCode="0.000">
                  <c:v>3.8666666666666663</c:v>
                </c:pt>
                <c:pt idx="29" formatCode="0.000">
                  <c:v>3.8666666666666663</c:v>
                </c:pt>
                <c:pt idx="30" formatCode="0.000">
                  <c:v>3.8682139522475651</c:v>
                </c:pt>
                <c:pt idx="31" formatCode="0.000">
                  <c:v>3.8724753797362705</c:v>
                </c:pt>
                <c:pt idx="32" formatCode="0.000">
                  <c:v>3.8798581844939455</c:v>
                </c:pt>
                <c:pt idx="33" formatCode="0.000">
                  <c:v>3.8900067069081148</c:v>
                </c:pt>
                <c:pt idx="34" formatCode="0.000">
                  <c:v>3.9033582340668951</c:v>
                </c:pt>
                <c:pt idx="35" formatCode="0.000">
                  <c:v>3.9199783725331163</c:v>
                </c:pt>
                <c:pt idx="36" formatCode="0.000">
                  <c:v>3.9395483104092368</c:v>
                </c:pt>
                <c:pt idx="37" formatCode="0.000">
                  <c:v>3.962560634009701</c:v>
                </c:pt>
                <c:pt idx="38" formatCode="0.000">
                  <c:v>3.988721545973454</c:v>
                </c:pt>
                <c:pt idx="39" formatCode="0.000">
                  <c:v>4.0181509577747754</c:v>
                </c:pt>
                <c:pt idx="40" formatCode="0.000">
                  <c:v>4.0514110086616366</c:v>
                </c:pt>
                <c:pt idx="41" formatCode="0.000">
                  <c:v>4.0856579318117774</c:v>
                </c:pt>
                <c:pt idx="42" formatCode="0.000">
                  <c:v>4.1204887752202328</c:v>
                </c:pt>
                <c:pt idx="43" formatCode="0.000">
                  <c:v>4.1559186013184286</c:v>
                </c:pt>
                <c:pt idx="44" formatCode="0.000">
                  <c:v>4.1919629950852846</c:v>
                </c:pt>
                <c:pt idx="45" formatCode="0.000">
                  <c:v>4.2286380869058027</c:v>
                </c:pt>
                <c:pt idx="46" formatCode="0.000">
                  <c:v>4.2659605766401878</c:v>
                </c:pt>
                <c:pt idx="47" formatCode="0.000">
                  <c:v>4.303947758978925</c:v>
                </c:pt>
                <c:pt idx="48" formatCode="0.000">
                  <c:v>4.3426175501647197</c:v>
                </c:pt>
                <c:pt idx="49" formatCode="0.000">
                  <c:v>4.3819885161680263</c:v>
                </c:pt>
                <c:pt idx="50" formatCode="0.000">
                  <c:v>4.422079902409271</c:v>
                </c:pt>
                <c:pt idx="51" formatCode="0.000">
                  <c:v>4.4629116651277316</c:v>
                </c:pt>
                <c:pt idx="52" formatCode="0.000">
                  <c:v>4.5045045045045038</c:v>
                </c:pt>
                <c:pt idx="53" formatCode="0.000">
                  <c:v>4.5468798996550639</c:v>
                </c:pt>
                <c:pt idx="54" formatCode="0.000">
                  <c:v>4.5900601456157002</c:v>
                </c:pt>
                <c:pt idx="55" formatCode="0.000">
                  <c:v>4.6340683924576531</c:v>
                </c:pt>
                <c:pt idx="56" formatCode="0.000">
                  <c:v>4.6789286866731201</c:v>
                </c:pt>
                <c:pt idx="57" formatCode="0.000">
                  <c:v>4.7246660149885953</c:v>
                </c:pt>
                <c:pt idx="58" formatCode="0.000">
                  <c:v>4.7713063507732798</c:v>
                </c:pt>
                <c:pt idx="59" formatCode="0.000">
                  <c:v>4.8188767032236619</c:v>
                </c:pt>
                <c:pt idx="60" formatCode="0.000">
                  <c:v>4.8674051695199729</c:v>
                </c:pt>
                <c:pt idx="61" formatCode="0.000">
                  <c:v>4.9169209901661572</c:v>
                </c:pt>
                <c:pt idx="62" formatCode="0.000">
                  <c:v>4.9674546077423773</c:v>
                </c:pt>
                <c:pt idx="63" formatCode="0.000">
                  <c:v>5.0190377293181028</c:v>
                </c:pt>
                <c:pt idx="64" formatCode="0.000">
                  <c:v>5.0717033927946833</c:v>
                </c:pt>
                <c:pt idx="65" formatCode="0.000">
                  <c:v>5.1254860374690701</c:v>
                </c:pt>
                <c:pt idx="66" formatCode="0.000">
                  <c:v>5.1825045793682705</c:v>
                </c:pt>
                <c:pt idx="67" formatCode="0.000">
                  <c:v>5.2457830235608007</c:v>
                </c:pt>
                <c:pt idx="68" formatCode="0.000">
                  <c:v>5.3164672991429489</c:v>
                </c:pt>
                <c:pt idx="69" formatCode="0.000">
                  <c:v>5.395850776816447</c:v>
                </c:pt>
                <c:pt idx="70" formatCode="0.000">
                  <c:v>5.4830780865948183</c:v>
                </c:pt>
                <c:pt idx="71" formatCode="0.000">
                  <c:v>5.5804108336941356</c:v>
                </c:pt>
                <c:pt idx="72" formatCode="0.000">
                  <c:v>5.6871108496347498</c:v>
                </c:pt>
                <c:pt idx="73" formatCode="0.000">
                  <c:v>5.8049341940649546</c:v>
                </c:pt>
                <c:pt idx="74" formatCode="0.000">
                  <c:v>5.935932862552451</c:v>
                </c:pt>
                <c:pt idx="75" formatCode="0.000">
                  <c:v>6.0796645702306069</c:v>
                </c:pt>
                <c:pt idx="76" formatCode="0.000">
                  <c:v>6.2395782905707051</c:v>
                </c:pt>
                <c:pt idx="77" formatCode="0.000">
                  <c:v>6.4155743598252304</c:v>
                </c:pt>
                <c:pt idx="78" formatCode="0.000">
                  <c:v>6.6108166638171761</c:v>
                </c:pt>
                <c:pt idx="79" formatCode="0.000">
                  <c:v>6.8291534204639106</c:v>
                </c:pt>
                <c:pt idx="80" formatCode="0.000">
                  <c:v>7.0714459887832231</c:v>
                </c:pt>
                <c:pt idx="81" formatCode="0.000">
                  <c:v>7.3440962329851214</c:v>
                </c:pt>
                <c:pt idx="82" formatCode="0.000">
                  <c:v>7.6491922189251564</c:v>
                </c:pt>
                <c:pt idx="83" formatCode="0.000">
                  <c:v>7.9939356350354895</c:v>
                </c:pt>
                <c:pt idx="84" formatCode="0.000">
                  <c:v>8.3875632682574093</c:v>
                </c:pt>
                <c:pt idx="85" formatCode="0.000">
                  <c:v>8.8360755636806818</c:v>
                </c:pt>
                <c:pt idx="86" formatCode="0.000">
                  <c:v>9.355593192999434</c:v>
                </c:pt>
                <c:pt idx="87" formatCode="0.000">
                  <c:v>9.9579363035453685</c:v>
                </c:pt>
                <c:pt idx="88" formatCode="0.000">
                  <c:v>10.666666666666666</c:v>
                </c:pt>
                <c:pt idx="89" formatCode="0.000">
                  <c:v>11.514790549930513</c:v>
                </c:pt>
                <c:pt idx="90" formatCode="0.000">
                  <c:v>12.537829658452225</c:v>
                </c:pt>
                <c:pt idx="91" formatCode="0.000">
                  <c:v>13.804593597524692</c:v>
                </c:pt>
                <c:pt idx="92" formatCode="0.000">
                  <c:v>15.398911456259125</c:v>
                </c:pt>
                <c:pt idx="93" formatCode="0.000">
                  <c:v>17.472510920319323</c:v>
                </c:pt>
                <c:pt idx="94" formatCode="0.000">
                  <c:v>20.286813571178733</c:v>
                </c:pt>
                <c:pt idx="95" formatCode="0.000">
                  <c:v>24.288107202680063</c:v>
                </c:pt>
                <c:pt idx="96" formatCode="0.000">
                  <c:v>30.470186498555286</c:v>
                </c:pt>
                <c:pt idx="97" formatCode="0.000">
                  <c:v>41.178558750443734</c:v>
                </c:pt>
                <c:pt idx="98" formatCode="0.000">
                  <c:v>64.337215751525221</c:v>
                </c:pt>
                <c:pt idx="99" formatCode="0.000">
                  <c:v>152.2309711286089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B75-4ED6-BDED-05137072A766}"/>
            </c:ext>
          </c:extLst>
        </c:ser>
        <c:ser>
          <c:idx val="4"/>
          <c:order val="4"/>
          <c:tx>
            <c:v>World Record</c:v>
          </c:tx>
          <c:spPr>
            <a:ln w="28575">
              <a:noFill/>
            </a:ln>
          </c:spPr>
          <c:marker>
            <c:symbol val="diamond"/>
            <c:size val="15"/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Mile!$A$36</c:f>
              <c:numCache>
                <c:formatCode>General</c:formatCode>
                <c:ptCount val="1"/>
                <c:pt idx="0">
                  <c:v>30</c:v>
                </c:pt>
              </c:numCache>
            </c:numRef>
          </c:xVal>
          <c:yVal>
            <c:numRef>
              <c:f>Mile!$C$36</c:f>
              <c:numCache>
                <c:formatCode>0.000</c:formatCode>
                <c:ptCount val="1"/>
                <c:pt idx="0">
                  <c:v>3.8666666666666663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B75-4ED6-BDED-05137072A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23680"/>
        <c:axId val="141625216"/>
      </c:scatterChart>
      <c:valAx>
        <c:axId val="14162368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381561367626381"/>
              <c:y val="0.932283464566929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25216"/>
        <c:crosses val="autoZero"/>
        <c:crossBetween val="midCat"/>
        <c:majorUnit val="10"/>
      </c:valAx>
      <c:valAx>
        <c:axId val="141625216"/>
        <c:scaling>
          <c:orientation val="minMax"/>
          <c:max val="8"/>
          <c:min val="3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7573739295908657E-3"/>
              <c:y val="0.425196850393700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23680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9143708847198293"/>
          <c:y val="0.22459692538432696"/>
          <c:w val="0.43976281744905771"/>
          <c:h val="0.2570254968128983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Male 5 km Road</a:t>
            </a:r>
          </a:p>
        </c:rich>
      </c:tx>
      <c:layout>
        <c:manualLayout>
          <c:xMode val="edge"/>
          <c:yMode val="edge"/>
          <c:x val="0.4351322741113347"/>
          <c:y val="5.824777672213180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6250598267747572E-2"/>
          <c:y val="3.7749455365821596E-2"/>
          <c:w val="0.8849403516041312"/>
          <c:h val="0.83773518262513191"/>
        </c:manualLayout>
      </c:layout>
      <c:scatterChart>
        <c:scatterStyle val="lineMarker"/>
        <c:varyColors val="0"/>
        <c:ser>
          <c:idx val="3"/>
          <c:order val="0"/>
          <c:tx>
            <c:strRef>
              <c:f>'5K'!$G$6</c:f>
              <c:strCache>
                <c:ptCount val="1"/>
                <c:pt idx="0">
                  <c:v>2020 Barnhard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'5K'!$G$7:$G$106</c:f>
              <c:numCache>
                <c:formatCode>General</c:formatCode>
                <c:ptCount val="100"/>
                <c:pt idx="2" formatCode="0.0000">
                  <c:v>39.049999999999997</c:v>
                </c:pt>
                <c:pt idx="3" formatCode="0.0000">
                  <c:v>29.25</c:v>
                </c:pt>
                <c:pt idx="4" formatCode="0.0000">
                  <c:v>24.133333333333333</c:v>
                </c:pt>
                <c:pt idx="5" formatCode="0.0000">
                  <c:v>21.766666666666666</c:v>
                </c:pt>
                <c:pt idx="6" formatCode="0.0000">
                  <c:v>19.033333333333335</c:v>
                </c:pt>
                <c:pt idx="7" formatCode="0.0000">
                  <c:v>18.666666666666668</c:v>
                </c:pt>
                <c:pt idx="8" formatCode="0.0000">
                  <c:v>17.883333333333333</c:v>
                </c:pt>
                <c:pt idx="9" formatCode="0.0000">
                  <c:v>17.8</c:v>
                </c:pt>
                <c:pt idx="10" formatCode="0.0000">
                  <c:v>16.616666666666667</c:v>
                </c:pt>
                <c:pt idx="11" formatCode="0.0000">
                  <c:v>16.383333333333333</c:v>
                </c:pt>
                <c:pt idx="12" formatCode="0.0000">
                  <c:v>16.199999999999996</c:v>
                </c:pt>
                <c:pt idx="13" formatCode="0.0000">
                  <c:v>15.116666666666669</c:v>
                </c:pt>
                <c:pt idx="14" formatCode="0.0000">
                  <c:v>15.166666666666666</c:v>
                </c:pt>
                <c:pt idx="15" formatCode="0.0000">
                  <c:v>13.25</c:v>
                </c:pt>
                <c:pt idx="16" formatCode="0.0000">
                  <c:v>13.233333333333333</c:v>
                </c:pt>
                <c:pt idx="17" formatCode="0.0000">
                  <c:v>13.000000000000002</c:v>
                </c:pt>
                <c:pt idx="18" formatCode="0.0000">
                  <c:v>13.000000000000002</c:v>
                </c:pt>
                <c:pt idx="19" formatCode="0.0000">
                  <c:v>13.25</c:v>
                </c:pt>
                <c:pt idx="20" formatCode="0.0000">
                  <c:v>13.183333333333334</c:v>
                </c:pt>
                <c:pt idx="21" formatCode="0.0000">
                  <c:v>13.183333333333334</c:v>
                </c:pt>
                <c:pt idx="22" formatCode="0.0000">
                  <c:v>13.333333333333336</c:v>
                </c:pt>
                <c:pt idx="23" formatCode="0.0000">
                  <c:v>13.166666666666666</c:v>
                </c:pt>
                <c:pt idx="24" formatCode="0.0000">
                  <c:v>13.183333333333334</c:v>
                </c:pt>
                <c:pt idx="25" formatCode="0.0000">
                  <c:v>13.233333333333333</c:v>
                </c:pt>
                <c:pt idx="26" formatCode="0.0000">
                  <c:v>13.233333333333333</c:v>
                </c:pt>
                <c:pt idx="27" formatCode="0.0000">
                  <c:v>13.266666666666666</c:v>
                </c:pt>
                <c:pt idx="28" formatCode="0.0000">
                  <c:v>13.366666666666667</c:v>
                </c:pt>
                <c:pt idx="29" formatCode="0.0000">
                  <c:v>13.45</c:v>
                </c:pt>
                <c:pt idx="30" formatCode="0.0000">
                  <c:v>13.333333333333336</c:v>
                </c:pt>
                <c:pt idx="31" formatCode="0.0000">
                  <c:v>13.433333333333334</c:v>
                </c:pt>
                <c:pt idx="32" formatCode="0.0000">
                  <c:v>13.5</c:v>
                </c:pt>
                <c:pt idx="33" formatCode="0.0000">
                  <c:v>13.383333333333333</c:v>
                </c:pt>
                <c:pt idx="34" formatCode="0.0000">
                  <c:v>13.483333333333334</c:v>
                </c:pt>
                <c:pt idx="35" formatCode="0.0000">
                  <c:v>13.733333333333333</c:v>
                </c:pt>
                <c:pt idx="36" formatCode="0.0000">
                  <c:v>13.816666666666668</c:v>
                </c:pt>
                <c:pt idx="37" formatCode="0.0000">
                  <c:v>13.616666666666665</c:v>
                </c:pt>
                <c:pt idx="38" formatCode="0.0000">
                  <c:v>13.533333333333333</c:v>
                </c:pt>
                <c:pt idx="39" formatCode="0.0000">
                  <c:v>13.666666666666666</c:v>
                </c:pt>
                <c:pt idx="40" formatCode="0.0000">
                  <c:v>13.633333333333333</c:v>
                </c:pt>
                <c:pt idx="41" formatCode="0.0000">
                  <c:v>13.916666666666666</c:v>
                </c:pt>
                <c:pt idx="42" formatCode="0.0000">
                  <c:v>14.05</c:v>
                </c:pt>
                <c:pt idx="43" formatCode="0.0000">
                  <c:v>14.566666666666666</c:v>
                </c:pt>
                <c:pt idx="44" formatCode="0.0000">
                  <c:v>14.483333333333333</c:v>
                </c:pt>
                <c:pt idx="45" formatCode="0.0000">
                  <c:v>14.833333333333334</c:v>
                </c:pt>
                <c:pt idx="46" formatCode="0.0000">
                  <c:v>14.75</c:v>
                </c:pt>
                <c:pt idx="47" formatCode="0.0000">
                  <c:v>14.850000000000001</c:v>
                </c:pt>
                <c:pt idx="48" formatCode="0.0000">
                  <c:v>14.933333333333334</c:v>
                </c:pt>
                <c:pt idx="49" formatCode="0.0000">
                  <c:v>15</c:v>
                </c:pt>
                <c:pt idx="50" formatCode="0.0000">
                  <c:v>15.083333333333334</c:v>
                </c:pt>
                <c:pt idx="51" formatCode="0.0000">
                  <c:v>15.500000000000002</c:v>
                </c:pt>
                <c:pt idx="52" formatCode="0.0000">
                  <c:v>15.166666666666666</c:v>
                </c:pt>
                <c:pt idx="53" formatCode="0.0000">
                  <c:v>15.249999999999998</c:v>
                </c:pt>
                <c:pt idx="54" formatCode="0.0000">
                  <c:v>15.516666666666667</c:v>
                </c:pt>
                <c:pt idx="55" formatCode="0.0000">
                  <c:v>15.949999999999998</c:v>
                </c:pt>
                <c:pt idx="56" formatCode="0.0000">
                  <c:v>16.366666666666667</c:v>
                </c:pt>
                <c:pt idx="57" formatCode="0.0000">
                  <c:v>16.716666666666665</c:v>
                </c:pt>
                <c:pt idx="58" formatCode="0.0000">
                  <c:v>16.350000000000001</c:v>
                </c:pt>
                <c:pt idx="59" formatCode="0.0000">
                  <c:v>16.133333333333333</c:v>
                </c:pt>
                <c:pt idx="60" formatCode="0.0000">
                  <c:v>16.100000000000001</c:v>
                </c:pt>
                <c:pt idx="61" formatCode="0.0000">
                  <c:v>16.416666666666668</c:v>
                </c:pt>
                <c:pt idx="62" formatCode="0.0000">
                  <c:v>16.45</c:v>
                </c:pt>
                <c:pt idx="63" formatCode="0.0000">
                  <c:v>17.283333333333331</c:v>
                </c:pt>
                <c:pt idx="64" formatCode="0.0000">
                  <c:v>17.399999999999999</c:v>
                </c:pt>
                <c:pt idx="65" formatCode="0.0000">
                  <c:v>17.399999999999999</c:v>
                </c:pt>
                <c:pt idx="66" formatCode="0.0000">
                  <c:v>17.383333333333333</c:v>
                </c:pt>
                <c:pt idx="67" formatCode="0.0000">
                  <c:v>17.649999999999999</c:v>
                </c:pt>
                <c:pt idx="68" formatCode="0.0000">
                  <c:v>17.566666666666663</c:v>
                </c:pt>
                <c:pt idx="69" formatCode="0.0000">
                  <c:v>18.016666666666666</c:v>
                </c:pt>
                <c:pt idx="70" formatCode="0.0000">
                  <c:v>18.7</c:v>
                </c:pt>
                <c:pt idx="71" formatCode="0.0000">
                  <c:v>18.533333333333335</c:v>
                </c:pt>
                <c:pt idx="72" formatCode="0.0000">
                  <c:v>18.366666666666667</c:v>
                </c:pt>
                <c:pt idx="73" formatCode="0.0000">
                  <c:v>19.100000000000001</c:v>
                </c:pt>
                <c:pt idx="74" formatCode="0.0000">
                  <c:v>18.75</c:v>
                </c:pt>
                <c:pt idx="75" formatCode="0.0000">
                  <c:v>19.666666666666668</c:v>
                </c:pt>
                <c:pt idx="76" formatCode="0.0000">
                  <c:v>20.05</c:v>
                </c:pt>
                <c:pt idx="77" formatCode="0.0000">
                  <c:v>21.883333333333333</c:v>
                </c:pt>
                <c:pt idx="78" formatCode="0.0000">
                  <c:v>22.316666666666666</c:v>
                </c:pt>
                <c:pt idx="79" formatCode="0.0000">
                  <c:v>22.233333333333334</c:v>
                </c:pt>
                <c:pt idx="80" formatCode="0.0000">
                  <c:v>21.983333333333334</c:v>
                </c:pt>
                <c:pt idx="81" formatCode="0.0000">
                  <c:v>23.9</c:v>
                </c:pt>
                <c:pt idx="82" formatCode="0.0000">
                  <c:v>24.366666666666671</c:v>
                </c:pt>
                <c:pt idx="83" formatCode="0.0000">
                  <c:v>25.116666666666667</c:v>
                </c:pt>
                <c:pt idx="84" formatCode="0.0000">
                  <c:v>24.95</c:v>
                </c:pt>
                <c:pt idx="85" formatCode="0.0000">
                  <c:v>28.35</c:v>
                </c:pt>
                <c:pt idx="86" formatCode="0.0000">
                  <c:v>29.616666666666667</c:v>
                </c:pt>
                <c:pt idx="87" formatCode="0.0000">
                  <c:v>26.616666666666667</c:v>
                </c:pt>
                <c:pt idx="88" formatCode="0.0000">
                  <c:v>32.950000000000003</c:v>
                </c:pt>
                <c:pt idx="89" formatCode="0.0000">
                  <c:v>33.766666666666659</c:v>
                </c:pt>
                <c:pt idx="90" formatCode="0.0000">
                  <c:v>38.883333333333333</c:v>
                </c:pt>
                <c:pt idx="91" formatCode="0.0000">
                  <c:v>40.216666666666669</c:v>
                </c:pt>
                <c:pt idx="92" formatCode="0.0000">
                  <c:v>45.783333333333331</c:v>
                </c:pt>
                <c:pt idx="93" formatCode="0.0000">
                  <c:v>43.866666666666674</c:v>
                </c:pt>
                <c:pt idx="94" formatCode="0.0000">
                  <c:v>40.866666666666667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11-412A-AD72-8FC7E6411F90}"/>
            </c:ext>
          </c:extLst>
        </c:ser>
        <c:ser>
          <c:idx val="6"/>
          <c:order val="1"/>
          <c:tx>
            <c:strRef>
              <c:f>'5K'!$B$6</c:f>
              <c:strCache>
                <c:ptCount val="1"/>
                <c:pt idx="0">
                  <c:v>2025 Bernhard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'5K'!$C$7:$C$105</c:f>
              <c:numCache>
                <c:formatCode>General</c:formatCode>
                <c:ptCount val="99"/>
                <c:pt idx="2" formatCode="0.000">
                  <c:v>39.049999999999997</c:v>
                </c:pt>
                <c:pt idx="3" formatCode="0.000">
                  <c:v>29.25</c:v>
                </c:pt>
                <c:pt idx="4" formatCode="0.000">
                  <c:v>24.133333333333333</c:v>
                </c:pt>
                <c:pt idx="5" formatCode="0.000">
                  <c:v>21.766666666666666</c:v>
                </c:pt>
                <c:pt idx="6" formatCode="0.000">
                  <c:v>19.033333333333335</c:v>
                </c:pt>
                <c:pt idx="7" formatCode="0.000">
                  <c:v>18.666666666666668</c:v>
                </c:pt>
                <c:pt idx="8" formatCode="0.000">
                  <c:v>17.883333333333333</c:v>
                </c:pt>
                <c:pt idx="9" formatCode="0.000">
                  <c:v>17.8</c:v>
                </c:pt>
                <c:pt idx="10" formatCode="0.000">
                  <c:v>16.616666666666667</c:v>
                </c:pt>
                <c:pt idx="11" formatCode="0.000">
                  <c:v>16.383333333333333</c:v>
                </c:pt>
                <c:pt idx="12" formatCode="0.000">
                  <c:v>16.2</c:v>
                </c:pt>
                <c:pt idx="13" formatCode="0.000">
                  <c:v>15.116666666666665</c:v>
                </c:pt>
                <c:pt idx="14" formatCode="0.000">
                  <c:v>15.166666666666666</c:v>
                </c:pt>
                <c:pt idx="15" formatCode="0.000">
                  <c:v>13.25</c:v>
                </c:pt>
                <c:pt idx="16" formatCode="0.000">
                  <c:v>13.233333333333334</c:v>
                </c:pt>
                <c:pt idx="17" formatCode="0.000">
                  <c:v>12.999999999999998</c:v>
                </c:pt>
                <c:pt idx="18" formatCode="0.000">
                  <c:v>12.999999999999998</c:v>
                </c:pt>
                <c:pt idx="19" formatCode="0.000">
                  <c:v>12.816666666666666</c:v>
                </c:pt>
                <c:pt idx="20" formatCode="0.000">
                  <c:v>13.183333333333334</c:v>
                </c:pt>
                <c:pt idx="21" formatCode="0.000">
                  <c:v>13.183333333333334</c:v>
                </c:pt>
                <c:pt idx="22" formatCode="0.000">
                  <c:v>12.85</c:v>
                </c:pt>
                <c:pt idx="23" formatCode="0.000">
                  <c:v>13.166666666666666</c:v>
                </c:pt>
                <c:pt idx="24" formatCode="0.000">
                  <c:v>13.183333333333334</c:v>
                </c:pt>
                <c:pt idx="25" formatCode="0.000">
                  <c:v>13.233333333333334</c:v>
                </c:pt>
                <c:pt idx="26" formatCode="0.000">
                  <c:v>13.233333333333334</c:v>
                </c:pt>
                <c:pt idx="27" formatCode="0.000">
                  <c:v>13.266666666666666</c:v>
                </c:pt>
                <c:pt idx="28" formatCode="0.000">
                  <c:v>13.366666666666667</c:v>
                </c:pt>
                <c:pt idx="29" formatCode="0.000">
                  <c:v>13.45</c:v>
                </c:pt>
                <c:pt idx="30" formatCode="0.000">
                  <c:v>13.333333333333332</c:v>
                </c:pt>
                <c:pt idx="31" formatCode="0.000">
                  <c:v>13.433333333333334</c:v>
                </c:pt>
                <c:pt idx="32" formatCode="0.000">
                  <c:v>13.5</c:v>
                </c:pt>
                <c:pt idx="33" formatCode="0.000">
                  <c:v>13.383333333333333</c:v>
                </c:pt>
                <c:pt idx="34" formatCode="0.000">
                  <c:v>13.483333333333334</c:v>
                </c:pt>
                <c:pt idx="35" formatCode="0.000">
                  <c:v>13.733333333333333</c:v>
                </c:pt>
                <c:pt idx="36" formatCode="0.000">
                  <c:v>13.816666666666668</c:v>
                </c:pt>
                <c:pt idx="37" formatCode="0.000">
                  <c:v>13.616666666666665</c:v>
                </c:pt>
                <c:pt idx="38" formatCode="0.000">
                  <c:v>13.533333333333333</c:v>
                </c:pt>
                <c:pt idx="39" formatCode="0.000">
                  <c:v>13.666666666666666</c:v>
                </c:pt>
                <c:pt idx="40" formatCode="0.000">
                  <c:v>13.65</c:v>
                </c:pt>
                <c:pt idx="41" formatCode="0.000">
                  <c:v>13.916666666666666</c:v>
                </c:pt>
                <c:pt idx="42" formatCode="0.000">
                  <c:v>14.05</c:v>
                </c:pt>
                <c:pt idx="43" formatCode="0.000">
                  <c:v>14.566666666666666</c:v>
                </c:pt>
                <c:pt idx="44" formatCode="0.000">
                  <c:v>14.483333333333333</c:v>
                </c:pt>
                <c:pt idx="45" formatCode="0.000">
                  <c:v>14.833333333333332</c:v>
                </c:pt>
                <c:pt idx="46" formatCode="0.000">
                  <c:v>14.75</c:v>
                </c:pt>
                <c:pt idx="47" formatCode="0.000">
                  <c:v>14.850000000000001</c:v>
                </c:pt>
                <c:pt idx="48" formatCode="0.000">
                  <c:v>14.933333333333334</c:v>
                </c:pt>
                <c:pt idx="49" formatCode="0.000">
                  <c:v>15</c:v>
                </c:pt>
                <c:pt idx="50" formatCode="0.000">
                  <c:v>15.083333333333334</c:v>
                </c:pt>
                <c:pt idx="51" formatCode="0.000">
                  <c:v>15.5</c:v>
                </c:pt>
                <c:pt idx="52" formatCode="0.000">
                  <c:v>15.166666666666666</c:v>
                </c:pt>
                <c:pt idx="53" formatCode="0.000">
                  <c:v>15.25</c:v>
                </c:pt>
                <c:pt idx="54" formatCode="0.000">
                  <c:v>15.516666666666666</c:v>
                </c:pt>
                <c:pt idx="55" formatCode="0.000">
                  <c:v>15.950000000000001</c:v>
                </c:pt>
                <c:pt idx="56" formatCode="0.000">
                  <c:v>16.366666666666667</c:v>
                </c:pt>
                <c:pt idx="57" formatCode="0.000">
                  <c:v>16.716666666666665</c:v>
                </c:pt>
                <c:pt idx="58" formatCode="0.000">
                  <c:v>16.350000000000001</c:v>
                </c:pt>
                <c:pt idx="59" formatCode="0.000">
                  <c:v>16.133333333333333</c:v>
                </c:pt>
                <c:pt idx="60" formatCode="0.000">
                  <c:v>16.099999999999998</c:v>
                </c:pt>
                <c:pt idx="61" formatCode="0.000">
                  <c:v>16.416666666666668</c:v>
                </c:pt>
                <c:pt idx="62" formatCode="0.000">
                  <c:v>16.45</c:v>
                </c:pt>
                <c:pt idx="63" formatCode="0.000">
                  <c:v>17.283333333333331</c:v>
                </c:pt>
                <c:pt idx="64" formatCode="0.000">
                  <c:v>17.399999999999999</c:v>
                </c:pt>
                <c:pt idx="65" formatCode="0.000">
                  <c:v>17.399999999999999</c:v>
                </c:pt>
                <c:pt idx="66" formatCode="0.000">
                  <c:v>17</c:v>
                </c:pt>
                <c:pt idx="67" formatCode="0.000">
                  <c:v>17.650000000000002</c:v>
                </c:pt>
                <c:pt idx="68" formatCode="0.000">
                  <c:v>17.566666666666666</c:v>
                </c:pt>
                <c:pt idx="69" formatCode="0.000">
                  <c:v>18.016666666666666</c:v>
                </c:pt>
                <c:pt idx="70" formatCode="0.000">
                  <c:v>18.7</c:v>
                </c:pt>
                <c:pt idx="71" formatCode="0.000">
                  <c:v>18.533333333333335</c:v>
                </c:pt>
                <c:pt idx="72" formatCode="0.000">
                  <c:v>18.366666666666667</c:v>
                </c:pt>
                <c:pt idx="73" formatCode="0.000">
                  <c:v>19.100000000000001</c:v>
                </c:pt>
                <c:pt idx="74" formatCode="0.000">
                  <c:v>18.75</c:v>
                </c:pt>
                <c:pt idx="75" formatCode="0.000">
                  <c:v>19.666666666666668</c:v>
                </c:pt>
                <c:pt idx="76" formatCode="0.000">
                  <c:v>20.05</c:v>
                </c:pt>
                <c:pt idx="77" formatCode="0.000">
                  <c:v>21.883333333333333</c:v>
                </c:pt>
                <c:pt idx="78" formatCode="0.000">
                  <c:v>22.316666666666666</c:v>
                </c:pt>
                <c:pt idx="79" formatCode="0.000">
                  <c:v>22.233333333333331</c:v>
                </c:pt>
                <c:pt idx="80" formatCode="0.000">
                  <c:v>21.983333333333334</c:v>
                </c:pt>
                <c:pt idx="81" formatCode="0.000">
                  <c:v>23.9</c:v>
                </c:pt>
                <c:pt idx="82" formatCode="0.000">
                  <c:v>24.366666666666667</c:v>
                </c:pt>
                <c:pt idx="83" formatCode="0.000">
                  <c:v>25.116666666666667</c:v>
                </c:pt>
                <c:pt idx="84" formatCode="0.000">
                  <c:v>24.95</c:v>
                </c:pt>
                <c:pt idx="85" formatCode="0.000">
                  <c:v>28.35</c:v>
                </c:pt>
                <c:pt idx="86" formatCode="0.000">
                  <c:v>29.616666666666667</c:v>
                </c:pt>
                <c:pt idx="87" formatCode="0.000">
                  <c:v>26.616666666666667</c:v>
                </c:pt>
                <c:pt idx="88" formatCode="0.000">
                  <c:v>32.950000000000003</c:v>
                </c:pt>
                <c:pt idx="89" formatCode="0.000">
                  <c:v>33.766666666666666</c:v>
                </c:pt>
                <c:pt idx="90" formatCode="0.000">
                  <c:v>38.883333333333333</c:v>
                </c:pt>
                <c:pt idx="91" formatCode="0.000">
                  <c:v>40.216666666666669</c:v>
                </c:pt>
                <c:pt idx="93" formatCode="0.000">
                  <c:v>43.866666666666667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C9-47A7-B9A1-1AA0F866D7DA}"/>
            </c:ext>
          </c:extLst>
        </c:ser>
        <c:ser>
          <c:idx val="2"/>
          <c:order val="2"/>
          <c:tx>
            <c:strRef>
              <c:f>'5K'!$F$6</c:f>
              <c:strCache>
                <c:ptCount val="1"/>
                <c:pt idx="0">
                  <c:v>2020 Age-Grade Standards</c:v>
                </c:pt>
              </c:strCache>
            </c:strRef>
          </c:tx>
          <c:spPr>
            <a:ln w="28575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  <c:extLst xmlns:c15="http://schemas.microsoft.com/office/drawing/2012/chart"/>
            </c:numRef>
          </c:xVal>
          <c:yVal>
            <c:numRef>
              <c:f>'5K'!$F$7:$F$106</c:f>
              <c:numCache>
                <c:formatCode>General</c:formatCode>
                <c:ptCount val="100"/>
                <c:pt idx="2" formatCode="0.0000">
                  <c:v>26.429452900041138</c:v>
                </c:pt>
                <c:pt idx="3" formatCode="0.0000">
                  <c:v>23.440350237139729</c:v>
                </c:pt>
                <c:pt idx="4" formatCode="0.0000">
                  <c:v>21.197624546354341</c:v>
                </c:pt>
                <c:pt idx="5" formatCode="0.0000">
                  <c:v>19.463798848833687</c:v>
                </c:pt>
                <c:pt idx="6" formatCode="0.0000">
                  <c:v>18.093494790199944</c:v>
                </c:pt>
                <c:pt idx="7" formatCode="0.0000">
                  <c:v>16.992859032002116</c:v>
                </c:pt>
                <c:pt idx="8" formatCode="0.0000">
                  <c:v>16.098722124780757</c:v>
                </c:pt>
                <c:pt idx="9" formatCode="0.0000">
                  <c:v>15.367137048552976</c:v>
                </c:pt>
                <c:pt idx="10" formatCode="0.0000">
                  <c:v>14.766720294185244</c:v>
                </c:pt>
                <c:pt idx="11" formatCode="0.0000">
                  <c:v>14.274605643190402</c:v>
                </c:pt>
                <c:pt idx="12" formatCode="0.0000">
                  <c:v>13.873893327575036</c:v>
                </c:pt>
                <c:pt idx="13" formatCode="0.0000">
                  <c:v>13.551993250369119</c:v>
                </c:pt>
                <c:pt idx="14" formatCode="0.0000">
                  <c:v>13.299523908093562</c:v>
                </c:pt>
                <c:pt idx="15" formatCode="0.0000">
                  <c:v>13.109569475617221</c:v>
                </c:pt>
                <c:pt idx="16" formatCode="0.0000">
                  <c:v>12.951017939931466</c:v>
                </c:pt>
                <c:pt idx="17" formatCode="0.0000">
                  <c:v>12.855339910424329</c:v>
                </c:pt>
                <c:pt idx="18" formatCode="0.0000">
                  <c:v>12.85</c:v>
                </c:pt>
                <c:pt idx="19" formatCode="0.0000">
                  <c:v>12.85</c:v>
                </c:pt>
                <c:pt idx="20" formatCode="0.0000">
                  <c:v>12.85</c:v>
                </c:pt>
                <c:pt idx="21" formatCode="0.0000">
                  <c:v>12.85</c:v>
                </c:pt>
                <c:pt idx="22" formatCode="0.0000">
                  <c:v>12.85</c:v>
                </c:pt>
                <c:pt idx="23" formatCode="0.0000">
                  <c:v>12.85</c:v>
                </c:pt>
                <c:pt idx="24" formatCode="0.0000">
                  <c:v>12.85</c:v>
                </c:pt>
                <c:pt idx="25" formatCode="0.0000">
                  <c:v>12.85</c:v>
                </c:pt>
                <c:pt idx="26" formatCode="0.0000">
                  <c:v>12.85</c:v>
                </c:pt>
                <c:pt idx="27" formatCode="0.0000">
                  <c:v>12.85</c:v>
                </c:pt>
                <c:pt idx="28" formatCode="0.0000">
                  <c:v>12.85</c:v>
                </c:pt>
                <c:pt idx="29" formatCode="0.0000">
                  <c:v>12.851124473391422</c:v>
                </c:pt>
                <c:pt idx="30" formatCode="0.0000">
                  <c:v>12.863788373162482</c:v>
                </c:pt>
                <c:pt idx="31" formatCode="0.0000">
                  <c:v>12.890605407032151</c:v>
                </c:pt>
                <c:pt idx="32" formatCode="0.0000">
                  <c:v>12.931752925526061</c:v>
                </c:pt>
                <c:pt idx="33" formatCode="0.0000">
                  <c:v>12.987505211425972</c:v>
                </c:pt>
                <c:pt idx="34" formatCode="0.0000">
                  <c:v>13.058238090550244</c:v>
                </c:pt>
                <c:pt idx="35" formatCode="0.0000">
                  <c:v>13.14443535188216</c:v>
                </c:pt>
                <c:pt idx="36" formatCode="0.0000">
                  <c:v>13.239233463836801</c:v>
                </c:pt>
                <c:pt idx="37" formatCode="0.0000">
                  <c:v>13.335408883354088</c:v>
                </c:pt>
                <c:pt idx="38" formatCode="0.0000">
                  <c:v>13.432991846121681</c:v>
                </c:pt>
                <c:pt idx="39" formatCode="0.0000">
                  <c:v>13.53201347935973</c:v>
                </c:pt>
                <c:pt idx="40" formatCode="0.0000">
                  <c:v>13.632505834924675</c:v>
                </c:pt>
                <c:pt idx="41" formatCode="0.0000">
                  <c:v>13.734501923899103</c:v>
                </c:pt>
                <c:pt idx="42" formatCode="0.0000">
                  <c:v>13.83803575274607</c:v>
                </c:pt>
                <c:pt idx="43" formatCode="0.0000">
                  <c:v>13.943142361111111</c:v>
                </c:pt>
                <c:pt idx="44" formatCode="0.0000">
                  <c:v>14.049857861360158</c:v>
                </c:pt>
                <c:pt idx="45" formatCode="0.0000">
                  <c:v>14.158219479947114</c:v>
                </c:pt>
                <c:pt idx="46" formatCode="0.0000">
                  <c:v>14.268265600710636</c:v>
                </c:pt>
                <c:pt idx="47" formatCode="0.0000">
                  <c:v>14.380035810205909</c:v>
                </c:pt>
                <c:pt idx="48" formatCode="0.0000">
                  <c:v>14.493570945183848</c:v>
                </c:pt>
                <c:pt idx="49" formatCode="0.0000">
                  <c:v>14.608913142337427</c:v>
                </c:pt>
                <c:pt idx="50" formatCode="0.0000">
                  <c:v>14.726105890442355</c:v>
                </c:pt>
                <c:pt idx="51" formatCode="0.0000">
                  <c:v>14.845194085027725</c:v>
                </c:pt>
                <c:pt idx="52" formatCode="0.0000">
                  <c:v>14.96622408572094</c:v>
                </c:pt>
                <c:pt idx="53" formatCode="0.0000">
                  <c:v>15.089243776420854</c:v>
                </c:pt>
                <c:pt idx="54" formatCode="0.0000">
                  <c:v>15.214302628463177</c:v>
                </c:pt>
                <c:pt idx="55" formatCode="0.0000">
                  <c:v>15.341451766953199</c:v>
                </c:pt>
                <c:pt idx="56" formatCode="0.0000">
                  <c:v>15.470744040452685</c:v>
                </c:pt>
                <c:pt idx="57" formatCode="0.0000">
                  <c:v>15.602234094220496</c:v>
                </c:pt>
                <c:pt idx="58" formatCode="0.0000">
                  <c:v>15.73597844722018</c:v>
                </c:pt>
                <c:pt idx="59" formatCode="0.0000">
                  <c:v>15.872035573122529</c:v>
                </c:pt>
                <c:pt idx="60" formatCode="0.0000">
                  <c:v>16.010465985546972</c:v>
                </c:pt>
                <c:pt idx="61" formatCode="0.0000">
                  <c:v>16.151332327802916</c:v>
                </c:pt>
                <c:pt idx="62" formatCode="0.0000">
                  <c:v>16.294699467410602</c:v>
                </c:pt>
                <c:pt idx="63" formatCode="0.0000">
                  <c:v>16.440634595701127</c:v>
                </c:pt>
                <c:pt idx="64" formatCode="0.0000">
                  <c:v>16.589207332816937</c:v>
                </c:pt>
                <c:pt idx="65" formatCode="0.0000">
                  <c:v>16.740489838457528</c:v>
                </c:pt>
                <c:pt idx="66" formatCode="0.0000">
                  <c:v>16.894556928740467</c:v>
                </c:pt>
                <c:pt idx="67" formatCode="0.0000">
                  <c:v>17.058208980981092</c:v>
                </c:pt>
                <c:pt idx="68" formatCode="0.0000">
                  <c:v>17.238788750382341</c:v>
                </c:pt>
                <c:pt idx="69" formatCode="0.0000">
                  <c:v>17.43727669090697</c:v>
                </c:pt>
                <c:pt idx="70" formatCode="0.0000">
                  <c:v>17.654785065013574</c:v>
                </c:pt>
                <c:pt idx="71" formatCode="0.0000">
                  <c:v>17.892574929508825</c:v>
                </c:pt>
                <c:pt idx="72" formatCode="0.0000">
                  <c:v>18.152076258496866</c:v>
                </c:pt>
                <c:pt idx="73" formatCode="0.0000">
                  <c:v>18.434911849559644</c:v>
                </c:pt>
                <c:pt idx="74" formatCode="0.0000">
                  <c:v>18.74292582177155</c:v>
                </c:pt>
                <c:pt idx="75" formatCode="0.0000">
                  <c:v>19.078217723293093</c:v>
                </c:pt>
                <c:pt idx="76" formatCode="0.0000">
                  <c:v>19.443183537600241</c:v>
                </c:pt>
                <c:pt idx="77" formatCode="0.0000">
                  <c:v>19.840565232227249</c:v>
                </c:pt>
                <c:pt idx="78" formatCode="0.0000">
                  <c:v>20.273510961895262</c:v>
                </c:pt>
                <c:pt idx="79" formatCode="0.0000">
                  <c:v>20.745648660735185</c:v>
                </c:pt>
                <c:pt idx="80" formatCode="0.0000">
                  <c:v>21.261176595167342</c:v>
                </c:pt>
                <c:pt idx="81" formatCode="0.0000">
                  <c:v>21.824975584900852</c:v>
                </c:pt>
                <c:pt idx="82" formatCode="0.0000">
                  <c:v>22.442749158178593</c:v>
                </c:pt>
                <c:pt idx="83" formatCode="0.0000">
                  <c:v>23.121200071252879</c:v>
                </c:pt>
                <c:pt idx="84" formatCode="0.0000">
                  <c:v>23.868254664061283</c:v>
                </c:pt>
                <c:pt idx="85" formatCode="0.0000">
                  <c:v>24.693350858886625</c:v>
                </c:pt>
                <c:pt idx="86" formatCode="0.0000">
                  <c:v>25.607811877241929</c:v>
                </c:pt>
                <c:pt idx="87" formatCode="0.0000">
                  <c:v>26.625336960733325</c:v>
                </c:pt>
                <c:pt idx="88" formatCode="0.0000">
                  <c:v>27.762654152947377</c:v>
                </c:pt>
                <c:pt idx="89" formatCode="0.0000">
                  <c:v>29.040401186927522</c:v>
                </c:pt>
                <c:pt idx="90" formatCode="0.0000">
                  <c:v>30.484333187830938</c:v>
                </c:pt>
                <c:pt idx="91" formatCode="0.0000">
                  <c:v>32.127007937996126</c:v>
                </c:pt>
                <c:pt idx="92" formatCode="0.0000">
                  <c:v>34.010184528409745</c:v>
                </c:pt>
                <c:pt idx="93" formatCode="0.0000">
                  <c:v>36.188314413087504</c:v>
                </c:pt>
                <c:pt idx="94" formatCode="0.0000">
                  <c:v>38.733752923870838</c:v>
                </c:pt>
                <c:pt idx="95" formatCode="0.0000">
                  <c:v>41.744768909405721</c:v>
                </c:pt>
                <c:pt idx="96" formatCode="0.0000">
                  <c:v>45.358277444405203</c:v>
                </c:pt>
                <c:pt idx="97" formatCode="0.0000">
                  <c:v>49.770898936025986</c:v>
                </c:pt>
                <c:pt idx="98" formatCode="0.0000">
                  <c:v>55.275474035582775</c:v>
                </c:pt>
                <c:pt idx="99" formatCode="0.0000">
                  <c:v>62.328112646543822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0C9-47A7-B9A1-1AA0F866D7DA}"/>
            </c:ext>
          </c:extLst>
        </c:ser>
        <c:ser>
          <c:idx val="0"/>
          <c:order val="3"/>
          <c:tx>
            <c:strRef>
              <c:f>'5K'!$D$6</c:f>
              <c:strCache>
                <c:ptCount val="1"/>
                <c:pt idx="0">
                  <c:v>Proposed 2025 Age-Grade Standards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'5K'!$D$7:$D$106</c:f>
              <c:numCache>
                <c:formatCode>General</c:formatCode>
                <c:ptCount val="100"/>
                <c:pt idx="2" formatCode="0.000">
                  <c:v>31.003064021931948</c:v>
                </c:pt>
                <c:pt idx="3" formatCode="0.000">
                  <c:v>26.393465129049975</c:v>
                </c:pt>
                <c:pt idx="4" formatCode="0.000">
                  <c:v>23.172422105707223</c:v>
                </c:pt>
                <c:pt idx="5" formatCode="0.000">
                  <c:v>20.813034535022194</c:v>
                </c:pt>
                <c:pt idx="6" formatCode="0.000">
                  <c:v>19.027117973079967</c:v>
                </c:pt>
                <c:pt idx="7" formatCode="0.000">
                  <c:v>17.636805651116919</c:v>
                </c:pt>
                <c:pt idx="8" formatCode="0.000">
                  <c:v>16.539768572288896</c:v>
                </c:pt>
                <c:pt idx="9" formatCode="0.000">
                  <c:v>15.660638644509612</c:v>
                </c:pt>
                <c:pt idx="10" formatCode="0.000">
                  <c:v>14.95352545405048</c:v>
                </c:pt>
                <c:pt idx="11" formatCode="0.000">
                  <c:v>14.386201219740336</c:v>
                </c:pt>
                <c:pt idx="12" formatCode="0.000">
                  <c:v>13.931159420289854</c:v>
                </c:pt>
                <c:pt idx="13" formatCode="0.000">
                  <c:v>13.574101532161265</c:v>
                </c:pt>
                <c:pt idx="14" formatCode="0.000">
                  <c:v>13.299436200754037</c:v>
                </c:pt>
                <c:pt idx="15" formatCode="0.000">
                  <c:v>13.099618424638866</c:v>
                </c:pt>
                <c:pt idx="16" formatCode="0.000">
                  <c:v>12.967084850937542</c:v>
                </c:pt>
                <c:pt idx="17" formatCode="0.000">
                  <c:v>12.851365353120091</c:v>
                </c:pt>
                <c:pt idx="18" formatCode="0.000">
                  <c:v>12.816666666666666</c:v>
                </c:pt>
                <c:pt idx="19" formatCode="0.000">
                  <c:v>12.816666666666666</c:v>
                </c:pt>
                <c:pt idx="20" formatCode="0.000">
                  <c:v>12.816666666666666</c:v>
                </c:pt>
                <c:pt idx="21" formatCode="0.000">
                  <c:v>12.816666666666666</c:v>
                </c:pt>
                <c:pt idx="22" formatCode="0.000">
                  <c:v>12.816666666666666</c:v>
                </c:pt>
                <c:pt idx="23" formatCode="0.000">
                  <c:v>12.816666666666666</c:v>
                </c:pt>
                <c:pt idx="24" formatCode="0.000">
                  <c:v>12.816666666666666</c:v>
                </c:pt>
                <c:pt idx="25" formatCode="0.000">
                  <c:v>12.816666666666666</c:v>
                </c:pt>
                <c:pt idx="26" formatCode="0.000">
                  <c:v>12.816666666666666</c:v>
                </c:pt>
                <c:pt idx="27" formatCode="0.000">
                  <c:v>12.816666666666666</c:v>
                </c:pt>
                <c:pt idx="28" formatCode="0.000">
                  <c:v>12.816666666666666</c:v>
                </c:pt>
                <c:pt idx="29" formatCode="0.000">
                  <c:v>12.817948461512817</c:v>
                </c:pt>
                <c:pt idx="30" formatCode="0.000">
                  <c:v>12.833350021694869</c:v>
                </c:pt>
                <c:pt idx="31" formatCode="0.000">
                  <c:v>12.864264445113587</c:v>
                </c:pt>
                <c:pt idx="32" formatCode="0.000">
                  <c:v>12.913518052057094</c:v>
                </c:pt>
                <c:pt idx="33" formatCode="0.000">
                  <c:v>12.978902953586497</c:v>
                </c:pt>
                <c:pt idx="34" formatCode="0.000">
                  <c:v>13.063568103829036</c:v>
                </c:pt>
                <c:pt idx="35" formatCode="0.000">
                  <c:v>13.157444478664067</c:v>
                </c:pt>
                <c:pt idx="36" formatCode="0.000">
                  <c:v>13.252679833178231</c:v>
                </c:pt>
                <c:pt idx="37" formatCode="0.000">
                  <c:v>13.349303891955699</c:v>
                </c:pt>
                <c:pt idx="38" formatCode="0.000">
                  <c:v>13.447347252824118</c:v>
                </c:pt>
                <c:pt idx="39" formatCode="0.000">
                  <c:v>13.546841419159355</c:v>
                </c:pt>
                <c:pt idx="40" formatCode="0.000">
                  <c:v>13.647818833635039</c:v>
                </c:pt>
                <c:pt idx="41" formatCode="0.000">
                  <c:v>13.750312913492829</c:v>
                </c:pt>
                <c:pt idx="42" formatCode="0.000">
                  <c:v>13.854358087413972</c:v>
                </c:pt>
                <c:pt idx="43" formatCode="0.000">
                  <c:v>13.959989834077623</c:v>
                </c:pt>
                <c:pt idx="44" formatCode="0.000">
                  <c:v>14.067244722496616</c:v>
                </c:pt>
                <c:pt idx="45" formatCode="0.000">
                  <c:v>14.176160454227039</c:v>
                </c:pt>
                <c:pt idx="46" formatCode="0.000">
                  <c:v>14.28677590755397</c:v>
                </c:pt>
                <c:pt idx="47" formatCode="0.000">
                  <c:v>14.399131183762124</c:v>
                </c:pt>
                <c:pt idx="48" formatCode="0.000">
                  <c:v>14.513267655607141</c:v>
                </c:pt>
                <c:pt idx="49" formatCode="0.000">
                  <c:v>14.629228018110565</c:v>
                </c:pt>
                <c:pt idx="50" formatCode="0.000">
                  <c:v>14.747056341809534</c:v>
                </c:pt>
                <c:pt idx="51" formatCode="0.000">
                  <c:v>14.866798128600704</c:v>
                </c:pt>
                <c:pt idx="52" formatCode="0.000">
                  <c:v>14.988500370327058</c:v>
                </c:pt>
                <c:pt idx="53" formatCode="0.000">
                  <c:v>15.112211610266085</c:v>
                </c:pt>
                <c:pt idx="54" formatCode="0.000">
                  <c:v>15.237982007688345</c:v>
                </c:pt>
                <c:pt idx="55" formatCode="0.000">
                  <c:v>15.365863405666786</c:v>
                </c:pt>
                <c:pt idx="56" formatCode="0.000">
                  <c:v>15.495909402329424</c:v>
                </c:pt>
                <c:pt idx="57" formatCode="0.000">
                  <c:v>15.628175425761086</c:v>
                </c:pt>
                <c:pt idx="58" formatCode="0.000">
                  <c:v>15.762718812774155</c:v>
                </c:pt>
                <c:pt idx="59" formatCode="0.000">
                  <c:v>15.899598891783484</c:v>
                </c:pt>
                <c:pt idx="60" formatCode="0.000">
                  <c:v>16.038877070037124</c:v>
                </c:pt>
                <c:pt idx="61" formatCode="0.000">
                  <c:v>16.180616925472371</c:v>
                </c:pt>
                <c:pt idx="62" formatCode="0.000">
                  <c:v>16.324884303485756</c:v>
                </c:pt>
                <c:pt idx="63" formatCode="0.000">
                  <c:v>16.471747418926444</c:v>
                </c:pt>
                <c:pt idx="64" formatCode="0.000">
                  <c:v>16.621276963645009</c:v>
                </c:pt>
                <c:pt idx="65" formatCode="0.000">
                  <c:v>16.773546219953758</c:v>
                </c:pt>
                <c:pt idx="66" formatCode="0.000">
                  <c:v>16.928631180381281</c:v>
                </c:pt>
                <c:pt idx="67" formatCode="0.000">
                  <c:v>17.088888888888889</c:v>
                </c:pt>
                <c:pt idx="68" formatCode="0.000">
                  <c:v>17.268481092248273</c:v>
                </c:pt>
                <c:pt idx="69" formatCode="0.000">
                  <c:v>17.463777989735206</c:v>
                </c:pt>
                <c:pt idx="70" formatCode="0.000">
                  <c:v>17.678160919540229</c:v>
                </c:pt>
                <c:pt idx="71" formatCode="0.000">
                  <c:v>17.912881434894011</c:v>
                </c:pt>
                <c:pt idx="72" formatCode="0.000">
                  <c:v>18.169360173896607</c:v>
                </c:pt>
                <c:pt idx="73" formatCode="0.000">
                  <c:v>18.451866781840867</c:v>
                </c:pt>
                <c:pt idx="74" formatCode="0.000">
                  <c:v>18.757012537196935</c:v>
                </c:pt>
                <c:pt idx="75" formatCode="0.000">
                  <c:v>19.089464799920563</c:v>
                </c:pt>
                <c:pt idx="76" formatCode="0.000">
                  <c:v>19.451611271310767</c:v>
                </c:pt>
                <c:pt idx="77" formatCode="0.000">
                  <c:v>19.846185609579848</c:v>
                </c:pt>
                <c:pt idx="78" formatCode="0.000">
                  <c:v>20.279535864978904</c:v>
                </c:pt>
                <c:pt idx="79" formatCode="0.000">
                  <c:v>20.74901516377961</c:v>
                </c:pt>
                <c:pt idx="80" formatCode="0.000">
                  <c:v>21.26188896261889</c:v>
                </c:pt>
                <c:pt idx="81" formatCode="0.000">
                  <c:v>21.823031954140415</c:v>
                </c:pt>
                <c:pt idx="82" formatCode="0.000">
                  <c:v>22.438141923436039</c:v>
                </c:pt>
                <c:pt idx="83" formatCode="0.000">
                  <c:v>23.118085618085619</c:v>
                </c:pt>
                <c:pt idx="84" formatCode="0.000">
                  <c:v>23.862719543225964</c:v>
                </c:pt>
                <c:pt idx="85" formatCode="0.000">
                  <c:v>24.685413456599896</c:v>
                </c:pt>
                <c:pt idx="86" formatCode="0.000">
                  <c:v>25.597496837760467</c:v>
                </c:pt>
                <c:pt idx="87" formatCode="0.000">
                  <c:v>26.612679955703214</c:v>
                </c:pt>
                <c:pt idx="88" formatCode="0.000">
                  <c:v>27.753717337952938</c:v>
                </c:pt>
                <c:pt idx="89" formatCode="0.000">
                  <c:v>29.029822574556437</c:v>
                </c:pt>
                <c:pt idx="90" formatCode="0.000">
                  <c:v>30.47234110001585</c:v>
                </c:pt>
                <c:pt idx="91" formatCode="0.000">
                  <c:v>32.113922993401822</c:v>
                </c:pt>
                <c:pt idx="92" formatCode="0.000">
                  <c:v>33.996463306808131</c:v>
                </c:pt>
                <c:pt idx="93" formatCode="0.000">
                  <c:v>36.184829663090532</c:v>
                </c:pt>
                <c:pt idx="94" formatCode="0.000">
                  <c:v>38.73274906819784</c:v>
                </c:pt>
                <c:pt idx="95" formatCode="0.000">
                  <c:v>41.74809989142237</c:v>
                </c:pt>
                <c:pt idx="96" formatCode="0.000">
                  <c:v>45.368731563421832</c:v>
                </c:pt>
                <c:pt idx="97" formatCode="0.000">
                  <c:v>49.792799792799791</c:v>
                </c:pt>
                <c:pt idx="98" formatCode="0.000">
                  <c:v>55.33966609096143</c:v>
                </c:pt>
                <c:pt idx="99" formatCode="0.000">
                  <c:v>62.428965741191746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C9-47A7-B9A1-1AA0F866D7DA}"/>
            </c:ext>
          </c:extLst>
        </c:ser>
        <c:ser>
          <c:idx val="1"/>
          <c:order val="4"/>
          <c:tx>
            <c:v>World Record</c:v>
          </c:tx>
          <c:spPr>
            <a:ln w="28575">
              <a:noFill/>
            </a:ln>
          </c:spPr>
          <c:marker>
            <c:symbol val="diamond"/>
            <c:size val="15"/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'5K'!$A$26</c:f>
              <c:numCache>
                <c:formatCode>General</c:formatCode>
                <c:ptCount val="1"/>
                <c:pt idx="0">
                  <c:v>20</c:v>
                </c:pt>
              </c:numCache>
            </c:numRef>
          </c:xVal>
          <c:yVal>
            <c:numRef>
              <c:f>'5K'!$C$26</c:f>
              <c:numCache>
                <c:formatCode>0.000</c:formatCode>
                <c:ptCount val="1"/>
                <c:pt idx="0">
                  <c:v>12.816666666666666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A-4CC0-9FFF-8AEB7DEC1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78240"/>
        <c:axId val="141580544"/>
        <c:extLst/>
      </c:scatterChart>
      <c:valAx>
        <c:axId val="14157824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444497502328338"/>
              <c:y val="0.93109125782354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80544"/>
        <c:crosses val="autoZero"/>
        <c:crossBetween val="midCat"/>
        <c:majorUnit val="10"/>
      </c:valAx>
      <c:valAx>
        <c:axId val="141580544"/>
        <c:scaling>
          <c:orientation val="minMax"/>
          <c:max val="50"/>
          <c:min val="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(minutes)</a:t>
                </a:r>
              </a:p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4.6295825924985183E-3"/>
              <c:y val="0.423077596069722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78240"/>
        <c:crosses val="autoZero"/>
        <c:crossBetween val="midCat"/>
        <c:majorUnit val="5"/>
      </c:valAx>
      <c:spPr>
        <a:noFill/>
        <a:ln w="3175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1912628736025588"/>
          <c:y val="0.18376792301494704"/>
          <c:w val="0.41387093578209577"/>
          <c:h val="0.284846812661879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Male 8 km</a:t>
            </a:r>
          </a:p>
        </c:rich>
      </c:tx>
      <c:layout>
        <c:manualLayout>
          <c:xMode val="edge"/>
          <c:yMode val="edge"/>
          <c:x val="0.39676518551261014"/>
          <c:y val="2.834645669291338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5166543008956782E-2"/>
          <c:y val="0.11566908626078085"/>
          <c:w val="0.89811245265034256"/>
          <c:h val="0.76659185398474738"/>
        </c:manualLayout>
      </c:layout>
      <c:scatterChart>
        <c:scatterStyle val="lineMarker"/>
        <c:varyColors val="0"/>
        <c:ser>
          <c:idx val="2"/>
          <c:order val="0"/>
          <c:tx>
            <c:strRef>
              <c:f>'8K'!$D$6</c:f>
              <c:strCache>
                <c:ptCount val="1"/>
                <c:pt idx="0">
                  <c:v>2025 Proposed Standards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'8K'!$D$7:$D$105</c:f>
              <c:numCache>
                <c:formatCode>General</c:formatCode>
                <c:ptCount val="99"/>
                <c:pt idx="2" formatCode="0.000">
                  <c:v>54.063966125173508</c:v>
                </c:pt>
                <c:pt idx="3" formatCode="0.000">
                  <c:v>45.811762134398506</c:v>
                </c:pt>
                <c:pt idx="4" formatCode="0.000">
                  <c:v>40.066841830055637</c:v>
                </c:pt>
                <c:pt idx="5" formatCode="0.000">
                  <c:v>35.862109335830581</c:v>
                </c:pt>
                <c:pt idx="6" formatCode="0.000">
                  <c:v>32.67355888828785</c:v>
                </c:pt>
                <c:pt idx="7" formatCode="0.000">
                  <c:v>30.188695427427518</c:v>
                </c:pt>
                <c:pt idx="8" formatCode="0.000">
                  <c:v>28.217428795217597</c:v>
                </c:pt>
                <c:pt idx="9" formatCode="0.000">
                  <c:v>26.630315147891224</c:v>
                </c:pt>
                <c:pt idx="10" formatCode="0.000">
                  <c:v>25.34228538038386</c:v>
                </c:pt>
                <c:pt idx="11" formatCode="0.000">
                  <c:v>24.293541048958041</c:v>
                </c:pt>
                <c:pt idx="12" formatCode="0.000">
                  <c:v>23.438602299615106</c:v>
                </c:pt>
                <c:pt idx="13" formatCode="0.000">
                  <c:v>22.747420400428933</c:v>
                </c:pt>
                <c:pt idx="14" formatCode="0.000">
                  <c:v>22.194903516359993</c:v>
                </c:pt>
                <c:pt idx="15" formatCode="0.000">
                  <c:v>21.76458532798695</c:v>
                </c:pt>
                <c:pt idx="16" formatCode="0.000">
                  <c:v>21.443120434424511</c:v>
                </c:pt>
                <c:pt idx="17" formatCode="0.000">
                  <c:v>21.196677200119701</c:v>
                </c:pt>
                <c:pt idx="18" formatCode="0.000">
                  <c:v>21.055152669250564</c:v>
                </c:pt>
                <c:pt idx="19" formatCode="0.000">
                  <c:v>20.962150972731749</c:v>
                </c:pt>
                <c:pt idx="20" formatCode="0.000">
                  <c:v>20.916666666666664</c:v>
                </c:pt>
                <c:pt idx="21" formatCode="0.000">
                  <c:v>20.916666666666664</c:v>
                </c:pt>
                <c:pt idx="22" formatCode="0.000">
                  <c:v>20.916666666666664</c:v>
                </c:pt>
                <c:pt idx="23" formatCode="0.000">
                  <c:v>20.916666666666664</c:v>
                </c:pt>
                <c:pt idx="24" formatCode="0.000">
                  <c:v>20.916666666666664</c:v>
                </c:pt>
                <c:pt idx="25" formatCode="0.000">
                  <c:v>20.916666666666664</c:v>
                </c:pt>
                <c:pt idx="26" formatCode="0.000">
                  <c:v>20.916666666666664</c:v>
                </c:pt>
                <c:pt idx="27" formatCode="0.000">
                  <c:v>20.919503652205755</c:v>
                </c:pt>
                <c:pt idx="28" formatCode="0.000">
                  <c:v>20.930859294303996</c:v>
                </c:pt>
                <c:pt idx="29" formatCode="0.000">
                  <c:v>20.948591293332157</c:v>
                </c:pt>
                <c:pt idx="30" formatCode="0.000">
                  <c:v>20.982358110562416</c:v>
                </c:pt>
                <c:pt idx="31" formatCode="0.000">
                  <c:v>21.030127987594039</c:v>
                </c:pt>
                <c:pt idx="32" formatCode="0.000">
                  <c:v>21.09634652542648</c:v>
                </c:pt>
                <c:pt idx="33" formatCode="0.000">
                  <c:v>21.177072195807703</c:v>
                </c:pt>
                <c:pt idx="34" formatCode="0.000">
                  <c:v>21.276962049851619</c:v>
                </c:pt>
                <c:pt idx="35" formatCode="0.000">
                  <c:v>21.38794993256387</c:v>
                </c:pt>
                <c:pt idx="36" formatCode="0.000">
                  <c:v>21.509096706274171</c:v>
                </c:pt>
                <c:pt idx="37" formatCode="0.000">
                  <c:v>21.637693076275266</c:v>
                </c:pt>
                <c:pt idx="38" formatCode="0.000">
                  <c:v>21.777056755556618</c:v>
                </c:pt>
                <c:pt idx="39" formatCode="0.000">
                  <c:v>21.924458579133354</c:v>
                </c:pt>
                <c:pt idx="40" formatCode="0.000">
                  <c:v>22.083350951380336</c:v>
                </c:pt>
                <c:pt idx="41" formatCode="0.000">
                  <c:v>22.25098145228424</c:v>
                </c:pt>
                <c:pt idx="42" formatCode="0.000">
                  <c:v>22.426066401784851</c:v>
                </c:pt>
                <c:pt idx="43" formatCode="0.000">
                  <c:v>22.603928564843951</c:v>
                </c:pt>
                <c:pt idx="44" formatCode="0.000">
                  <c:v>22.784634548348834</c:v>
                </c:pt>
                <c:pt idx="45" formatCode="0.000">
                  <c:v>22.968253106293549</c:v>
                </c:pt>
                <c:pt idx="46" formatCode="0.000">
                  <c:v>23.154855226998091</c:v>
                </c:pt>
                <c:pt idx="47" formatCode="0.000">
                  <c:v>23.344514224614098</c:v>
                </c:pt>
                <c:pt idx="48" formatCode="0.000">
                  <c:v>23.537305835164691</c:v>
                </c:pt>
                <c:pt idx="49" formatCode="0.000">
                  <c:v>23.733308317382875</c:v>
                </c:pt>
                <c:pt idx="50" formatCode="0.000">
                  <c:v>23.932602558630514</c:v>
                </c:pt>
                <c:pt idx="51" formatCode="0.000">
                  <c:v>24.135272186199071</c:v>
                </c:pt>
                <c:pt idx="52" formatCode="0.000">
                  <c:v>24.341403684313843</c:v>
                </c:pt>
                <c:pt idx="53" formatCode="0.000">
                  <c:v>24.551086517185585</c:v>
                </c:pt>
                <c:pt idx="54" formatCode="0.000">
                  <c:v>24.764413258477433</c:v>
                </c:pt>
                <c:pt idx="55" formatCode="0.000">
                  <c:v>24.981479727580652</c:v>
                </c:pt>
                <c:pt idx="56" formatCode="0.000">
                  <c:v>25.202385133120728</c:v>
                </c:pt>
                <c:pt idx="57" formatCode="0.000">
                  <c:v>25.427232224145332</c:v>
                </c:pt>
                <c:pt idx="58" formatCode="0.000">
                  <c:v>25.656127449478198</c:v>
                </c:pt>
                <c:pt idx="59" formatCode="0.000">
                  <c:v>25.88918112575827</c:v>
                </c:pt>
                <c:pt idx="60" formatCode="0.000">
                  <c:v>26.126507614721191</c:v>
                </c:pt>
                <c:pt idx="61" formatCode="0.000">
                  <c:v>26.368225510322034</c:v>
                </c:pt>
                <c:pt idx="62" formatCode="0.000">
                  <c:v>26.614457836342265</c:v>
                </c:pt>
                <c:pt idx="63" formatCode="0.000">
                  <c:v>26.865332255172909</c:v>
                </c:pt>
                <c:pt idx="64" formatCode="0.000">
                  <c:v>27.120981288518347</c:v>
                </c:pt>
                <c:pt idx="65" formatCode="0.000">
                  <c:v>27.381542550822367</c:v>
                </c:pt>
                <c:pt idx="66" formatCode="0.000">
                  <c:v>27.647158996280428</c:v>
                </c:pt>
                <c:pt idx="67" formatCode="0.000">
                  <c:v>27.919178826130189</c:v>
                </c:pt>
                <c:pt idx="68" formatCode="0.000">
                  <c:v>28.205172848862244</c:v>
                </c:pt>
                <c:pt idx="69" formatCode="0.000">
                  <c:v>28.50597150340311</c:v>
                </c:pt>
                <c:pt idx="70" formatCode="0.000">
                  <c:v>28.826310326375626</c:v>
                </c:pt>
                <c:pt idx="71" formatCode="0.000">
                  <c:v>29.183853130765943</c:v>
                </c:pt>
                <c:pt idx="72" formatCode="0.000">
                  <c:v>29.575446713952893</c:v>
                </c:pt>
                <c:pt idx="73" formatCode="0.000">
                  <c:v>30.00487826990128</c:v>
                </c:pt>
                <c:pt idx="74" formatCode="0.000">
                  <c:v>30.478171436961773</c:v>
                </c:pt>
                <c:pt idx="75" formatCode="0.000">
                  <c:v>30.994166920212585</c:v>
                </c:pt>
                <c:pt idx="76" formatCode="0.000">
                  <c:v>31.559702693285061</c:v>
                </c:pt>
                <c:pt idx="77" formatCode="0.000">
                  <c:v>32.17928688512513</c:v>
                </c:pt>
                <c:pt idx="78" formatCode="0.000">
                  <c:v>32.856281646405968</c:v>
                </c:pt>
                <c:pt idx="79" formatCode="0.000">
                  <c:v>33.596639015868533</c:v>
                </c:pt>
                <c:pt idx="80" formatCode="0.000">
                  <c:v>34.408890020897573</c:v>
                </c:pt>
                <c:pt idx="81" formatCode="0.000">
                  <c:v>35.297091319952116</c:v>
                </c:pt>
                <c:pt idx="82" formatCode="0.000">
                  <c:v>36.274323996559005</c:v>
                </c:pt>
                <c:pt idx="83" formatCode="0.000">
                  <c:v>37.353845959637361</c:v>
                </c:pt>
                <c:pt idx="84" formatCode="0.000">
                  <c:v>38.539870413015379</c:v>
                </c:pt>
                <c:pt idx="85" formatCode="0.000">
                  <c:v>39.854327119942013</c:v>
                </c:pt>
                <c:pt idx="86" formatCode="0.000">
                  <c:v>41.316040833246795</c:v>
                </c:pt>
                <c:pt idx="87" formatCode="0.000">
                  <c:v>42.947866966098118</c:v>
                </c:pt>
                <c:pt idx="88" formatCode="0.000">
                  <c:v>44.774405718147463</c:v>
                </c:pt>
                <c:pt idx="89" formatCode="0.000">
                  <c:v>46.829754733869059</c:v>
                </c:pt>
                <c:pt idx="90" formatCode="0.000">
                  <c:v>49.159919525897003</c:v>
                </c:pt>
                <c:pt idx="91" formatCode="0.000">
                  <c:v>51.811004456236716</c:v>
                </c:pt>
                <c:pt idx="92" formatCode="0.000">
                  <c:v>54.860243424644949</c:v>
                </c:pt>
                <c:pt idx="93" formatCode="0.000">
                  <c:v>58.404775186426647</c:v>
                </c:pt>
                <c:pt idx="94" formatCode="0.000">
                  <c:v>62.55766644524158</c:v>
                </c:pt>
                <c:pt idx="95" formatCode="0.000">
                  <c:v>67.476706215749616</c:v>
                </c:pt>
                <c:pt idx="96" formatCode="0.000">
                  <c:v>73.406994241081605</c:v>
                </c:pt>
                <c:pt idx="97" formatCode="0.000">
                  <c:v>80.666330473949102</c:v>
                </c:pt>
                <c:pt idx="98" formatCode="0.000">
                  <c:v>89.814144281607895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06-4CE1-A81B-20871C0E47D6}"/>
            </c:ext>
          </c:extLst>
        </c:ser>
        <c:ser>
          <c:idx val="5"/>
          <c:order val="1"/>
          <c:tx>
            <c:v>Single age bests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'8K'!$C$7:$C$105</c:f>
              <c:numCache>
                <c:formatCode>General</c:formatCode>
                <c:ptCount val="99"/>
                <c:pt idx="5" formatCode="0.000">
                  <c:v>41.06666666666667</c:v>
                </c:pt>
                <c:pt idx="6" formatCode="0.000">
                  <c:v>34.15</c:v>
                </c:pt>
                <c:pt idx="7" formatCode="0.000">
                  <c:v>33.633333333333333</c:v>
                </c:pt>
                <c:pt idx="8" formatCode="0.000">
                  <c:v>31.483333333333331</c:v>
                </c:pt>
                <c:pt idx="9" formatCode="0.000">
                  <c:v>30.5</c:v>
                </c:pt>
                <c:pt idx="10" formatCode="0.000">
                  <c:v>30.250000000000004</c:v>
                </c:pt>
                <c:pt idx="11" formatCode="0.000">
                  <c:v>28.966666666666665</c:v>
                </c:pt>
                <c:pt idx="12" formatCode="0.000">
                  <c:v>26.066666666666666</c:v>
                </c:pt>
                <c:pt idx="14" formatCode="0.000">
                  <c:v>22.983333333333331</c:v>
                </c:pt>
                <c:pt idx="15" formatCode="0.000">
                  <c:v>22.1</c:v>
                </c:pt>
                <c:pt idx="16" formatCode="0.000">
                  <c:v>22.416666666666668</c:v>
                </c:pt>
                <c:pt idx="17" formatCode="0.000">
                  <c:v>22.133333333333333</c:v>
                </c:pt>
                <c:pt idx="18" formatCode="0.000">
                  <c:v>22.066666666666666</c:v>
                </c:pt>
                <c:pt idx="19" formatCode="0.000">
                  <c:v>22.066666666666666</c:v>
                </c:pt>
                <c:pt idx="20" formatCode="0.000">
                  <c:v>22.266666666666666</c:v>
                </c:pt>
                <c:pt idx="21" formatCode="0.000">
                  <c:v>22.066666666666666</c:v>
                </c:pt>
                <c:pt idx="22" formatCode="0.000">
                  <c:v>22.066666666666666</c:v>
                </c:pt>
                <c:pt idx="23" formatCode="0.000">
                  <c:v>22.2</c:v>
                </c:pt>
                <c:pt idx="24" formatCode="0.000">
                  <c:v>22.033333333333335</c:v>
                </c:pt>
                <c:pt idx="25" formatCode="0.000">
                  <c:v>22.3</c:v>
                </c:pt>
                <c:pt idx="26" formatCode="0.000">
                  <c:v>22.05</c:v>
                </c:pt>
                <c:pt idx="27" formatCode="0.000">
                  <c:v>22.25</c:v>
                </c:pt>
                <c:pt idx="28" formatCode="0.000">
                  <c:v>22.233333333333331</c:v>
                </c:pt>
                <c:pt idx="29" formatCode="0.000">
                  <c:v>22.366666666666667</c:v>
                </c:pt>
                <c:pt idx="30" formatCode="0.000">
                  <c:v>22.416666666666668</c:v>
                </c:pt>
                <c:pt idx="31" formatCode="0.000">
                  <c:v>22.033333333333335</c:v>
                </c:pt>
                <c:pt idx="32" formatCode="0.000">
                  <c:v>22.533333333333331</c:v>
                </c:pt>
                <c:pt idx="33" formatCode="0.000">
                  <c:v>22.4</c:v>
                </c:pt>
                <c:pt idx="34" formatCode="0.000">
                  <c:v>22.616666666666667</c:v>
                </c:pt>
                <c:pt idx="35" formatCode="0.000">
                  <c:v>22.383333333333333</c:v>
                </c:pt>
                <c:pt idx="36" formatCode="0.000">
                  <c:v>23.099999999999998</c:v>
                </c:pt>
                <c:pt idx="37" formatCode="0.000">
                  <c:v>22.933333333333334</c:v>
                </c:pt>
                <c:pt idx="38" formatCode="0.000">
                  <c:v>22.816666666666666</c:v>
                </c:pt>
                <c:pt idx="39" formatCode="0.000">
                  <c:v>23.216666666666665</c:v>
                </c:pt>
                <c:pt idx="40" formatCode="0.000">
                  <c:v>22.65</c:v>
                </c:pt>
                <c:pt idx="41" formatCode="0.000">
                  <c:v>23.7</c:v>
                </c:pt>
                <c:pt idx="42" formatCode="0.000">
                  <c:v>23.766666666666666</c:v>
                </c:pt>
                <c:pt idx="43" formatCode="0.000">
                  <c:v>23.716666666666669</c:v>
                </c:pt>
                <c:pt idx="44" formatCode="0.000">
                  <c:v>24.25</c:v>
                </c:pt>
                <c:pt idx="45" formatCode="0.000">
                  <c:v>24.683333333333334</c:v>
                </c:pt>
                <c:pt idx="46" formatCode="0.000">
                  <c:v>24.233333333333334</c:v>
                </c:pt>
                <c:pt idx="47" formatCode="0.000">
                  <c:v>23.983333333333334</c:v>
                </c:pt>
                <c:pt idx="48" formatCode="0.000">
                  <c:v>25</c:v>
                </c:pt>
                <c:pt idx="49" formatCode="0.000">
                  <c:v>24.733333333333331</c:v>
                </c:pt>
                <c:pt idx="50" formatCode="0.000">
                  <c:v>25.116666666666667</c:v>
                </c:pt>
                <c:pt idx="51" formatCode="0.000">
                  <c:v>25.383333333333333</c:v>
                </c:pt>
                <c:pt idx="52" formatCode="0.000">
                  <c:v>25.299999999999997</c:v>
                </c:pt>
                <c:pt idx="53" formatCode="0.000">
                  <c:v>25.716666666666665</c:v>
                </c:pt>
                <c:pt idx="54" formatCode="0.000">
                  <c:v>26.183333333333334</c:v>
                </c:pt>
                <c:pt idx="55" formatCode="0.000">
                  <c:v>26.666666666666664</c:v>
                </c:pt>
                <c:pt idx="56" formatCode="0.000">
                  <c:v>26.700000000000003</c:v>
                </c:pt>
                <c:pt idx="57" formatCode="0.000">
                  <c:v>27.400000000000002</c:v>
                </c:pt>
                <c:pt idx="58" formatCode="0.000">
                  <c:v>26.516666666666666</c:v>
                </c:pt>
                <c:pt idx="59" formatCode="0.000">
                  <c:v>26.166666666666668</c:v>
                </c:pt>
                <c:pt idx="60" formatCode="0.000">
                  <c:v>27</c:v>
                </c:pt>
                <c:pt idx="61" formatCode="0.000">
                  <c:v>27.083333333333332</c:v>
                </c:pt>
                <c:pt idx="62" formatCode="0.000">
                  <c:v>27.983333333333334</c:v>
                </c:pt>
                <c:pt idx="63" formatCode="0.000">
                  <c:v>28.4</c:v>
                </c:pt>
                <c:pt idx="64" formatCode="0.000">
                  <c:v>28.599999999999998</c:v>
                </c:pt>
                <c:pt idx="65" formatCode="0.000">
                  <c:v>28.95</c:v>
                </c:pt>
                <c:pt idx="66" formatCode="0.000">
                  <c:v>29.75</c:v>
                </c:pt>
                <c:pt idx="67" formatCode="0.000">
                  <c:v>29.816666666666666</c:v>
                </c:pt>
                <c:pt idx="68" formatCode="0.000">
                  <c:v>30.566666666666666</c:v>
                </c:pt>
                <c:pt idx="69" formatCode="0.000">
                  <c:v>30.416666666666668</c:v>
                </c:pt>
                <c:pt idx="70" formatCode="0.000">
                  <c:v>31.1</c:v>
                </c:pt>
                <c:pt idx="71" formatCode="0.000">
                  <c:v>31.966666666666665</c:v>
                </c:pt>
                <c:pt idx="72" formatCode="0.000">
                  <c:v>32.933333333333337</c:v>
                </c:pt>
                <c:pt idx="73" formatCode="0.000">
                  <c:v>32</c:v>
                </c:pt>
                <c:pt idx="74" formatCode="0.000">
                  <c:v>31.866666666666667</c:v>
                </c:pt>
                <c:pt idx="75" formatCode="0.000">
                  <c:v>33.133333333333333</c:v>
                </c:pt>
                <c:pt idx="76" formatCode="0.000">
                  <c:v>33.449999999999996</c:v>
                </c:pt>
                <c:pt idx="77" formatCode="0.000">
                  <c:v>34.35</c:v>
                </c:pt>
                <c:pt idx="78" formatCode="0.000">
                  <c:v>37.666666666666664</c:v>
                </c:pt>
                <c:pt idx="79" formatCode="0.000">
                  <c:v>35.683333333333337</c:v>
                </c:pt>
                <c:pt idx="81" formatCode="0.000">
                  <c:v>36.716666666666669</c:v>
                </c:pt>
                <c:pt idx="82" formatCode="0.000">
                  <c:v>42.133333333333333</c:v>
                </c:pt>
                <c:pt idx="83" formatCode="0.000">
                  <c:v>37.93333333333333</c:v>
                </c:pt>
                <c:pt idx="84" formatCode="0.000">
                  <c:v>41.233333333333334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06-4CE1-A81B-20871C0E47D6}"/>
            </c:ext>
          </c:extLst>
        </c:ser>
        <c:ser>
          <c:idx val="0"/>
          <c:order val="2"/>
          <c:tx>
            <c:strRef>
              <c:f>'8K'!$G$6</c:f>
              <c:strCache>
                <c:ptCount val="1"/>
                <c:pt idx="0">
                  <c:v>2020 Standards</c:v>
                </c:pt>
              </c:strCache>
            </c:strRef>
          </c:tx>
          <c:marker>
            <c:symbol val="none"/>
          </c:marker>
          <c:xVal>
            <c:numRef>
              <c:f>'8K'!$A$7:$A$106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'8K'!$G$7:$G$106</c:f>
              <c:numCache>
                <c:formatCode>0.000</c:formatCode>
                <c:ptCount val="100"/>
                <c:pt idx="2">
                  <c:v>43.142504118616138</c:v>
                </c:pt>
                <c:pt idx="3">
                  <c:v>38.257852447041635</c:v>
                </c:pt>
                <c:pt idx="4">
                  <c:v>34.593791281373839</c:v>
                </c:pt>
                <c:pt idx="5">
                  <c:v>31.761673741661614</c:v>
                </c:pt>
                <c:pt idx="6">
                  <c:v>29.52367531003382</c:v>
                </c:pt>
                <c:pt idx="7">
                  <c:v>27.726310217046052</c:v>
                </c:pt>
                <c:pt idx="8">
                  <c:v>26.266298896690071</c:v>
                </c:pt>
                <c:pt idx="9">
                  <c:v>25.071804691239826</c:v>
                </c:pt>
                <c:pt idx="10">
                  <c:v>24.091536338546458</c:v>
                </c:pt>
                <c:pt idx="11">
                  <c:v>23.288128056914186</c:v>
                </c:pt>
                <c:pt idx="12">
                  <c:v>22.633967156439066</c:v>
                </c:pt>
                <c:pt idx="13">
                  <c:v>22.108484592655127</c:v>
                </c:pt>
                <c:pt idx="14">
                  <c:v>21.696354598177297</c:v>
                </c:pt>
                <c:pt idx="15">
                  <c:v>21.386280114332379</c:v>
                </c:pt>
                <c:pt idx="16">
                  <c:v>21.127470754336425</c:v>
                </c:pt>
                <c:pt idx="17">
                  <c:v>20.964375571820675</c:v>
                </c:pt>
                <c:pt idx="18">
                  <c:v>20.95</c:v>
                </c:pt>
                <c:pt idx="19">
                  <c:v>20.95</c:v>
                </c:pt>
                <c:pt idx="20">
                  <c:v>20.95</c:v>
                </c:pt>
                <c:pt idx="21">
                  <c:v>20.95</c:v>
                </c:pt>
                <c:pt idx="22">
                  <c:v>20.95</c:v>
                </c:pt>
                <c:pt idx="23">
                  <c:v>20.95</c:v>
                </c:pt>
                <c:pt idx="24">
                  <c:v>20.95</c:v>
                </c:pt>
                <c:pt idx="25">
                  <c:v>20.95</c:v>
                </c:pt>
                <c:pt idx="26">
                  <c:v>20.95</c:v>
                </c:pt>
                <c:pt idx="27">
                  <c:v>20.95</c:v>
                </c:pt>
                <c:pt idx="28">
                  <c:v>20.95</c:v>
                </c:pt>
                <c:pt idx="29">
                  <c:v>20.950140945134034</c:v>
                </c:pt>
                <c:pt idx="30">
                  <c:v>20.960835422585291</c:v>
                </c:pt>
                <c:pt idx="31">
                  <c:v>20.988589276191888</c:v>
                </c:pt>
                <c:pt idx="32">
                  <c:v>21.033538246092174</c:v>
                </c:pt>
                <c:pt idx="33">
                  <c:v>21.095903316514878</c:v>
                </c:pt>
                <c:pt idx="34">
                  <c:v>21.175993447244437</c:v>
                </c:pt>
                <c:pt idx="35">
                  <c:v>21.274209434709981</c:v>
                </c:pt>
                <c:pt idx="36">
                  <c:v>21.391048993650415</c:v>
                </c:pt>
                <c:pt idx="37">
                  <c:v>21.527113181308618</c:v>
                </c:pt>
                <c:pt idx="38">
                  <c:v>21.683049630885851</c:v>
                </c:pt>
                <c:pt idx="39">
                  <c:v>21.849011048596523</c:v>
                </c:pt>
                <c:pt idx="40">
                  <c:v>22.017532588931193</c:v>
                </c:pt>
                <c:pt idx="41">
                  <c:v>22.188673951068868</c:v>
                </c:pt>
                <c:pt idx="42">
                  <c:v>22.362496704886315</c:v>
                </c:pt>
                <c:pt idx="43">
                  <c:v>22.539064364810464</c:v>
                </c:pt>
                <c:pt idx="44">
                  <c:v>22.718442467197303</c:v>
                </c:pt>
                <c:pt idx="45">
                  <c:v>22.900698651435402</c:v>
                </c:pt>
                <c:pt idx="46">
                  <c:v>23.085902744984864</c:v>
                </c:pt>
                <c:pt idx="47">
                  <c:v>23.274126852576284</c:v>
                </c:pt>
                <c:pt idx="48">
                  <c:v>23.465445449809181</c:v>
                </c:pt>
                <c:pt idx="49">
                  <c:v>23.659935481405022</c:v>
                </c:pt>
                <c:pt idx="50">
                  <c:v>23.857676464387289</c:v>
                </c:pt>
                <c:pt idx="51">
                  <c:v>24.058750596479157</c:v>
                </c:pt>
                <c:pt idx="52">
                  <c:v>24.263242870029252</c:v>
                </c:pt>
                <c:pt idx="53">
                  <c:v>24.471241191797294</c:v>
                </c:pt>
                <c:pt idx="54">
                  <c:v>24.682836508954139</c:v>
                </c:pt>
                <c:pt idx="55">
                  <c:v>24.898122941675819</c:v>
                </c:pt>
                <c:pt idx="56">
                  <c:v>25.117197922737621</c:v>
                </c:pt>
                <c:pt idx="57">
                  <c:v>25.340162344543153</c:v>
                </c:pt>
                <c:pt idx="58">
                  <c:v>25.567120714054621</c:v>
                </c:pt>
                <c:pt idx="59">
                  <c:v>25.798181316124111</c:v>
                </c:pt>
                <c:pt idx="60">
                  <c:v>26.033456385762179</c:v>
                </c:pt>
                <c:pt idx="61">
                  <c:v>26.273062289919562</c:v>
                </c:pt>
                <c:pt idx="62">
                  <c:v>26.517119719400629</c:v>
                </c:pt>
                <c:pt idx="63">
                  <c:v>26.765753891573496</c:v>
                </c:pt>
                <c:pt idx="64">
                  <c:v>27.019094764592207</c:v>
                </c:pt>
                <c:pt idx="65">
                  <c:v>27.277277263900981</c:v>
                </c:pt>
                <c:pt idx="66">
                  <c:v>27.540441521850013</c:v>
                </c:pt>
                <c:pt idx="67">
                  <c:v>27.80873313131687</c:v>
                </c:pt>
                <c:pt idx="68">
                  <c:v>28.082303414298028</c:v>
                </c:pt>
                <c:pt idx="69">
                  <c:v>28.372873347732867</c:v>
                </c:pt>
                <c:pt idx="70">
                  <c:v>28.694853316265547</c:v>
                </c:pt>
                <c:pt idx="71">
                  <c:v>29.050205252614589</c:v>
                </c:pt>
                <c:pt idx="72">
                  <c:v>29.441152755043714</c:v>
                </c:pt>
                <c:pt idx="73">
                  <c:v>29.870233342251488</c:v>
                </c:pt>
                <c:pt idx="74">
                  <c:v>30.340343944391616</c:v>
                </c:pt>
                <c:pt idx="75">
                  <c:v>30.854795498979694</c:v>
                </c:pt>
                <c:pt idx="76">
                  <c:v>31.417378738571848</c:v>
                </c:pt>
                <c:pt idx="77">
                  <c:v>32.032443835571705</c:v>
                </c:pt>
                <c:pt idx="78">
                  <c:v>32.704997333011811</c:v>
                </c:pt>
                <c:pt idx="79">
                  <c:v>33.440820807115649</c:v>
                </c:pt>
                <c:pt idx="80">
                  <c:v>34.246617075207311</c:v>
                </c:pt>
                <c:pt idx="81">
                  <c:v>35.130191621143361</c:v>
                </c:pt>
                <c:pt idx="82">
                  <c:v>36.100679463959281</c:v>
                </c:pt>
                <c:pt idx="83">
                  <c:v>37.168831245251461</c:v>
                </c:pt>
                <c:pt idx="84">
                  <c:v>38.347377308638841</c:v>
                </c:pt>
                <c:pt idx="85">
                  <c:v>39.651495678072472</c:v>
                </c:pt>
                <c:pt idx="86">
                  <c:v>41.099420175441537</c:v>
                </c:pt>
                <c:pt idx="87">
                  <c:v>42.713240130965325</c:v>
                </c:pt>
                <c:pt idx="88">
                  <c:v>44.519965934085675</c:v>
                </c:pt>
                <c:pt idx="89">
                  <c:v>46.55296949192995</c:v>
                </c:pt>
                <c:pt idx="90">
                  <c:v>48.853962994699067</c:v>
                </c:pt>
                <c:pt idx="91">
                  <c:v>51.47576618963847</c:v>
                </c:pt>
                <c:pt idx="92">
                  <c:v>54.48625473201016</c:v>
                </c:pt>
                <c:pt idx="93">
                  <c:v>57.974122659286664</c:v>
                </c:pt>
                <c:pt idx="94">
                  <c:v>62.057511978235944</c:v>
                </c:pt>
                <c:pt idx="95">
                  <c:v>66.89732403385625</c:v>
                </c:pt>
                <c:pt idx="96">
                  <c:v>72.718470452675277</c:v>
                </c:pt>
                <c:pt idx="97">
                  <c:v>79.84519819319695</c:v>
                </c:pt>
                <c:pt idx="98">
                  <c:v>88.762712344352778</c:v>
                </c:pt>
                <c:pt idx="99">
                  <c:v>100.23117209001997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E-4DC0-947F-4EAFB6EB9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23680"/>
        <c:axId val="141625216"/>
      </c:scatterChart>
      <c:valAx>
        <c:axId val="14162368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381561367626381"/>
              <c:y val="0.932283464566929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25216"/>
        <c:crosses val="autoZero"/>
        <c:crossBetween val="midCat"/>
        <c:majorUnit val="10"/>
      </c:valAx>
      <c:valAx>
        <c:axId val="141625216"/>
        <c:scaling>
          <c:orientation val="minMax"/>
          <c:max val="60"/>
          <c:min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7573739295908657E-3"/>
              <c:y val="0.425196850393700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23680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458620836049155"/>
          <c:y val="0.30078740157480316"/>
          <c:w val="0.27316829010918658"/>
          <c:h val="0.1498240119392140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Male 10 km</a:t>
            </a:r>
          </a:p>
        </c:rich>
      </c:tx>
      <c:layout>
        <c:manualLayout>
          <c:xMode val="edge"/>
          <c:yMode val="edge"/>
          <c:x val="0.39077373551889005"/>
          <c:y val="8.4363637168824973E-2"/>
        </c:manualLayout>
      </c:layout>
      <c:overlay val="0"/>
      <c:spPr>
        <a:solidFill>
          <a:srgbClr val="FFFFFF"/>
        </a:solidFill>
        <a:ln w="3175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1958244265537527E-2"/>
          <c:y val="4.8591157705475133E-2"/>
          <c:w val="0.90370099966448103"/>
          <c:h val="0.83877798939420656"/>
        </c:manualLayout>
      </c:layout>
      <c:scatterChart>
        <c:scatterStyle val="lineMarker"/>
        <c:varyColors val="0"/>
        <c:ser>
          <c:idx val="3"/>
          <c:order val="0"/>
          <c:tx>
            <c:strRef>
              <c:f>'10K'!$G$6</c:f>
              <c:strCache>
                <c:ptCount val="1"/>
                <c:pt idx="0">
                  <c:v>2020 Bernhard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  <c:spPr>
              <a:solidFill>
                <a:schemeClr val="accent1"/>
              </a:solidFill>
            </c:spPr>
          </c:marker>
          <c:xVal>
            <c:numRef>
              <c:f>'10K'!$A$7:$A$106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'10K'!$G$7:$G$106</c:f>
              <c:numCache>
                <c:formatCode>General</c:formatCode>
                <c:ptCount val="100"/>
                <c:pt idx="3" formatCode="0.000">
                  <c:v>70.5</c:v>
                </c:pt>
                <c:pt idx="5" formatCode="0.000">
                  <c:v>46.833333333333336</c:v>
                </c:pt>
                <c:pt idx="6" formatCode="0.000">
                  <c:v>42.68333333333333</c:v>
                </c:pt>
                <c:pt idx="7" formatCode="0.000">
                  <c:v>40.733333333333334</c:v>
                </c:pt>
                <c:pt idx="8" formatCode="0.000">
                  <c:v>38.533333333333331</c:v>
                </c:pt>
                <c:pt idx="9" formatCode="0.000">
                  <c:v>37.299999999999997</c:v>
                </c:pt>
                <c:pt idx="10" formatCode="0.000">
                  <c:v>37.75</c:v>
                </c:pt>
                <c:pt idx="11" formatCode="0.000">
                  <c:v>35.56666666666667</c:v>
                </c:pt>
                <c:pt idx="13" formatCode="0.000">
                  <c:v>29.266666666666666</c:v>
                </c:pt>
                <c:pt idx="14" formatCode="0.000">
                  <c:v>28.633333333333333</c:v>
                </c:pt>
                <c:pt idx="15" formatCode="0.000">
                  <c:v>28.083333333333336</c:v>
                </c:pt>
                <c:pt idx="16" formatCode="0.000">
                  <c:v>27.93333333333333</c:v>
                </c:pt>
                <c:pt idx="17" formatCode="0.000">
                  <c:v>27.7</c:v>
                </c:pt>
                <c:pt idx="18" formatCode="0.000">
                  <c:v>27.183333333333334</c:v>
                </c:pt>
                <c:pt idx="19" formatCode="0.000">
                  <c:v>27.400000000000002</c:v>
                </c:pt>
                <c:pt idx="20" formatCode="0.000">
                  <c:v>27.166666666666668</c:v>
                </c:pt>
                <c:pt idx="21" formatCode="0.000">
                  <c:v>26.733333333333334</c:v>
                </c:pt>
                <c:pt idx="22" formatCode="0.000">
                  <c:v>26.633333333333333</c:v>
                </c:pt>
                <c:pt idx="23" formatCode="0.000">
                  <c:v>27.249999999999996</c:v>
                </c:pt>
                <c:pt idx="24" formatCode="0.000">
                  <c:v>27.400000000000002</c:v>
                </c:pt>
                <c:pt idx="25" formatCode="0.000">
                  <c:v>27.466666666666665</c:v>
                </c:pt>
                <c:pt idx="26" formatCode="0.000">
                  <c:v>27.650000000000002</c:v>
                </c:pt>
                <c:pt idx="27" formatCode="0.000">
                  <c:v>27.400000000000002</c:v>
                </c:pt>
                <c:pt idx="28" formatCode="0.000">
                  <c:v>27.316666666666666</c:v>
                </c:pt>
                <c:pt idx="29" formatCode="0.000">
                  <c:v>27.066666666666666</c:v>
                </c:pt>
                <c:pt idx="30" formatCode="0.000">
                  <c:v>27.466666666666665</c:v>
                </c:pt>
                <c:pt idx="31" formatCode="0.000">
                  <c:v>27.15</c:v>
                </c:pt>
                <c:pt idx="32" formatCode="0.000">
                  <c:v>27.666666666666668</c:v>
                </c:pt>
                <c:pt idx="33" formatCode="0.000">
                  <c:v>27.75</c:v>
                </c:pt>
                <c:pt idx="34" formatCode="0.000">
                  <c:v>27.85</c:v>
                </c:pt>
                <c:pt idx="35" formatCode="0.000">
                  <c:v>27.650000000000002</c:v>
                </c:pt>
                <c:pt idx="36" formatCode="0.000">
                  <c:v>28.033333333333339</c:v>
                </c:pt>
                <c:pt idx="37" formatCode="0.000">
                  <c:v>28.133333333333333</c:v>
                </c:pt>
                <c:pt idx="38" formatCode="0.000">
                  <c:v>27.650000000000002</c:v>
                </c:pt>
                <c:pt idx="39" formatCode="0.000">
                  <c:v>27.8</c:v>
                </c:pt>
                <c:pt idx="40" formatCode="0.000">
                  <c:v>28.7</c:v>
                </c:pt>
                <c:pt idx="41" formatCode="0.000">
                  <c:v>28.216666666666661</c:v>
                </c:pt>
                <c:pt idx="42" formatCode="0.000">
                  <c:v>29.000000000000004</c:v>
                </c:pt>
                <c:pt idx="43" formatCode="0.000">
                  <c:v>29.066666666666666</c:v>
                </c:pt>
                <c:pt idx="44" formatCode="0.000">
                  <c:v>29.133333333333333</c:v>
                </c:pt>
                <c:pt idx="45" formatCode="0.000">
                  <c:v>30</c:v>
                </c:pt>
                <c:pt idx="46" formatCode="0.000">
                  <c:v>29.966666666666665</c:v>
                </c:pt>
                <c:pt idx="47" formatCode="0.000">
                  <c:v>30.85</c:v>
                </c:pt>
                <c:pt idx="48" formatCode="0.000">
                  <c:v>30.983333333333334</c:v>
                </c:pt>
                <c:pt idx="49" formatCode="0.000">
                  <c:v>30.583333333333332</c:v>
                </c:pt>
                <c:pt idx="50" formatCode="0.000">
                  <c:v>31.45</c:v>
                </c:pt>
                <c:pt idx="51" formatCode="0.000">
                  <c:v>31.783333333333335</c:v>
                </c:pt>
                <c:pt idx="52" formatCode="0.000">
                  <c:v>31.750000000000004</c:v>
                </c:pt>
                <c:pt idx="53" formatCode="0.000">
                  <c:v>32.06666666666667</c:v>
                </c:pt>
                <c:pt idx="54" formatCode="0.000">
                  <c:v>32.033333333333331</c:v>
                </c:pt>
                <c:pt idx="55" formatCode="0.000">
                  <c:v>32.983333333333334</c:v>
                </c:pt>
                <c:pt idx="56" formatCode="0.000">
                  <c:v>33.4</c:v>
                </c:pt>
                <c:pt idx="57" formatCode="0.000">
                  <c:v>32.516666666666666</c:v>
                </c:pt>
                <c:pt idx="58" formatCode="0.000">
                  <c:v>33.199999999999996</c:v>
                </c:pt>
                <c:pt idx="59" formatCode="0.000">
                  <c:v>32.799999999999997</c:v>
                </c:pt>
                <c:pt idx="60" formatCode="0.000">
                  <c:v>33.449999999999996</c:v>
                </c:pt>
                <c:pt idx="61" formatCode="0.000">
                  <c:v>33.333333333333336</c:v>
                </c:pt>
                <c:pt idx="62" formatCode="0.000">
                  <c:v>35.333333333333336</c:v>
                </c:pt>
                <c:pt idx="63" formatCode="0.000">
                  <c:v>36.016666666666666</c:v>
                </c:pt>
                <c:pt idx="64" formatCode="0.000">
                  <c:v>35.81666666666667</c:v>
                </c:pt>
                <c:pt idx="65" formatCode="0.000">
                  <c:v>35.6</c:v>
                </c:pt>
                <c:pt idx="66" formatCode="0.000">
                  <c:v>35.666666666666671</c:v>
                </c:pt>
                <c:pt idx="67" formatCode="0.000">
                  <c:v>36.783333333333339</c:v>
                </c:pt>
                <c:pt idx="68" formatCode="0.000">
                  <c:v>36.18333333333333</c:v>
                </c:pt>
                <c:pt idx="69" formatCode="0.000">
                  <c:v>37.81666666666667</c:v>
                </c:pt>
                <c:pt idx="70" formatCode="0.000">
                  <c:v>39.233333333333327</c:v>
                </c:pt>
                <c:pt idx="71" formatCode="0.000">
                  <c:v>38.283333333333331</c:v>
                </c:pt>
                <c:pt idx="72" formatCode="0.000">
                  <c:v>37.549999999999997</c:v>
                </c:pt>
                <c:pt idx="73" formatCode="0.000">
                  <c:v>39.06666666666667</c:v>
                </c:pt>
                <c:pt idx="74" formatCode="0.000">
                  <c:v>40.166666666666664</c:v>
                </c:pt>
                <c:pt idx="75" formatCode="0.000">
                  <c:v>40.233333333333334</c:v>
                </c:pt>
                <c:pt idx="76" formatCode="0.000">
                  <c:v>43.933333333333337</c:v>
                </c:pt>
                <c:pt idx="77" formatCode="0.000">
                  <c:v>43.1</c:v>
                </c:pt>
                <c:pt idx="78" formatCode="0.000">
                  <c:v>45.283333333333331</c:v>
                </c:pt>
                <c:pt idx="79" formatCode="0.000">
                  <c:v>42.966666666666669</c:v>
                </c:pt>
                <c:pt idx="80" formatCode="0.000">
                  <c:v>45.3</c:v>
                </c:pt>
                <c:pt idx="81" formatCode="0.000">
                  <c:v>44.366666666666667</c:v>
                </c:pt>
                <c:pt idx="82" formatCode="0.000">
                  <c:v>48.483333333333334</c:v>
                </c:pt>
                <c:pt idx="83" formatCode="0.000">
                  <c:v>48.95000000000001</c:v>
                </c:pt>
                <c:pt idx="84" formatCode="0.000">
                  <c:v>52.9</c:v>
                </c:pt>
                <c:pt idx="85" formatCode="0.000">
                  <c:v>58.866666666666674</c:v>
                </c:pt>
                <c:pt idx="86" formatCode="0.000">
                  <c:v>60.833333333333336</c:v>
                </c:pt>
                <c:pt idx="87" formatCode="0.000">
                  <c:v>62.13333333333334</c:v>
                </c:pt>
                <c:pt idx="88" formatCode="0.000">
                  <c:v>70.05</c:v>
                </c:pt>
                <c:pt idx="89" formatCode="0.000">
                  <c:v>71.899999999999991</c:v>
                </c:pt>
                <c:pt idx="90" formatCode="0.000">
                  <c:v>75.333333333333329</c:v>
                </c:pt>
                <c:pt idx="91" formatCode="0.000">
                  <c:v>81.466666666666669</c:v>
                </c:pt>
                <c:pt idx="92" formatCode="0.000">
                  <c:v>100.35</c:v>
                </c:pt>
                <c:pt idx="93" formatCode="0.000">
                  <c:v>107.46666666666667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A2-4EAC-97F4-5872F9CCEEBF}"/>
            </c:ext>
          </c:extLst>
        </c:ser>
        <c:ser>
          <c:idx val="0"/>
          <c:order val="1"/>
          <c:tx>
            <c:strRef>
              <c:f>'10K'!$C$6</c:f>
              <c:strCache>
                <c:ptCount val="1"/>
                <c:pt idx="0">
                  <c:v>2025 Bernhard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FF0000"/>
              </a:solidFill>
            </c:spPr>
          </c:marker>
          <c:xVal>
            <c:numRef>
              <c:f>'10K'!$A$7:$A$105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'10K'!$C$7:$C$106</c:f>
              <c:numCache>
                <c:formatCode>General</c:formatCode>
                <c:ptCount val="100"/>
                <c:pt idx="3" formatCode="0.000">
                  <c:v>70.5</c:v>
                </c:pt>
                <c:pt idx="5" formatCode="0.000">
                  <c:v>46.833333333333336</c:v>
                </c:pt>
                <c:pt idx="6" formatCode="0.000">
                  <c:v>42.683333333333337</c:v>
                </c:pt>
                <c:pt idx="7" formatCode="0.000">
                  <c:v>40.733333333333334</c:v>
                </c:pt>
                <c:pt idx="8" formatCode="0.000">
                  <c:v>38.533333333333331</c:v>
                </c:pt>
                <c:pt idx="9" formatCode="0.000">
                  <c:v>37.299999999999997</c:v>
                </c:pt>
                <c:pt idx="10" formatCode="0.000">
                  <c:v>37.75</c:v>
                </c:pt>
                <c:pt idx="11" formatCode="0.000">
                  <c:v>35.56666666666667</c:v>
                </c:pt>
                <c:pt idx="12" formatCode="0.000">
                  <c:v>0</c:v>
                </c:pt>
                <c:pt idx="13" formatCode="0.000">
                  <c:v>29.266666666666666</c:v>
                </c:pt>
                <c:pt idx="14" formatCode="0.000">
                  <c:v>28.633333333333333</c:v>
                </c:pt>
                <c:pt idx="15" formatCode="0.000">
                  <c:v>28.083333333333336</c:v>
                </c:pt>
                <c:pt idx="16" formatCode="0.000">
                  <c:v>27.93333333333333</c:v>
                </c:pt>
                <c:pt idx="17" formatCode="0.000">
                  <c:v>27.7</c:v>
                </c:pt>
                <c:pt idx="18" formatCode="0.000">
                  <c:v>26.933333333333334</c:v>
                </c:pt>
                <c:pt idx="19" formatCode="0.000">
                  <c:v>26.4</c:v>
                </c:pt>
                <c:pt idx="20" formatCode="0.000">
                  <c:v>26.716666666666669</c:v>
                </c:pt>
                <c:pt idx="21" formatCode="0.000">
                  <c:v>26.733333333333334</c:v>
                </c:pt>
                <c:pt idx="22" formatCode="0.000">
                  <c:v>26.633333333333333</c:v>
                </c:pt>
                <c:pt idx="23" formatCode="0.000">
                  <c:v>27.249999999999996</c:v>
                </c:pt>
                <c:pt idx="24" formatCode="0.000">
                  <c:v>26.85</c:v>
                </c:pt>
                <c:pt idx="25" formatCode="0.000">
                  <c:v>27.466666666666665</c:v>
                </c:pt>
                <c:pt idx="26" formatCode="0.000">
                  <c:v>27.650000000000002</c:v>
                </c:pt>
                <c:pt idx="27" formatCode="0.000">
                  <c:v>27.400000000000002</c:v>
                </c:pt>
                <c:pt idx="28" formatCode="0.000">
                  <c:v>27.316666666666666</c:v>
                </c:pt>
                <c:pt idx="29" formatCode="0.000">
                  <c:v>27.066666666666666</c:v>
                </c:pt>
                <c:pt idx="30" formatCode="0.000">
                  <c:v>27.466666666666665</c:v>
                </c:pt>
                <c:pt idx="31" formatCode="0.000">
                  <c:v>27.150000000000002</c:v>
                </c:pt>
                <c:pt idx="32" formatCode="0.000">
                  <c:v>27.666666666666668</c:v>
                </c:pt>
                <c:pt idx="33" formatCode="0.000">
                  <c:v>27.75</c:v>
                </c:pt>
                <c:pt idx="34" formatCode="0.000">
                  <c:v>27.85</c:v>
                </c:pt>
                <c:pt idx="35" formatCode="0.000">
                  <c:v>27.650000000000002</c:v>
                </c:pt>
                <c:pt idx="36" formatCode="0.000">
                  <c:v>28.033333333333331</c:v>
                </c:pt>
                <c:pt idx="37" formatCode="0.000">
                  <c:v>28.133333333333333</c:v>
                </c:pt>
                <c:pt idx="38" formatCode="0.000">
                  <c:v>27.650000000000002</c:v>
                </c:pt>
                <c:pt idx="39" formatCode="0.000">
                  <c:v>27.8</c:v>
                </c:pt>
                <c:pt idx="40" formatCode="0.000">
                  <c:v>28.7</c:v>
                </c:pt>
                <c:pt idx="41" formatCode="0.000">
                  <c:v>28.216666666666669</c:v>
                </c:pt>
                <c:pt idx="42" formatCode="0.000">
                  <c:v>29.000000000000004</c:v>
                </c:pt>
                <c:pt idx="43" formatCode="0.000">
                  <c:v>29.066666666666666</c:v>
                </c:pt>
                <c:pt idx="44" formatCode="0.000">
                  <c:v>29.133333333333333</c:v>
                </c:pt>
                <c:pt idx="45" formatCode="0.000">
                  <c:v>30</c:v>
                </c:pt>
                <c:pt idx="46" formatCode="0.000">
                  <c:v>29.966666666666665</c:v>
                </c:pt>
                <c:pt idx="47" formatCode="0.000">
                  <c:v>30.85</c:v>
                </c:pt>
                <c:pt idx="48" formatCode="0.000">
                  <c:v>30.983333333333334</c:v>
                </c:pt>
                <c:pt idx="49" formatCode="0.000">
                  <c:v>30.583333333333332</c:v>
                </c:pt>
                <c:pt idx="50" formatCode="0.000">
                  <c:v>31.45</c:v>
                </c:pt>
                <c:pt idx="51" formatCode="0.000">
                  <c:v>31.783333333333335</c:v>
                </c:pt>
                <c:pt idx="52" formatCode="0.000">
                  <c:v>31.750000000000004</c:v>
                </c:pt>
                <c:pt idx="53" formatCode="0.000">
                  <c:v>32.066666666666663</c:v>
                </c:pt>
                <c:pt idx="54" formatCode="0.000">
                  <c:v>32.033333333333331</c:v>
                </c:pt>
                <c:pt idx="55" formatCode="0.000">
                  <c:v>32.983333333333334</c:v>
                </c:pt>
                <c:pt idx="56" formatCode="0.000">
                  <c:v>33.4</c:v>
                </c:pt>
                <c:pt idx="57" formatCode="0.000">
                  <c:v>32.516666666666666</c:v>
                </c:pt>
                <c:pt idx="58" formatCode="0.000">
                  <c:v>33.199999999999996</c:v>
                </c:pt>
                <c:pt idx="59" formatCode="0.000">
                  <c:v>32.800000000000004</c:v>
                </c:pt>
                <c:pt idx="60" formatCode="0.000">
                  <c:v>33.449999999999996</c:v>
                </c:pt>
                <c:pt idx="61" formatCode="0.000">
                  <c:v>33.333333333333329</c:v>
                </c:pt>
                <c:pt idx="62" formatCode="0.000">
                  <c:v>35.333333333333336</c:v>
                </c:pt>
                <c:pt idx="63" formatCode="0.000">
                  <c:v>36.016666666666666</c:v>
                </c:pt>
                <c:pt idx="64" formatCode="0.000">
                  <c:v>35.81666666666667</c:v>
                </c:pt>
                <c:pt idx="65" formatCode="0.000">
                  <c:v>35.6</c:v>
                </c:pt>
                <c:pt idx="66" formatCode="0.000">
                  <c:v>35.666666666666671</c:v>
                </c:pt>
                <c:pt idx="67" formatCode="0.000">
                  <c:v>36.783333333333331</c:v>
                </c:pt>
                <c:pt idx="68" formatCode="0.000">
                  <c:v>36.18333333333333</c:v>
                </c:pt>
                <c:pt idx="69" formatCode="0.000">
                  <c:v>37.816666666666663</c:v>
                </c:pt>
                <c:pt idx="70" formatCode="0.000">
                  <c:v>39.233333333333334</c:v>
                </c:pt>
                <c:pt idx="71" formatCode="0.000">
                  <c:v>38.283333333333331</c:v>
                </c:pt>
                <c:pt idx="72" formatCode="0.000">
                  <c:v>37.549999999999997</c:v>
                </c:pt>
                <c:pt idx="73" formatCode="0.000">
                  <c:v>39.066666666666663</c:v>
                </c:pt>
                <c:pt idx="74" formatCode="0.000">
                  <c:v>40.166666666666664</c:v>
                </c:pt>
                <c:pt idx="75" formatCode="0.000">
                  <c:v>40.233333333333334</c:v>
                </c:pt>
                <c:pt idx="76" formatCode="0.000">
                  <c:v>43.933333333333337</c:v>
                </c:pt>
                <c:pt idx="77" formatCode="0.000">
                  <c:v>43.099999999999994</c:v>
                </c:pt>
                <c:pt idx="78" formatCode="0.000">
                  <c:v>45.283333333333331</c:v>
                </c:pt>
                <c:pt idx="79" formatCode="0.000">
                  <c:v>42.966666666666669</c:v>
                </c:pt>
                <c:pt idx="80" formatCode="0.000">
                  <c:v>45.3</c:v>
                </c:pt>
                <c:pt idx="81" formatCode="0.000">
                  <c:v>44.366666666666667</c:v>
                </c:pt>
                <c:pt idx="82" formatCode="0.000">
                  <c:v>48.483333333333334</c:v>
                </c:pt>
                <c:pt idx="83" formatCode="0.000">
                  <c:v>48.949999999999996</c:v>
                </c:pt>
                <c:pt idx="84" formatCode="0.000">
                  <c:v>52.9</c:v>
                </c:pt>
                <c:pt idx="85" formatCode="0.000">
                  <c:v>58.86666666666666</c:v>
                </c:pt>
                <c:pt idx="86" formatCode="0.000">
                  <c:v>60.833333333333336</c:v>
                </c:pt>
                <c:pt idx="87" formatCode="0.000">
                  <c:v>62.13333333333334</c:v>
                </c:pt>
                <c:pt idx="88" formatCode="0.000">
                  <c:v>70.05</c:v>
                </c:pt>
                <c:pt idx="89" formatCode="0.000">
                  <c:v>71.899999999999991</c:v>
                </c:pt>
                <c:pt idx="90" formatCode="0.000">
                  <c:v>75.333333333333329</c:v>
                </c:pt>
                <c:pt idx="91" formatCode="0.000">
                  <c:v>81.466666666666669</c:v>
                </c:pt>
                <c:pt idx="92" formatCode="0.000">
                  <c:v>100.35</c:v>
                </c:pt>
                <c:pt idx="93" formatCode="0.000">
                  <c:v>107.46666666666667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A2-4EAC-97F4-5872F9CCEEBF}"/>
            </c:ext>
          </c:extLst>
        </c:ser>
        <c:ser>
          <c:idx val="1"/>
          <c:order val="2"/>
          <c:tx>
            <c:strRef>
              <c:f>'10K'!$F$6</c:f>
              <c:strCache>
                <c:ptCount val="1"/>
                <c:pt idx="0">
                  <c:v>2020 Age-Grade Standards</c:v>
                </c:pt>
              </c:strCache>
            </c:strRef>
          </c:tx>
          <c:spPr>
            <a:ln w="2857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'10K'!$A$7:$A$106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'10K'!$F$7:$F$106</c:f>
              <c:numCache>
                <c:formatCode>General</c:formatCode>
                <c:ptCount val="100"/>
                <c:pt idx="2" formatCode="0.000">
                  <c:v>54.0983606557377</c:v>
                </c:pt>
                <c:pt idx="3" formatCode="0.000">
                  <c:v>48</c:v>
                </c:pt>
                <c:pt idx="4" formatCode="0.000">
                  <c:v>43.421052631578945</c:v>
                </c:pt>
                <c:pt idx="5" formatCode="0.000">
                  <c:v>39.879154078549853</c:v>
                </c:pt>
                <c:pt idx="6" formatCode="0.000">
                  <c:v>37.078651685393261</c:v>
                </c:pt>
                <c:pt idx="7" formatCode="0.000">
                  <c:v>34.828496042216358</c:v>
                </c:pt>
                <c:pt idx="8" formatCode="0.000">
                  <c:v>32.999999999999993</c:v>
                </c:pt>
                <c:pt idx="9" formatCode="0.000">
                  <c:v>31.503579952267302</c:v>
                </c:pt>
                <c:pt idx="10" formatCode="0.000">
                  <c:v>30.275229357798164</c:v>
                </c:pt>
                <c:pt idx="11" formatCode="0.000">
                  <c:v>29.268292682926827</c:v>
                </c:pt>
                <c:pt idx="12" formatCode="0.000">
                  <c:v>28.448275862068964</c:v>
                </c:pt>
                <c:pt idx="13" formatCode="0.000">
                  <c:v>27.789473684210527</c:v>
                </c:pt>
                <c:pt idx="14" formatCode="0.000">
                  <c:v>27.272727272727273</c:v>
                </c:pt>
                <c:pt idx="15" formatCode="0.000">
                  <c:v>26.883910386965375</c:v>
                </c:pt>
                <c:pt idx="16" formatCode="0.000">
                  <c:v>26.612903225806452</c:v>
                </c:pt>
                <c:pt idx="17" formatCode="0.000">
                  <c:v>26.452905811623246</c:v>
                </c:pt>
                <c:pt idx="18" formatCode="0.000">
                  <c:v>26.4</c:v>
                </c:pt>
                <c:pt idx="19" formatCode="0.000">
                  <c:v>26.4</c:v>
                </c:pt>
                <c:pt idx="20" formatCode="0.000">
                  <c:v>26.4</c:v>
                </c:pt>
                <c:pt idx="21" formatCode="0.000">
                  <c:v>26.4</c:v>
                </c:pt>
                <c:pt idx="22" formatCode="0.000">
                  <c:v>26.4</c:v>
                </c:pt>
                <c:pt idx="23" formatCode="0.000">
                  <c:v>26.4</c:v>
                </c:pt>
                <c:pt idx="24" formatCode="0.000">
                  <c:v>26.4</c:v>
                </c:pt>
                <c:pt idx="25" formatCode="0.000">
                  <c:v>26.4</c:v>
                </c:pt>
                <c:pt idx="26" formatCode="0.000">
                  <c:v>26.4</c:v>
                </c:pt>
                <c:pt idx="27" formatCode="0.000">
                  <c:v>26.4</c:v>
                </c:pt>
                <c:pt idx="28" formatCode="0.000">
                  <c:v>26.4</c:v>
                </c:pt>
                <c:pt idx="29" formatCode="0.000">
                  <c:v>26.4</c:v>
                </c:pt>
                <c:pt idx="30" formatCode="0.000">
                  <c:v>26.409615151147261</c:v>
                </c:pt>
                <c:pt idx="31" formatCode="0.000">
                  <c:v>26.438502673796791</c:v>
                </c:pt>
                <c:pt idx="32" formatCode="0.000">
                  <c:v>26.486789236576158</c:v>
                </c:pt>
                <c:pt idx="33" formatCode="0.000">
                  <c:v>26.5546875</c:v>
                </c:pt>
                <c:pt idx="34" formatCode="0.000">
                  <c:v>26.642498469075321</c:v>
                </c:pt>
                <c:pt idx="35" formatCode="0.000">
                  <c:v>26.750614854894245</c:v>
                </c:pt>
                <c:pt idx="36" formatCode="0.000">
                  <c:v>26.879525515877916</c:v>
                </c:pt>
                <c:pt idx="37" formatCode="0.000">
                  <c:v>27.029821073558647</c:v>
                </c:pt>
                <c:pt idx="38" formatCode="0.000">
                  <c:v>27.20220082530949</c:v>
                </c:pt>
                <c:pt idx="39" formatCode="0.000">
                  <c:v>27.397481108312341</c:v>
                </c:pt>
                <c:pt idx="40" formatCode="0.000">
                  <c:v>27.611452477448029</c:v>
                </c:pt>
                <c:pt idx="41" formatCode="0.000">
                  <c:v>27.829753590723413</c:v>
                </c:pt>
                <c:pt idx="42" formatCode="0.000">
                  <c:v>28.051534068269358</c:v>
                </c:pt>
                <c:pt idx="43" formatCode="0.000">
                  <c:v>28.276877761413843</c:v>
                </c:pt>
                <c:pt idx="44" formatCode="0.000">
                  <c:v>28.505871237683898</c:v>
                </c:pt>
                <c:pt idx="45" formatCode="0.000">
                  <c:v>28.738603891685941</c:v>
                </c:pt>
                <c:pt idx="46" formatCode="0.000">
                  <c:v>28.975168061462476</c:v>
                </c:pt>
                <c:pt idx="47" formatCode="0.000">
                  <c:v>29.215659150643241</c:v>
                </c:pt>
                <c:pt idx="48" formatCode="0.000">
                  <c:v>29.460175756730365</c:v>
                </c:pt>
                <c:pt idx="49" formatCode="0.000">
                  <c:v>29.70881980587987</c:v>
                </c:pt>
                <c:pt idx="50" formatCode="0.000">
                  <c:v>29.961696694566605</c:v>
                </c:pt>
                <c:pt idx="51" formatCode="0.000">
                  <c:v>30.218915438546286</c:v>
                </c:pt>
                <c:pt idx="52" formatCode="0.000">
                  <c:v>30.480588829556932</c:v>
                </c:pt>
                <c:pt idx="53" formatCode="0.000">
                  <c:v>30.746833600232929</c:v>
                </c:pt>
                <c:pt idx="54" formatCode="0.000">
                  <c:v>31.017770597738284</c:v>
                </c:pt>
                <c:pt idx="55" formatCode="0.000">
                  <c:v>31.293524966661728</c:v>
                </c:pt>
                <c:pt idx="56" formatCode="0.000">
                  <c:v>31.574226341755118</c:v>
                </c:pt>
                <c:pt idx="57" formatCode="0.000">
                  <c:v>31.860009051138935</c:v>
                </c:pt>
                <c:pt idx="58" formatCode="0.000">
                  <c:v>32.15101233064393</c:v>
                </c:pt>
                <c:pt idx="59" formatCode="0.000">
                  <c:v>32.447380550007679</c:v>
                </c:pt>
                <c:pt idx="60" formatCode="0.000">
                  <c:v>32.749263451697935</c:v>
                </c:pt>
                <c:pt idx="61" formatCode="0.000">
                  <c:v>33.056816403192983</c:v>
                </c:pt>
                <c:pt idx="62" formatCode="0.000">
                  <c:v>33.370200663611946</c:v>
                </c:pt>
                <c:pt idx="63" formatCode="0.000">
                  <c:v>33.6895836656564</c:v>
                </c:pt>
                <c:pt idx="64" formatCode="0.000">
                  <c:v>34.015139313899176</c:v>
                </c:pt>
                <c:pt idx="65" formatCode="0.000">
                  <c:v>34.34704830053667</c:v>
                </c:pt>
                <c:pt idx="66" formatCode="0.000">
                  <c:v>34.685498439809486</c:v>
                </c:pt>
                <c:pt idx="67" formatCode="0.000">
                  <c:v>35.030685022391772</c:v>
                </c:pt>
                <c:pt idx="68" formatCode="0.000">
                  <c:v>35.382811191154296</c:v>
                </c:pt>
                <c:pt idx="69" formatCode="0.000">
                  <c:v>35.742088339820604</c:v>
                </c:pt>
                <c:pt idx="70" formatCode="0.000">
                  <c:v>36.125289070731668</c:v>
                </c:pt>
                <c:pt idx="71" formatCode="0.000">
                  <c:v>36.550669057228099</c:v>
                </c:pt>
                <c:pt idx="72" formatCode="0.000">
                  <c:v>37.020936461415488</c:v>
                </c:pt>
                <c:pt idx="73" formatCode="0.000">
                  <c:v>37.539192196398226</c:v>
                </c:pt>
                <c:pt idx="74" formatCode="0.000">
                  <c:v>38.108985925658608</c:v>
                </c:pt>
                <c:pt idx="75" formatCode="0.000">
                  <c:v>38.734383367690533</c:v>
                </c:pt>
                <c:pt idx="76" formatCode="0.000">
                  <c:v>39.42004748323901</c:v>
                </c:pt>
                <c:pt idx="77" formatCode="0.000">
                  <c:v>40.171336838181027</c:v>
                </c:pt>
                <c:pt idx="78" formatCode="0.000">
                  <c:v>40.994425379276066</c:v>
                </c:pt>
                <c:pt idx="79" formatCode="0.000">
                  <c:v>41.896449117238639</c:v>
                </c:pt>
                <c:pt idx="80" formatCode="0.000">
                  <c:v>42.885686901996451</c:v>
                </c:pt>
                <c:pt idx="81" formatCode="0.000">
                  <c:v>43.97178477143833</c:v>
                </c:pt>
                <c:pt idx="82" formatCode="0.000">
                  <c:v>45.166036509212844</c:v>
                </c:pt>
                <c:pt idx="83" formatCode="0.000">
                  <c:v>46.481737431003666</c:v>
                </c:pt>
                <c:pt idx="84" formatCode="0.000">
                  <c:v>47.934634589196541</c:v>
                </c:pt>
                <c:pt idx="85" formatCode="0.000">
                  <c:v>49.543505390671179</c:v>
                </c:pt>
                <c:pt idx="86" formatCode="0.000">
                  <c:v>51.330909373724012</c:v>
                </c:pt>
                <c:pt idx="87" formatCode="0.000">
                  <c:v>53.324176656533723</c:v>
                </c:pt>
                <c:pt idx="88" formatCode="0.000">
                  <c:v>55.556724678549628</c:v>
                </c:pt>
                <c:pt idx="89" formatCode="0.000">
                  <c:v>58.069837778388774</c:v>
                </c:pt>
                <c:pt idx="90" formatCode="0.000">
                  <c:v>60.915111100856045</c:v>
                </c:pt>
                <c:pt idx="91" formatCode="0.000">
                  <c:v>64.157867236958808</c:v>
                </c:pt>
                <c:pt idx="92" formatCode="0.000">
                  <c:v>67.882029261268656</c:v>
                </c:pt>
                <c:pt idx="93" formatCode="0.000">
                  <c:v>72.197229704784419</c:v>
                </c:pt>
                <c:pt idx="94" formatCode="0.000">
                  <c:v>77.249451353328453</c:v>
                </c:pt>
                <c:pt idx="95" formatCode="0.000">
                  <c:v>83.237431620765207</c:v>
                </c:pt>
                <c:pt idx="96" formatCode="0.000">
                  <c:v>90.438833887156989</c:v>
                </c:pt>
                <c:pt idx="97" formatCode="0.000">
                  <c:v>99.25371731488616</c:v>
                </c:pt>
                <c:pt idx="98" formatCode="0.000">
                  <c:v>110.28029575170224</c:v>
                </c:pt>
                <c:pt idx="99" formatCode="0.000">
                  <c:v>124.45492044784906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A2-4EAC-97F4-5872F9CCEEBF}"/>
            </c:ext>
          </c:extLst>
        </c:ser>
        <c:ser>
          <c:idx val="4"/>
          <c:order val="3"/>
          <c:tx>
            <c:strRef>
              <c:f>'10K'!$D$6</c:f>
              <c:strCache>
                <c:ptCount val="1"/>
                <c:pt idx="0">
                  <c:v>2025 Proposed Age-Grade Standards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'10K'!$A$7:$A$106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'10K'!$D$7:$D$106</c:f>
              <c:numCache>
                <c:formatCode>General</c:formatCode>
                <c:ptCount val="100"/>
                <c:pt idx="2" formatCode="0.000">
                  <c:v>70.531659096981016</c:v>
                </c:pt>
                <c:pt idx="3" formatCode="0.000">
                  <c:v>59.620596205962052</c:v>
                </c:pt>
                <c:pt idx="4" formatCode="0.000">
                  <c:v>52.040212891780008</c:v>
                </c:pt>
                <c:pt idx="5" formatCode="0.000">
                  <c:v>46.49524480450863</c:v>
                </c:pt>
                <c:pt idx="6" formatCode="0.000">
                  <c:v>42.287361845266702</c:v>
                </c:pt>
                <c:pt idx="7" formatCode="0.000">
                  <c:v>39.00709219858156</c:v>
                </c:pt>
                <c:pt idx="8" formatCode="0.000">
                  <c:v>36.398731559354751</c:v>
                </c:pt>
                <c:pt idx="9" formatCode="0.000">
                  <c:v>34.294621979734991</c:v>
                </c:pt>
                <c:pt idx="10" formatCode="0.000">
                  <c:v>32.580525731210663</c:v>
                </c:pt>
                <c:pt idx="11" formatCode="0.000">
                  <c:v>31.17619272555503</c:v>
                </c:pt>
                <c:pt idx="12" formatCode="0.000">
                  <c:v>30.023882633913338</c:v>
                </c:pt>
                <c:pt idx="13" formatCode="0.000">
                  <c:v>29.081295439524123</c:v>
                </c:pt>
                <c:pt idx="14" formatCode="0.000">
                  <c:v>28.317065322321138</c:v>
                </c:pt>
                <c:pt idx="15" formatCode="0.000">
                  <c:v>27.707808564231737</c:v>
                </c:pt>
                <c:pt idx="16" formatCode="0.000">
                  <c:v>27.236149798823892</c:v>
                </c:pt>
                <c:pt idx="17" formatCode="0.000">
                  <c:v>26.889386840497046</c:v>
                </c:pt>
                <c:pt idx="18" formatCode="0.000">
                  <c:v>26.658588306573765</c:v>
                </c:pt>
                <c:pt idx="19" formatCode="0.000">
                  <c:v>26.484751203852326</c:v>
                </c:pt>
                <c:pt idx="20" formatCode="0.000">
                  <c:v>26.4</c:v>
                </c:pt>
                <c:pt idx="21" formatCode="0.000">
                  <c:v>26.4</c:v>
                </c:pt>
                <c:pt idx="22" formatCode="0.000">
                  <c:v>26.4</c:v>
                </c:pt>
                <c:pt idx="23" formatCode="0.000">
                  <c:v>26.4</c:v>
                </c:pt>
                <c:pt idx="24" formatCode="0.000">
                  <c:v>26.4</c:v>
                </c:pt>
                <c:pt idx="25" formatCode="0.000">
                  <c:v>26.4</c:v>
                </c:pt>
                <c:pt idx="26" formatCode="0.000">
                  <c:v>26.4</c:v>
                </c:pt>
                <c:pt idx="27" formatCode="0.000">
                  <c:v>26.405281056211241</c:v>
                </c:pt>
                <c:pt idx="28" formatCode="0.000">
                  <c:v>26.426426426426424</c:v>
                </c:pt>
                <c:pt idx="29" formatCode="0.000">
                  <c:v>26.458208057726999</c:v>
                </c:pt>
                <c:pt idx="30" formatCode="0.000">
                  <c:v>26.506024096385541</c:v>
                </c:pt>
                <c:pt idx="31" formatCode="0.000">
                  <c:v>26.564701147112093</c:v>
                </c:pt>
                <c:pt idx="32" formatCode="0.000">
                  <c:v>26.639757820383451</c:v>
                </c:pt>
                <c:pt idx="33" formatCode="0.000">
                  <c:v>26.726057906458795</c:v>
                </c:pt>
                <c:pt idx="34" formatCode="0.000">
                  <c:v>26.829268292682926</c:v>
                </c:pt>
                <c:pt idx="35" formatCode="0.000">
                  <c:v>26.944274341702386</c:v>
                </c:pt>
                <c:pt idx="36" formatCode="0.000">
                  <c:v>27.076923076923077</c:v>
                </c:pt>
                <c:pt idx="37" formatCode="0.000">
                  <c:v>27.222107651062075</c:v>
                </c:pt>
                <c:pt idx="38" formatCode="0.000">
                  <c:v>27.385892116182571</c:v>
                </c:pt>
                <c:pt idx="39" formatCode="0.000">
                  <c:v>27.563165587805386</c:v>
                </c:pt>
                <c:pt idx="40" formatCode="0.000">
                  <c:v>27.760252365930601</c:v>
                </c:pt>
                <c:pt idx="41" formatCode="0.000">
                  <c:v>27.97202797202797</c:v>
                </c:pt>
                <c:pt idx="42" formatCode="0.000">
                  <c:v>28.196090996475487</c:v>
                </c:pt>
                <c:pt idx="43" formatCode="0.000">
                  <c:v>28.423772609819121</c:v>
                </c:pt>
                <c:pt idx="44" formatCode="0.000">
                  <c:v>28.655161185281667</c:v>
                </c:pt>
                <c:pt idx="45" formatCode="0.000">
                  <c:v>28.890347997373606</c:v>
                </c:pt>
                <c:pt idx="46" formatCode="0.000">
                  <c:v>29.129427341939753</c:v>
                </c:pt>
                <c:pt idx="47" formatCode="0.000">
                  <c:v>29.372496662216285</c:v>
                </c:pt>
                <c:pt idx="48" formatCode="0.000">
                  <c:v>29.619656681252103</c:v>
                </c:pt>
                <c:pt idx="49" formatCode="0.000">
                  <c:v>29.871011541072637</c:v>
                </c:pt>
                <c:pt idx="50" formatCode="0.000">
                  <c:v>30.126668948990073</c:v>
                </c:pt>
                <c:pt idx="51" formatCode="0.000">
                  <c:v>30.386740331491712</c:v>
                </c:pt>
                <c:pt idx="52" formatCode="0.000">
                  <c:v>30.651340996168582</c:v>
                </c:pt>
                <c:pt idx="53" formatCode="0.000">
                  <c:v>30.920590302178493</c:v>
                </c:pt>
                <c:pt idx="54" formatCode="0.000">
                  <c:v>31.194611839773128</c:v>
                </c:pt>
                <c:pt idx="55" formatCode="0.000">
                  <c:v>31.473533619456365</c:v>
                </c:pt>
                <c:pt idx="56" formatCode="0.000">
                  <c:v>31.757488271382169</c:v>
                </c:pt>
                <c:pt idx="57" formatCode="0.000">
                  <c:v>32.046613255644573</c:v>
                </c:pt>
                <c:pt idx="58" formatCode="0.000">
                  <c:v>32.341051084160235</c:v>
                </c:pt>
                <c:pt idx="59" formatCode="0.000">
                  <c:v>32.640949554896139</c:v>
                </c:pt>
                <c:pt idx="60" formatCode="0.000">
                  <c:v>32.946461999251213</c:v>
                </c:pt>
                <c:pt idx="61" formatCode="0.000">
                  <c:v>33.257747543461832</c:v>
                </c:pt>
                <c:pt idx="62" formatCode="0.000">
                  <c:v>33.574971384967569</c:v>
                </c:pt>
                <c:pt idx="63" formatCode="0.000">
                  <c:v>33.898305084745758</c:v>
                </c:pt>
                <c:pt idx="64" formatCode="0.000">
                  <c:v>34.227926876701673</c:v>
                </c:pt>
                <c:pt idx="65" formatCode="0.000">
                  <c:v>34.564021995286723</c:v>
                </c:pt>
                <c:pt idx="66" formatCode="0.000">
                  <c:v>34.906783022610078</c:v>
                </c:pt>
                <c:pt idx="67" formatCode="0.000">
                  <c:v>35.256410256410255</c:v>
                </c:pt>
                <c:pt idx="68" formatCode="0.000">
                  <c:v>35.613112100364226</c:v>
                </c:pt>
                <c:pt idx="69" formatCode="0.000">
                  <c:v>35.982008995502248</c:v>
                </c:pt>
                <c:pt idx="70" formatCode="0.000">
                  <c:v>36.368645818983332</c:v>
                </c:pt>
                <c:pt idx="71" formatCode="0.000">
                  <c:v>36.804684232538683</c:v>
                </c:pt>
                <c:pt idx="72" formatCode="0.000">
                  <c:v>37.282869651179212</c:v>
                </c:pt>
                <c:pt idx="73" formatCode="0.000">
                  <c:v>37.80610052985822</c:v>
                </c:pt>
                <c:pt idx="74" formatCode="0.000">
                  <c:v>38.388832339682999</c:v>
                </c:pt>
                <c:pt idx="75" formatCode="0.000">
                  <c:v>39.024390243902438</c:v>
                </c:pt>
                <c:pt idx="76" formatCode="0.000">
                  <c:v>39.723141739392112</c:v>
                </c:pt>
                <c:pt idx="77" formatCode="0.000">
                  <c:v>40.490797546012267</c:v>
                </c:pt>
                <c:pt idx="78" formatCode="0.000">
                  <c:v>41.327489041953662</c:v>
                </c:pt>
                <c:pt idx="79" formatCode="0.000">
                  <c:v>42.246759481517039</c:v>
                </c:pt>
                <c:pt idx="80" formatCode="0.000">
                  <c:v>43.257414386367358</c:v>
                </c:pt>
                <c:pt idx="81" formatCode="0.000">
                  <c:v>44.362292051756008</c:v>
                </c:pt>
                <c:pt idx="82" formatCode="0.000">
                  <c:v>45.580110497237563</c:v>
                </c:pt>
                <c:pt idx="83" formatCode="0.000">
                  <c:v>46.924991112691075</c:v>
                </c:pt>
                <c:pt idx="84" formatCode="0.000">
                  <c:v>48.4048404840484</c:v>
                </c:pt>
                <c:pt idx="85" formatCode="0.000">
                  <c:v>50.047393364928908</c:v>
                </c:pt>
                <c:pt idx="86" formatCode="0.000">
                  <c:v>51.876596580860678</c:v>
                </c:pt>
                <c:pt idx="87" formatCode="0.000">
                  <c:v>53.921568627450981</c:v>
                </c:pt>
                <c:pt idx="88" formatCode="0.000">
                  <c:v>56.206088992974237</c:v>
                </c:pt>
                <c:pt idx="89" formatCode="0.000">
                  <c:v>58.784235136940545</c:v>
                </c:pt>
                <c:pt idx="90" formatCode="0.000">
                  <c:v>61.711079943899016</c:v>
                </c:pt>
                <c:pt idx="91" formatCode="0.000">
                  <c:v>65.040650406504071</c:v>
                </c:pt>
                <c:pt idx="92" formatCode="0.000">
                  <c:v>68.875554396034445</c:v>
                </c:pt>
                <c:pt idx="93" formatCode="0.000">
                  <c:v>73.333333333333329</c:v>
                </c:pt>
                <c:pt idx="94" formatCode="0.000">
                  <c:v>78.571428571428569</c:v>
                </c:pt>
                <c:pt idx="95" formatCode="0.000">
                  <c:v>84.778420038535643</c:v>
                </c:pt>
                <c:pt idx="96" formatCode="0.000">
                  <c:v>92.275428171967832</c:v>
                </c:pt>
                <c:pt idx="97" formatCode="0.000">
                  <c:v>101.46041506533436</c:v>
                </c:pt>
                <c:pt idx="98" formatCode="0.000">
                  <c:v>113.06209850107065</c:v>
                </c:pt>
                <c:pt idx="99" formatCode="0.000">
                  <c:v>128.03103782735209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FA2-4EAC-97F4-5872F9CCEEBF}"/>
            </c:ext>
          </c:extLst>
        </c:ser>
        <c:ser>
          <c:idx val="2"/>
          <c:order val="4"/>
          <c:tx>
            <c:v>World Record</c:v>
          </c:tx>
          <c:spPr>
            <a:ln w="28575">
              <a:noFill/>
            </a:ln>
          </c:spPr>
          <c:marker>
            <c:symbol val="diamond"/>
            <c:size val="15"/>
            <c:spPr>
              <a:solidFill>
                <a:srgbClr val="92D050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'10K'!$A$26</c:f>
              <c:numCache>
                <c:formatCode>General</c:formatCode>
                <c:ptCount val="1"/>
                <c:pt idx="0">
                  <c:v>20</c:v>
                </c:pt>
              </c:numCache>
            </c:numRef>
          </c:xVal>
          <c:yVal>
            <c:numRef>
              <c:f>'10K'!$C$26</c:f>
              <c:numCache>
                <c:formatCode>0.000</c:formatCode>
                <c:ptCount val="1"/>
                <c:pt idx="0">
                  <c:v>26.4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ED-4F2B-9512-7E8F87911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12800"/>
        <c:axId val="142444032"/>
        <c:extLst/>
      </c:scatterChart>
      <c:valAx>
        <c:axId val="14241280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340911777919649"/>
              <c:y val="0.926792797867607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44032"/>
        <c:crosses val="autoZero"/>
        <c:crossBetween val="midCat"/>
        <c:majorUnit val="10"/>
      </c:valAx>
      <c:valAx>
        <c:axId val="142444032"/>
        <c:scaling>
          <c:orientation val="minMax"/>
          <c:max val="90"/>
          <c:min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7080939206923453E-3"/>
              <c:y val="0.412773294473494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12800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4223368924319749"/>
          <c:y val="0.22841496280997339"/>
          <c:w val="0.36954179945571197"/>
          <c:h val="0.226730042727082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Male</a:t>
            </a:r>
            <a:r>
              <a:rPr lang="en-US" baseline="0"/>
              <a:t> 15 km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9407276299118821E-2"/>
          <c:y val="9.9077854310627766E-2"/>
          <c:w val="0.86783367103383802"/>
          <c:h val="0.78701431147046563"/>
        </c:manualLayout>
      </c:layout>
      <c:scatterChart>
        <c:scatterStyle val="lineMarker"/>
        <c:varyColors val="0"/>
        <c:ser>
          <c:idx val="0"/>
          <c:order val="0"/>
          <c:tx>
            <c:strRef>
              <c:f>'15K'!$C$6</c:f>
              <c:strCache>
                <c:ptCount val="1"/>
                <c:pt idx="0">
                  <c:v>2025 Barnhard Single Age Bests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xVal>
            <c:numRef>
              <c:f>'15K'!$A$7:$A$106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'15K'!$C$7:$C$106</c:f>
              <c:numCache>
                <c:formatCode>General</c:formatCode>
                <c:ptCount val="100"/>
                <c:pt idx="6" formatCode="0.000">
                  <c:v>82.583333333333343</c:v>
                </c:pt>
                <c:pt idx="7" formatCode="0.000">
                  <c:v>75.86666666666666</c:v>
                </c:pt>
                <c:pt idx="8" formatCode="0.000">
                  <c:v>77.733333333333334</c:v>
                </c:pt>
                <c:pt idx="9" formatCode="0.000">
                  <c:v>72.316666666666663</c:v>
                </c:pt>
                <c:pt idx="11" formatCode="0.000">
                  <c:v>65</c:v>
                </c:pt>
                <c:pt idx="12" formatCode="0.000">
                  <c:v>61</c:v>
                </c:pt>
                <c:pt idx="13" formatCode="0.000">
                  <c:v>55.516666666666666</c:v>
                </c:pt>
                <c:pt idx="14" formatCode="0.000">
                  <c:v>51.1</c:v>
                </c:pt>
                <c:pt idx="15" formatCode="0.000">
                  <c:v>51.65</c:v>
                </c:pt>
                <c:pt idx="16" formatCode="0.000">
                  <c:v>49.233333333333327</c:v>
                </c:pt>
                <c:pt idx="17" formatCode="0.000">
                  <c:v>49.766666666666666</c:v>
                </c:pt>
                <c:pt idx="18" formatCode="0.000">
                  <c:v>48.55</c:v>
                </c:pt>
                <c:pt idx="19" formatCode="0.000">
                  <c:v>49.1</c:v>
                </c:pt>
                <c:pt idx="20" formatCode="0.000">
                  <c:v>44.333333333333336</c:v>
                </c:pt>
                <c:pt idx="21" formatCode="0.000">
                  <c:v>48.233333333333334</c:v>
                </c:pt>
                <c:pt idx="22" formatCode="0.000">
                  <c:v>44.333333333333336</c:v>
                </c:pt>
                <c:pt idx="23" formatCode="0.000">
                  <c:v>46.466666666666661</c:v>
                </c:pt>
                <c:pt idx="24" formatCode="0.000">
                  <c:v>46.949999999999996</c:v>
                </c:pt>
                <c:pt idx="25" formatCode="0.000">
                  <c:v>47.8</c:v>
                </c:pt>
                <c:pt idx="26" formatCode="0.000">
                  <c:v>47.033333333333331</c:v>
                </c:pt>
                <c:pt idx="27" formatCode="0.000">
                  <c:v>47.533333333333331</c:v>
                </c:pt>
                <c:pt idx="28" formatCode="0.000">
                  <c:v>48</c:v>
                </c:pt>
                <c:pt idx="29" formatCode="0.000">
                  <c:v>46.983333333333334</c:v>
                </c:pt>
                <c:pt idx="30" formatCode="0.000">
                  <c:v>47.283333333333331</c:v>
                </c:pt>
                <c:pt idx="31" formatCode="0.000">
                  <c:v>47</c:v>
                </c:pt>
                <c:pt idx="32" formatCode="0.000">
                  <c:v>47.61666666666666</c:v>
                </c:pt>
                <c:pt idx="33" formatCode="0.000">
                  <c:v>47.333333333333329</c:v>
                </c:pt>
                <c:pt idx="34" formatCode="0.000">
                  <c:v>49.4</c:v>
                </c:pt>
                <c:pt idx="35" formatCode="0.000">
                  <c:v>49.516666666666673</c:v>
                </c:pt>
                <c:pt idx="36" formatCode="0.000">
                  <c:v>48.9</c:v>
                </c:pt>
                <c:pt idx="37" formatCode="0.000">
                  <c:v>48.716666666666661</c:v>
                </c:pt>
                <c:pt idx="38" formatCode="0.000">
                  <c:v>49.033333333333339</c:v>
                </c:pt>
                <c:pt idx="39" formatCode="0.000">
                  <c:v>49.583333333333336</c:v>
                </c:pt>
                <c:pt idx="40" formatCode="0.000">
                  <c:v>50.416666666666671</c:v>
                </c:pt>
                <c:pt idx="41" formatCode="0.000">
                  <c:v>50.966666666666669</c:v>
                </c:pt>
                <c:pt idx="42" formatCode="0.000">
                  <c:v>49.916666666666664</c:v>
                </c:pt>
                <c:pt idx="43" formatCode="0.000">
                  <c:v>50.816666666666663</c:v>
                </c:pt>
                <c:pt idx="44" formatCode="0.000">
                  <c:v>49.800000000000004</c:v>
                </c:pt>
                <c:pt idx="45" formatCode="0.000">
                  <c:v>52.56666666666667</c:v>
                </c:pt>
                <c:pt idx="46" formatCode="0.000">
                  <c:v>51.766666666666659</c:v>
                </c:pt>
                <c:pt idx="47" formatCode="0.000">
                  <c:v>51.416666666666664</c:v>
                </c:pt>
                <c:pt idx="48" formatCode="0.000">
                  <c:v>50.266666666666666</c:v>
                </c:pt>
                <c:pt idx="49" formatCode="0.000">
                  <c:v>52.633333333333333</c:v>
                </c:pt>
                <c:pt idx="50" formatCode="0.000">
                  <c:v>57.31666666666667</c:v>
                </c:pt>
                <c:pt idx="51" formatCode="0.000">
                  <c:v>55.816666666666663</c:v>
                </c:pt>
                <c:pt idx="52" formatCode="0.000">
                  <c:v>57.15</c:v>
                </c:pt>
                <c:pt idx="53" formatCode="0.000">
                  <c:v>57.866666666666667</c:v>
                </c:pt>
                <c:pt idx="54" formatCode="0.000">
                  <c:v>59.083333333333329</c:v>
                </c:pt>
                <c:pt idx="55" formatCode="0.000">
                  <c:v>59.583333333333336</c:v>
                </c:pt>
                <c:pt idx="56" formatCode="0.000">
                  <c:v>61.283333333333331</c:v>
                </c:pt>
                <c:pt idx="57" formatCode="0.000">
                  <c:v>61.033333333333331</c:v>
                </c:pt>
                <c:pt idx="58" formatCode="0.000">
                  <c:v>58.916666666666671</c:v>
                </c:pt>
                <c:pt idx="59" formatCode="0.000">
                  <c:v>59.283333333333331</c:v>
                </c:pt>
                <c:pt idx="60" formatCode="0.000">
                  <c:v>64.016666666666666</c:v>
                </c:pt>
                <c:pt idx="61" formatCode="0.000">
                  <c:v>60.716666666666661</c:v>
                </c:pt>
                <c:pt idx="62" formatCode="0.000">
                  <c:v>64.083333333333329</c:v>
                </c:pt>
                <c:pt idx="63" formatCode="0.000">
                  <c:v>65.150000000000006</c:v>
                </c:pt>
                <c:pt idx="64" formatCode="0.000">
                  <c:v>65.066666666666663</c:v>
                </c:pt>
                <c:pt idx="65" formatCode="0.000">
                  <c:v>67.2</c:v>
                </c:pt>
                <c:pt idx="66" formatCode="0.000">
                  <c:v>66.716666666666669</c:v>
                </c:pt>
                <c:pt idx="67" formatCode="0.000">
                  <c:v>67.400000000000006</c:v>
                </c:pt>
                <c:pt idx="68" formatCode="0.000">
                  <c:v>70.150000000000006</c:v>
                </c:pt>
                <c:pt idx="69" formatCode="0.000">
                  <c:v>72.86666666666666</c:v>
                </c:pt>
                <c:pt idx="70" formatCode="0.000">
                  <c:v>77.166666666666671</c:v>
                </c:pt>
                <c:pt idx="71" formatCode="0.000">
                  <c:v>74.516666666666666</c:v>
                </c:pt>
                <c:pt idx="72" formatCode="0.000">
                  <c:v>74.650000000000006</c:v>
                </c:pt>
                <c:pt idx="73" formatCode="0.000">
                  <c:v>76.583333333333343</c:v>
                </c:pt>
                <c:pt idx="74" formatCode="0.000">
                  <c:v>73.38333333333334</c:v>
                </c:pt>
                <c:pt idx="75" formatCode="0.000">
                  <c:v>81.61666666666666</c:v>
                </c:pt>
                <c:pt idx="76" formatCode="0.000">
                  <c:v>79.733333333333334</c:v>
                </c:pt>
                <c:pt idx="77" formatCode="0.000">
                  <c:v>89.35</c:v>
                </c:pt>
                <c:pt idx="78" formatCode="0.000">
                  <c:v>85.083333333333343</c:v>
                </c:pt>
                <c:pt idx="79" formatCode="0.000">
                  <c:v>85.15</c:v>
                </c:pt>
                <c:pt idx="80" formatCode="0.000">
                  <c:v>87.5</c:v>
                </c:pt>
                <c:pt idx="81" formatCode="0.000">
                  <c:v>101.91666666666666</c:v>
                </c:pt>
                <c:pt idx="82" formatCode="0.000">
                  <c:v>110.55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35-43D7-84AF-CD118E00E2D8}"/>
            </c:ext>
          </c:extLst>
        </c:ser>
        <c:ser>
          <c:idx val="5"/>
          <c:order val="1"/>
          <c:tx>
            <c:strRef>
              <c:f>'15K'!$D$6</c:f>
              <c:strCache>
                <c:ptCount val="1"/>
                <c:pt idx="0">
                  <c:v>2025 Proposed standards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'15K'!$A$7:$A$106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'15K'!$D$7:$D$105</c:f>
              <c:numCache>
                <c:formatCode>General</c:formatCode>
                <c:ptCount val="99"/>
                <c:pt idx="3" formatCode="0.000">
                  <c:v>98.21059876736544</c:v>
                </c:pt>
                <c:pt idx="4" formatCode="0.000">
                  <c:v>83.376198006504694</c:v>
                </c:pt>
                <c:pt idx="5" formatCode="0.000">
                  <c:v>73.08262195672971</c:v>
                </c:pt>
                <c:pt idx="6" formatCode="0.000">
                  <c:v>65.573173706373851</c:v>
                </c:pt>
                <c:pt idx="7" formatCode="0.000">
                  <c:v>59.903672425090612</c:v>
                </c:pt>
                <c:pt idx="8" formatCode="0.000">
                  <c:v>55.515063057613972</c:v>
                </c:pt>
                <c:pt idx="9" formatCode="0.000">
                  <c:v>52.051281669509571</c:v>
                </c:pt>
                <c:pt idx="10" formatCode="0.000">
                  <c:v>49.293015697189453</c:v>
                </c:pt>
                <c:pt idx="11" formatCode="0.000">
                  <c:v>47.084947826007614</c:v>
                </c:pt>
                <c:pt idx="12" formatCode="0.000">
                  <c:v>45.316017582907556</c:v>
                </c:pt>
                <c:pt idx="13" formatCode="0.000">
                  <c:v>43.909764693165862</c:v>
                </c:pt>
                <c:pt idx="14" formatCode="0.000">
                  <c:v>42.813651371093066</c:v>
                </c:pt>
                <c:pt idx="15" formatCode="0.000">
                  <c:v>41.985446304551203</c:v>
                </c:pt>
                <c:pt idx="16" formatCode="0.000">
                  <c:v>41.392614363795779</c:v>
                </c:pt>
                <c:pt idx="17" formatCode="0.000">
                  <c:v>40.923688465795323</c:v>
                </c:pt>
                <c:pt idx="18" formatCode="0.000">
                  <c:v>40.539754229698204</c:v>
                </c:pt>
                <c:pt idx="19" formatCode="0.000">
                  <c:v>40.308934327604845</c:v>
                </c:pt>
                <c:pt idx="20" formatCode="0.000">
                  <c:v>40.25</c:v>
                </c:pt>
                <c:pt idx="21" formatCode="0.000">
                  <c:v>40.25</c:v>
                </c:pt>
                <c:pt idx="22" formatCode="0.000">
                  <c:v>40.25</c:v>
                </c:pt>
                <c:pt idx="23" formatCode="0.000">
                  <c:v>40.25</c:v>
                </c:pt>
                <c:pt idx="24" formatCode="0.000">
                  <c:v>40.25</c:v>
                </c:pt>
                <c:pt idx="25" formatCode="0.000">
                  <c:v>40.25</c:v>
                </c:pt>
                <c:pt idx="26" formatCode="0.000">
                  <c:v>40.25</c:v>
                </c:pt>
                <c:pt idx="27" formatCode="0.000">
                  <c:v>40.253678346231631</c:v>
                </c:pt>
                <c:pt idx="28" formatCode="0.000">
                  <c:v>40.268398456712802</c:v>
                </c:pt>
                <c:pt idx="29" formatCode="0.000">
                  <c:v>40.290498819399993</c:v>
                </c:pt>
                <c:pt idx="30" formatCode="0.000">
                  <c:v>40.32369488564602</c:v>
                </c:pt>
                <c:pt idx="31" formatCode="0.000">
                  <c:v>40.368739560681838</c:v>
                </c:pt>
                <c:pt idx="32" formatCode="0.000">
                  <c:v>40.44707461181595</c:v>
                </c:pt>
                <c:pt idx="33" formatCode="0.000">
                  <c:v>40.553134366732017</c:v>
                </c:pt>
                <c:pt idx="34" formatCode="0.000">
                  <c:v>40.691112362566109</c:v>
                </c:pt>
                <c:pt idx="35" formatCode="0.000">
                  <c:v>40.860118714500075</c:v>
                </c:pt>
                <c:pt idx="36" formatCode="0.000">
                  <c:v>41.06247018135528</c:v>
                </c:pt>
                <c:pt idx="37" formatCode="0.000">
                  <c:v>41.297569486470834</c:v>
                </c:pt>
                <c:pt idx="38" formatCode="0.000">
                  <c:v>41.568102746328549</c:v>
                </c:pt>
                <c:pt idx="39" formatCode="0.000">
                  <c:v>41.871434986300699</c:v>
                </c:pt>
                <c:pt idx="40" formatCode="0.000">
                  <c:v>42.193749438149943</c:v>
                </c:pt>
                <c:pt idx="41" formatCode="0.000">
                  <c:v>42.526835249078921</c:v>
                </c:pt>
                <c:pt idx="42" formatCode="0.000">
                  <c:v>42.873960104224494</c:v>
                </c:pt>
                <c:pt idx="43" formatCode="0.000">
                  <c:v>43.226798401398682</c:v>
                </c:pt>
                <c:pt idx="44" formatCode="0.000">
                  <c:v>43.5854923702326</c:v>
                </c:pt>
                <c:pt idx="45" formatCode="0.000">
                  <c:v>43.950189000718161</c:v>
                </c:pt>
                <c:pt idx="46" formatCode="0.000">
                  <c:v>44.318389844781379</c:v>
                </c:pt>
                <c:pt idx="47" formatCode="0.000">
                  <c:v>44.695507525169042</c:v>
                </c:pt>
                <c:pt idx="48" formatCode="0.000">
                  <c:v>45.079098288280782</c:v>
                </c:pt>
                <c:pt idx="49" formatCode="0.000">
                  <c:v>45.469330238878719</c:v>
                </c:pt>
                <c:pt idx="50" formatCode="0.000">
                  <c:v>45.866377353420035</c:v>
                </c:pt>
                <c:pt idx="51" formatCode="0.000">
                  <c:v>46.267531073883731</c:v>
                </c:pt>
                <c:pt idx="52" formatCode="0.000">
                  <c:v>46.678703667339718</c:v>
                </c:pt>
                <c:pt idx="53" formatCode="0.000">
                  <c:v>47.09724984680259</c:v>
                </c:pt>
                <c:pt idx="54" formatCode="0.000">
                  <c:v>47.523369753371298</c:v>
                </c:pt>
                <c:pt idx="55" formatCode="0.000">
                  <c:v>47.957270837511949</c:v>
                </c:pt>
                <c:pt idx="56" formatCode="0.000">
                  <c:v>48.396007630145078</c:v>
                </c:pt>
                <c:pt idx="57" formatCode="0.000">
                  <c:v>48.846065302361062</c:v>
                </c:pt>
                <c:pt idx="58" formatCode="0.000">
                  <c:v>49.304572151556464</c:v>
                </c:pt>
                <c:pt idx="59" formatCode="0.000">
                  <c:v>49.771768363781526</c:v>
                </c:pt>
                <c:pt idx="60" formatCode="0.000">
                  <c:v>50.247903315917121</c:v>
                </c:pt>
                <c:pt idx="61" formatCode="0.000">
                  <c:v>50.729763275415685</c:v>
                </c:pt>
                <c:pt idx="62" formatCode="0.000">
                  <c:v>51.224494779531575</c:v>
                </c:pt>
                <c:pt idx="63" formatCode="0.000">
                  <c:v>51.728970848447531</c:v>
                </c:pt>
                <c:pt idx="64" formatCode="0.000">
                  <c:v>52.243482248996983</c:v>
                </c:pt>
                <c:pt idx="65" formatCode="0.000">
                  <c:v>52.768331432436227</c:v>
                </c:pt>
                <c:pt idx="66" formatCode="0.000">
                  <c:v>53.29999956056561</c:v>
                </c:pt>
                <c:pt idx="67" formatCode="0.000">
                  <c:v>53.846402397021279</c:v>
                </c:pt>
                <c:pt idx="68" formatCode="0.000">
                  <c:v>54.412112798454473</c:v>
                </c:pt>
                <c:pt idx="69" formatCode="0.000">
                  <c:v>55.017764080639424</c:v>
                </c:pt>
                <c:pt idx="70" formatCode="0.000">
                  <c:v>55.673338932522498</c:v>
                </c:pt>
                <c:pt idx="71" formatCode="0.000">
                  <c:v>56.399310969840108</c:v>
                </c:pt>
                <c:pt idx="72" formatCode="0.000">
                  <c:v>57.202014728914435</c:v>
                </c:pt>
                <c:pt idx="73" formatCode="0.000">
                  <c:v>58.078135652215344</c:v>
                </c:pt>
                <c:pt idx="74" formatCode="0.000">
                  <c:v>59.046032475634696</c:v>
                </c:pt>
                <c:pt idx="75" formatCode="0.000">
                  <c:v>60.105407527941431</c:v>
                </c:pt>
                <c:pt idx="76" formatCode="0.000">
                  <c:v>61.268705573053836</c:v>
                </c:pt>
                <c:pt idx="77" formatCode="0.000">
                  <c:v>62.540604505367853</c:v>
                </c:pt>
                <c:pt idx="78" formatCode="0.000">
                  <c:v>63.932807042153421</c:v>
                </c:pt>
                <c:pt idx="79" formatCode="0.000">
                  <c:v>65.468630377487287</c:v>
                </c:pt>
                <c:pt idx="80" formatCode="0.000">
                  <c:v>67.15232082891356</c:v>
                </c:pt>
                <c:pt idx="81" formatCode="0.000">
                  <c:v>69.002211705173778</c:v>
                </c:pt>
                <c:pt idx="82" formatCode="0.000">
                  <c:v>71.037771726988211</c:v>
                </c:pt>
                <c:pt idx="83" formatCode="0.000">
                  <c:v>73.297626765558988</c:v>
                </c:pt>
                <c:pt idx="84" formatCode="0.000">
                  <c:v>75.791520662702467</c:v>
                </c:pt>
                <c:pt idx="85" formatCode="0.000">
                  <c:v>78.568307241731475</c:v>
                </c:pt>
                <c:pt idx="86" formatCode="0.000">
                  <c:v>81.672140312244295</c:v>
                </c:pt>
                <c:pt idx="87" formatCode="0.000">
                  <c:v>85.15722392071909</c:v>
                </c:pt>
                <c:pt idx="88" formatCode="0.000">
                  <c:v>89.071102358855057</c:v>
                </c:pt>
                <c:pt idx="89" formatCode="0.000">
                  <c:v>93.525719705153122</c:v>
                </c:pt>
                <c:pt idx="90" formatCode="0.000">
                  <c:v>98.605091095661095</c:v>
                </c:pt>
                <c:pt idx="91" formatCode="0.000">
                  <c:v>104.44490092050216</c:v>
                </c:pt>
                <c:pt idx="92" formatCode="0.000">
                  <c:v>111.23474248938145</c:v>
                </c:pt>
                <c:pt idx="93" formatCode="0.000">
                  <c:v>119.19624881876105</c:v>
                </c:pt>
                <c:pt idx="94" formatCode="0.000">
                  <c:v>128.69492955345098</c:v>
                </c:pt>
                <c:pt idx="95" formatCode="0.000">
                  <c:v>140.13069582221738</c:v>
                </c:pt>
                <c:pt idx="96" formatCode="0.000">
                  <c:v>154.2094901206795</c:v>
                </c:pt>
                <c:pt idx="97" formatCode="0.000">
                  <c:v>171.91231141821373</c:v>
                </c:pt>
                <c:pt idx="98" formatCode="0.000">
                  <c:v>194.90797272369855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35-43D7-84AF-CD118E00E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50304"/>
        <c:axId val="142861056"/>
      </c:scatterChart>
      <c:valAx>
        <c:axId val="142850304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951460149114013"/>
              <c:y val="0.931200671916010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61056"/>
        <c:crosses val="autoZero"/>
        <c:crossBetween val="midCat"/>
        <c:majorUnit val="10"/>
      </c:valAx>
      <c:valAx>
        <c:axId val="142861056"/>
        <c:scaling>
          <c:orientation val="minMax"/>
          <c:max val="140"/>
          <c:min val="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859086491739553E-3"/>
              <c:y val="0.422400335958005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50304"/>
        <c:crosses val="autoZero"/>
        <c:crossBetween val="midCat"/>
        <c:majorUnit val="1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5708586619499219"/>
          <c:y val="0.19451117352505479"/>
          <c:w val="0.34764332058078412"/>
          <c:h val="0.121183728759646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Male</a:t>
            </a:r>
            <a:r>
              <a:rPr lang="en-US" baseline="0"/>
              <a:t> 10 Mile</a:t>
            </a:r>
            <a:endParaRPr lang="en-US"/>
          </a:p>
        </c:rich>
      </c:tx>
      <c:layout>
        <c:manualLayout>
          <c:xMode val="edge"/>
          <c:yMode val="edge"/>
          <c:x val="0.46851109249186118"/>
          <c:y val="2.948869350041189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638505573747042E-2"/>
          <c:y val="0.11459113027048436"/>
          <c:w val="0.87230126934902197"/>
          <c:h val="0.78524982875848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'10MI'!$C$6</c:f>
              <c:strCache>
                <c:ptCount val="1"/>
                <c:pt idx="0">
                  <c:v>2025 Barnhard Single 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'10MI'!$C$7:$C$105</c:f>
              <c:numCache>
                <c:formatCode>General</c:formatCode>
                <c:ptCount val="99"/>
                <c:pt idx="6" formatCode="0.000">
                  <c:v>88.38333333333334</c:v>
                </c:pt>
                <c:pt idx="7" formatCode="0.000">
                  <c:v>86.033333333333331</c:v>
                </c:pt>
                <c:pt idx="8" formatCode="0.000">
                  <c:v>69.716666666666669</c:v>
                </c:pt>
                <c:pt idx="11" formatCode="0.000">
                  <c:v>58.65</c:v>
                </c:pt>
                <c:pt idx="12" formatCode="0.000">
                  <c:v>59.533333333333331</c:v>
                </c:pt>
                <c:pt idx="13" formatCode="0.000">
                  <c:v>60.249999999999993</c:v>
                </c:pt>
                <c:pt idx="14" formatCode="0.000">
                  <c:v>54.05</c:v>
                </c:pt>
                <c:pt idx="15" formatCode="0.000">
                  <c:v>56.316666666666663</c:v>
                </c:pt>
                <c:pt idx="16" formatCode="0.000">
                  <c:v>53.766666666666666</c:v>
                </c:pt>
                <c:pt idx="17" formatCode="0.000">
                  <c:v>51.666666666666664</c:v>
                </c:pt>
                <c:pt idx="18" formatCode="0.000">
                  <c:v>52.916666666666664</c:v>
                </c:pt>
                <c:pt idx="19" formatCode="0.000">
                  <c:v>51.466666666666669</c:v>
                </c:pt>
                <c:pt idx="20" formatCode="0.000">
                  <c:v>52.733333333333334</c:v>
                </c:pt>
                <c:pt idx="21" formatCode="0.000">
                  <c:v>51.633333333333333</c:v>
                </c:pt>
                <c:pt idx="22" formatCode="0.000">
                  <c:v>49.483333333333341</c:v>
                </c:pt>
                <c:pt idx="23" formatCode="0.000">
                  <c:v>51.68333333333333</c:v>
                </c:pt>
                <c:pt idx="24" formatCode="0.000">
                  <c:v>52.050000000000004</c:v>
                </c:pt>
                <c:pt idx="25" formatCode="0.000">
                  <c:v>52.383333333333333</c:v>
                </c:pt>
                <c:pt idx="26" formatCode="0.000">
                  <c:v>51.266666666666666</c:v>
                </c:pt>
                <c:pt idx="27" formatCode="0.000">
                  <c:v>52.233333333333341</c:v>
                </c:pt>
                <c:pt idx="28" formatCode="0.000">
                  <c:v>51.866666666666667</c:v>
                </c:pt>
                <c:pt idx="29" formatCode="0.000">
                  <c:v>52.083333333333336</c:v>
                </c:pt>
                <c:pt idx="30" formatCode="0.000">
                  <c:v>51.81666666666667</c:v>
                </c:pt>
                <c:pt idx="31" formatCode="0.000">
                  <c:v>51</c:v>
                </c:pt>
                <c:pt idx="32" formatCode="0.000">
                  <c:v>51.266666666666666</c:v>
                </c:pt>
                <c:pt idx="33" formatCode="0.000">
                  <c:v>51.183333333333337</c:v>
                </c:pt>
                <c:pt idx="34" formatCode="0.000">
                  <c:v>52.199999999999996</c:v>
                </c:pt>
                <c:pt idx="35" formatCode="0.000">
                  <c:v>52.866666666666667</c:v>
                </c:pt>
                <c:pt idx="36" formatCode="0.000">
                  <c:v>53.716666666666669</c:v>
                </c:pt>
                <c:pt idx="37" formatCode="0.000">
                  <c:v>54.483333333333327</c:v>
                </c:pt>
                <c:pt idx="38" formatCode="0.000">
                  <c:v>53</c:v>
                </c:pt>
                <c:pt idx="39" formatCode="0.000">
                  <c:v>54.516666666666666</c:v>
                </c:pt>
                <c:pt idx="40" formatCode="0.000">
                  <c:v>54.533333333333339</c:v>
                </c:pt>
                <c:pt idx="41" formatCode="0.000">
                  <c:v>52.733333333333334</c:v>
                </c:pt>
                <c:pt idx="42" formatCode="0.000">
                  <c:v>55.55</c:v>
                </c:pt>
                <c:pt idx="43" formatCode="0.000">
                  <c:v>55.300000000000004</c:v>
                </c:pt>
                <c:pt idx="44" formatCode="0.000">
                  <c:v>55.933333333333337</c:v>
                </c:pt>
                <c:pt idx="45" formatCode="0.000">
                  <c:v>56.55</c:v>
                </c:pt>
                <c:pt idx="46" formatCode="0.000">
                  <c:v>56.63333333333334</c:v>
                </c:pt>
                <c:pt idx="47" formatCode="0.000">
                  <c:v>55.55</c:v>
                </c:pt>
                <c:pt idx="48" formatCode="0.000">
                  <c:v>56.516666666666666</c:v>
                </c:pt>
                <c:pt idx="49" formatCode="0.000">
                  <c:v>58.216666666666669</c:v>
                </c:pt>
                <c:pt idx="50" formatCode="0.000">
                  <c:v>59</c:v>
                </c:pt>
                <c:pt idx="51" formatCode="0.000">
                  <c:v>59.283333333333331</c:v>
                </c:pt>
                <c:pt idx="52" formatCode="0.000">
                  <c:v>61.366666666666667</c:v>
                </c:pt>
                <c:pt idx="53" formatCode="0.000">
                  <c:v>62.45</c:v>
                </c:pt>
                <c:pt idx="54" formatCode="0.000">
                  <c:v>61.333333333333329</c:v>
                </c:pt>
                <c:pt idx="55" formatCode="0.000">
                  <c:v>63.9</c:v>
                </c:pt>
                <c:pt idx="56" formatCode="0.000">
                  <c:v>64.7</c:v>
                </c:pt>
                <c:pt idx="57" formatCode="0.000">
                  <c:v>60.633333333333333</c:v>
                </c:pt>
                <c:pt idx="58" formatCode="0.000">
                  <c:v>63.916666666666664</c:v>
                </c:pt>
                <c:pt idx="59" formatCode="0.000">
                  <c:v>62.966666666666661</c:v>
                </c:pt>
                <c:pt idx="60" formatCode="0.000">
                  <c:v>64.849999999999994</c:v>
                </c:pt>
                <c:pt idx="61" formatCode="0.000">
                  <c:v>64.88333333333334</c:v>
                </c:pt>
                <c:pt idx="62" formatCode="0.000">
                  <c:v>67.516666666666666</c:v>
                </c:pt>
                <c:pt idx="63" formatCode="0.000">
                  <c:v>62.966666666666661</c:v>
                </c:pt>
                <c:pt idx="64" formatCode="0.000">
                  <c:v>68.900000000000006</c:v>
                </c:pt>
                <c:pt idx="65" formatCode="0.000">
                  <c:v>71.400000000000006</c:v>
                </c:pt>
                <c:pt idx="66" formatCode="0.000">
                  <c:v>73.38333333333334</c:v>
                </c:pt>
                <c:pt idx="67" formatCode="0.000">
                  <c:v>71.916666666666657</c:v>
                </c:pt>
                <c:pt idx="68" formatCode="0.000">
                  <c:v>73.516666666666666</c:v>
                </c:pt>
                <c:pt idx="69" formatCode="0.000">
                  <c:v>74.716666666666669</c:v>
                </c:pt>
                <c:pt idx="70" formatCode="0.000">
                  <c:v>71.683333333333337</c:v>
                </c:pt>
                <c:pt idx="71" formatCode="0.000">
                  <c:v>79.466666666666669</c:v>
                </c:pt>
                <c:pt idx="72" formatCode="0.000">
                  <c:v>80.95</c:v>
                </c:pt>
                <c:pt idx="73" formatCode="0.000">
                  <c:v>80.55</c:v>
                </c:pt>
                <c:pt idx="74" formatCode="0.000">
                  <c:v>79.366666666666674</c:v>
                </c:pt>
                <c:pt idx="75" formatCode="0.000">
                  <c:v>84.9</c:v>
                </c:pt>
                <c:pt idx="76" formatCode="0.000">
                  <c:v>84.88333333333334</c:v>
                </c:pt>
                <c:pt idx="77" formatCode="0.000">
                  <c:v>96.300000000000011</c:v>
                </c:pt>
                <c:pt idx="78" formatCode="0.000">
                  <c:v>90.76666666666668</c:v>
                </c:pt>
                <c:pt idx="79" formatCode="0.000">
                  <c:v>95.433333333333337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34-431E-8838-AA4BFE949407}"/>
            </c:ext>
          </c:extLst>
        </c:ser>
        <c:ser>
          <c:idx val="2"/>
          <c:order val="1"/>
          <c:tx>
            <c:strRef>
              <c:f>'10MI'!$D$6</c:f>
              <c:strCache>
                <c:ptCount val="1"/>
                <c:pt idx="0">
                  <c:v>2025 Proposed standards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'10MI'!$D$7:$D$105</c:f>
              <c:numCache>
                <c:formatCode>General</c:formatCode>
                <c:ptCount val="99"/>
                <c:pt idx="4" formatCode="0.000">
                  <c:v>90.388184470999732</c:v>
                </c:pt>
                <c:pt idx="5" formatCode="0.000">
                  <c:v>78.954019370824042</c:v>
                </c:pt>
                <c:pt idx="6" formatCode="0.000">
                  <c:v>70.670035159124112</c:v>
                </c:pt>
                <c:pt idx="7" formatCode="0.000">
                  <c:v>64.449903635052948</c:v>
                </c:pt>
                <c:pt idx="8" formatCode="0.000">
                  <c:v>59.656709121350303</c:v>
                </c:pt>
                <c:pt idx="9" formatCode="0.000">
                  <c:v>55.887286613908479</c:v>
                </c:pt>
                <c:pt idx="10" formatCode="0.000">
                  <c:v>52.896817188507669</c:v>
                </c:pt>
                <c:pt idx="11" formatCode="0.000">
                  <c:v>50.511964048021504</c:v>
                </c:pt>
                <c:pt idx="12" formatCode="0.000">
                  <c:v>48.609020391542415</c:v>
                </c:pt>
                <c:pt idx="13" formatCode="0.000">
                  <c:v>47.1036012945926</c:v>
                </c:pt>
                <c:pt idx="14" formatCode="0.000">
                  <c:v>45.938414725895782</c:v>
                </c:pt>
                <c:pt idx="15" formatCode="0.000">
                  <c:v>45.06694656879759</c:v>
                </c:pt>
                <c:pt idx="16" formatCode="0.000">
                  <c:v>44.453219763598796</c:v>
                </c:pt>
                <c:pt idx="17" formatCode="0.000">
                  <c:v>43.960421397907375</c:v>
                </c:pt>
                <c:pt idx="18" formatCode="0.000">
                  <c:v>43.54192471061414</c:v>
                </c:pt>
                <c:pt idx="19" formatCode="0.000">
                  <c:v>43.300248961725273</c:v>
                </c:pt>
                <c:pt idx="20" formatCode="0.000">
                  <c:v>43.25</c:v>
                </c:pt>
                <c:pt idx="21" formatCode="0.000">
                  <c:v>43.25</c:v>
                </c:pt>
                <c:pt idx="22" formatCode="0.000">
                  <c:v>43.25</c:v>
                </c:pt>
                <c:pt idx="23" formatCode="0.000">
                  <c:v>43.25</c:v>
                </c:pt>
                <c:pt idx="24" formatCode="0.000">
                  <c:v>43.25</c:v>
                </c:pt>
                <c:pt idx="25" formatCode="0.000">
                  <c:v>43.25</c:v>
                </c:pt>
                <c:pt idx="26" formatCode="0.000">
                  <c:v>43.25</c:v>
                </c:pt>
                <c:pt idx="27" formatCode="0.000">
                  <c:v>43.253137143095181</c:v>
                </c:pt>
                <c:pt idx="28" formatCode="0.000">
                  <c:v>43.265690267856549</c:v>
                </c:pt>
                <c:pt idx="29" formatCode="0.000">
                  <c:v>43.284533623045206</c:v>
                </c:pt>
                <c:pt idx="30" formatCode="0.000">
                  <c:v>43.31282945137449</c:v>
                </c:pt>
                <c:pt idx="31" formatCode="0.000">
                  <c:v>43.353002189166311</c:v>
                </c:pt>
                <c:pt idx="32" formatCode="0.000">
                  <c:v>43.430502985809213</c:v>
                </c:pt>
                <c:pt idx="33" formatCode="0.000">
                  <c:v>43.539759188114182</c:v>
                </c:pt>
                <c:pt idx="34" formatCode="0.000">
                  <c:v>43.684449158637534</c:v>
                </c:pt>
                <c:pt idx="35" formatCode="0.000">
                  <c:v>43.864884671748356</c:v>
                </c:pt>
                <c:pt idx="36" formatCode="0.000">
                  <c:v>44.082337674261893</c:v>
                </c:pt>
                <c:pt idx="37" formatCode="0.000">
                  <c:v>44.337491269135874</c:v>
                </c:pt>
                <c:pt idx="38" formatCode="0.000">
                  <c:v>44.632027549031321</c:v>
                </c:pt>
                <c:pt idx="39" formatCode="0.000">
                  <c:v>44.964073413092919</c:v>
                </c:pt>
                <c:pt idx="40" formatCode="0.000">
                  <c:v>45.314449543417403</c:v>
                </c:pt>
                <c:pt idx="41" formatCode="0.000">
                  <c:v>45.674251375552259</c:v>
                </c:pt>
                <c:pt idx="42" formatCode="0.000">
                  <c:v>46.048269840882817</c:v>
                </c:pt>
                <c:pt idx="43" formatCode="0.000">
                  <c:v>46.428464425117014</c:v>
                </c:pt>
                <c:pt idx="44" formatCode="0.000">
                  <c:v>46.814989380012506</c:v>
                </c:pt>
                <c:pt idx="45" formatCode="0.000">
                  <c:v>47.20800413713944</c:v>
                </c:pt>
                <c:pt idx="46" formatCode="0.000">
                  <c:v>47.604333762402582</c:v>
                </c:pt>
                <c:pt idx="47" formatCode="0.000">
                  <c:v>48.010770971409109</c:v>
                </c:pt>
                <c:pt idx="48" formatCode="0.000">
                  <c:v>48.424208119689553</c:v>
                </c:pt>
                <c:pt idx="49" formatCode="0.000">
                  <c:v>48.844827614620471</c:v>
                </c:pt>
                <c:pt idx="50" formatCode="0.000">
                  <c:v>49.272818256775366</c:v>
                </c:pt>
                <c:pt idx="51" formatCode="0.000">
                  <c:v>49.704734530246355</c:v>
                </c:pt>
                <c:pt idx="52" formatCode="0.000">
                  <c:v>50.14799563744279</c:v>
                </c:pt>
                <c:pt idx="53" formatCode="0.000">
                  <c:v>50.599233786148538</c:v>
                </c:pt>
                <c:pt idx="54" formatCode="0.000">
                  <c:v>51.058666266924895</c:v>
                </c:pt>
                <c:pt idx="55" formatCode="0.000">
                  <c:v>51.526518334492465</c:v>
                </c:pt>
                <c:pt idx="56" formatCode="0.000">
                  <c:v>51.999038686005463</c:v>
                </c:pt>
                <c:pt idx="57" formatCode="0.000">
                  <c:v>52.484364674949113</c:v>
                </c:pt>
                <c:pt idx="58" formatCode="0.000">
                  <c:v>52.978835464498736</c:v>
                </c:pt>
                <c:pt idx="59" formatCode="0.000">
                  <c:v>53.482711980563479</c:v>
                </c:pt>
                <c:pt idx="60" formatCode="0.000">
                  <c:v>53.996265170932652</c:v>
                </c:pt>
                <c:pt idx="61" formatCode="0.000">
                  <c:v>54.515396576251071</c:v>
                </c:pt>
                <c:pt idx="62" formatCode="0.000">
                  <c:v>55.049072326621115</c:v>
                </c:pt>
                <c:pt idx="63" formatCode="0.000">
                  <c:v>55.593300160258444</c:v>
                </c:pt>
                <c:pt idx="64" formatCode="0.000">
                  <c:v>56.14839616305251</c:v>
                </c:pt>
                <c:pt idx="65" formatCode="0.000">
                  <c:v>56.714689172617945</c:v>
                </c:pt>
                <c:pt idx="66" formatCode="0.000">
                  <c:v>57.287684700266226</c:v>
                </c:pt>
                <c:pt idx="67" formatCode="0.000">
                  <c:v>57.877312451502128</c:v>
                </c:pt>
                <c:pt idx="68" formatCode="0.000">
                  <c:v>58.489284713865807</c:v>
                </c:pt>
                <c:pt idx="69" formatCode="0.000">
                  <c:v>59.148184212102954</c:v>
                </c:pt>
                <c:pt idx="70" formatCode="0.000">
                  <c:v>59.865046412730749</c:v>
                </c:pt>
                <c:pt idx="71" formatCode="0.000">
                  <c:v>60.656655662456046</c:v>
                </c:pt>
                <c:pt idx="72" formatCode="0.000">
                  <c:v>61.533101265428719</c:v>
                </c:pt>
                <c:pt idx="73" formatCode="0.000">
                  <c:v>62.489371640059545</c:v>
                </c:pt>
                <c:pt idx="74" formatCode="0.000">
                  <c:v>63.544498358193088</c:v>
                </c:pt>
                <c:pt idx="75" formatCode="0.000">
                  <c:v>64.700046555884725</c:v>
                </c:pt>
                <c:pt idx="76" formatCode="0.000">
                  <c:v>65.968760027364667</c:v>
                </c:pt>
                <c:pt idx="77" formatCode="0.000">
                  <c:v>67.354900067361143</c:v>
                </c:pt>
                <c:pt idx="78" formatCode="0.000">
                  <c:v>68.873261242101677</c:v>
                </c:pt>
                <c:pt idx="79" formatCode="0.000">
                  <c:v>70.549438611634812</c:v>
                </c:pt>
                <c:pt idx="80" formatCode="0.000">
                  <c:v>72.386239721902697</c:v>
                </c:pt>
                <c:pt idx="81" formatCode="0.000">
                  <c:v>74.40610753468971</c:v>
                </c:pt>
                <c:pt idx="82" formatCode="0.000">
                  <c:v>76.628221966983133</c:v>
                </c:pt>
                <c:pt idx="83" formatCode="0.000">
                  <c:v>79.097473127753133</c:v>
                </c:pt>
                <c:pt idx="84" formatCode="0.000">
                  <c:v>81.823935733498288</c:v>
                </c:pt>
                <c:pt idx="85" formatCode="0.000">
                  <c:v>84.861464708321407</c:v>
                </c:pt>
                <c:pt idx="86" formatCode="0.000">
                  <c:v>88.259107046452911</c:v>
                </c:pt>
                <c:pt idx="87" formatCode="0.000">
                  <c:v>92.077178225131021</c:v>
                </c:pt>
                <c:pt idx="88" formatCode="0.000">
                  <c:v>96.369189153279549</c:v>
                </c:pt>
                <c:pt idx="89" formatCode="0.000">
                  <c:v>101.26163870101041</c:v>
                </c:pt>
                <c:pt idx="90" formatCode="0.000">
                  <c:v>106.84509300650755</c:v>
                </c:pt>
                <c:pt idx="91" formatCode="0.000">
                  <c:v>113.27678880217198</c:v>
                </c:pt>
                <c:pt idx="92" formatCode="0.000">
                  <c:v>120.76800859369877</c:v>
                </c:pt>
                <c:pt idx="93" formatCode="0.000">
                  <c:v>129.56670896612221</c:v>
                </c:pt>
                <c:pt idx="94" formatCode="0.000">
                  <c:v>140.09395529335688</c:v>
                </c:pt>
                <c:pt idx="95" formatCode="0.000">
                  <c:v>152.80639672811265</c:v>
                </c:pt>
                <c:pt idx="96" formatCode="0.000">
                  <c:v>168.51455183325132</c:v>
                </c:pt>
                <c:pt idx="97" formatCode="0.000">
                  <c:v>188.36520481713021</c:v>
                </c:pt>
                <c:pt idx="98" formatCode="0.000">
                  <c:v>214.29597948682004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34-431E-8838-AA4BFE949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83072"/>
        <c:axId val="142889344"/>
      </c:scatterChart>
      <c:valAx>
        <c:axId val="14288307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953100932805938"/>
              <c:y val="0.931637545306836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89344"/>
        <c:crosses val="autoZero"/>
        <c:crossBetween val="midCat"/>
        <c:majorUnit val="10"/>
      </c:valAx>
      <c:valAx>
        <c:axId val="142889344"/>
        <c:scaling>
          <c:orientation val="minMax"/>
          <c:max val="100"/>
          <c:min val="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6948356807511738E-3"/>
              <c:y val="0.424483272924217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83072"/>
        <c:crosses val="autoZero"/>
        <c:crossBetween val="midCat"/>
        <c:majorUnit val="2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0327359697974843"/>
          <c:y val="0.25574264781060713"/>
          <c:w val="0.34736930331855936"/>
          <c:h val="0.1165623589023227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Male 20 km</a:t>
            </a:r>
          </a:p>
        </c:rich>
      </c:tx>
      <c:layout>
        <c:manualLayout>
          <c:xMode val="edge"/>
          <c:yMode val="edge"/>
          <c:x val="0.3972248135071581"/>
          <c:y val="2.74193262074124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2393790313393694E-2"/>
          <c:y val="0.20967741935483872"/>
          <c:w val="0.87771069260162549"/>
          <c:h val="0.67613192031705571"/>
        </c:manualLayout>
      </c:layout>
      <c:scatterChart>
        <c:scatterStyle val="lineMarker"/>
        <c:varyColors val="0"/>
        <c:ser>
          <c:idx val="0"/>
          <c:order val="0"/>
          <c:tx>
            <c:v>World Record</c:v>
          </c:tx>
          <c:spPr>
            <a:ln>
              <a:noFill/>
            </a:ln>
          </c:spPr>
          <c:marker>
            <c:symbol val="diamond"/>
            <c:size val="9"/>
          </c:marker>
          <c:xVal>
            <c:numRef>
              <c:f>'20K'!$A$29</c:f>
              <c:numCache>
                <c:formatCode>General</c:formatCode>
                <c:ptCount val="1"/>
                <c:pt idx="0">
                  <c:v>23</c:v>
                </c:pt>
              </c:numCache>
            </c:numRef>
          </c:xVal>
          <c:yVal>
            <c:numRef>
              <c:f>'20K'!$C$29</c:f>
              <c:numCache>
                <c:formatCode>0.000</c:formatCode>
                <c:ptCount val="1"/>
                <c:pt idx="0">
                  <c:v>61.416666666666671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FC-40FD-87E3-2183D9667936}"/>
            </c:ext>
          </c:extLst>
        </c:ser>
        <c:ser>
          <c:idx val="1"/>
          <c:order val="1"/>
          <c:tx>
            <c:strRef>
              <c:f>'20K'!$C$6</c:f>
              <c:strCache>
                <c:ptCount val="1"/>
                <c:pt idx="0">
                  <c:v>2025 Barnhard Sing Age Bests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</c:marker>
          <c:xVal>
            <c:numRef>
              <c:f>'20K'!$A$7:$A$106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'20K'!$C$7:$C$106</c:f>
              <c:numCache>
                <c:formatCode>General</c:formatCode>
                <c:ptCount val="100"/>
                <c:pt idx="6" formatCode="0.000">
                  <c:v>114.01666666666667</c:v>
                </c:pt>
                <c:pt idx="12" formatCode="0.000">
                  <c:v>84.533333333333331</c:v>
                </c:pt>
                <c:pt idx="13" formatCode="0.000">
                  <c:v>91.166666666666671</c:v>
                </c:pt>
                <c:pt idx="14" formatCode="0.000">
                  <c:v>87.5</c:v>
                </c:pt>
                <c:pt idx="15" formatCode="0.000">
                  <c:v>76.016666666666666</c:v>
                </c:pt>
                <c:pt idx="16" formatCode="0.000">
                  <c:v>69.683333333333337</c:v>
                </c:pt>
                <c:pt idx="17" formatCode="0.000">
                  <c:v>66.516666666666666</c:v>
                </c:pt>
                <c:pt idx="18" formatCode="0.000">
                  <c:v>66.399999999999991</c:v>
                </c:pt>
                <c:pt idx="19" formatCode="0.000">
                  <c:v>65.600000000000009</c:v>
                </c:pt>
                <c:pt idx="20" formatCode="0.000">
                  <c:v>64.650000000000006</c:v>
                </c:pt>
                <c:pt idx="21" formatCode="0.000">
                  <c:v>64.216666666666669</c:v>
                </c:pt>
                <c:pt idx="22" formatCode="0.000">
                  <c:v>61.416666666666671</c:v>
                </c:pt>
                <c:pt idx="23" formatCode="0.000">
                  <c:v>65.533333333333331</c:v>
                </c:pt>
                <c:pt idx="24" formatCode="0.000">
                  <c:v>63.783333333333339</c:v>
                </c:pt>
                <c:pt idx="25" formatCode="0.000">
                  <c:v>63.9</c:v>
                </c:pt>
                <c:pt idx="26" formatCode="0.000">
                  <c:v>64.316666666666663</c:v>
                </c:pt>
                <c:pt idx="27" formatCode="0.000">
                  <c:v>66.666666666666657</c:v>
                </c:pt>
                <c:pt idx="28" formatCode="0.000">
                  <c:v>65.05</c:v>
                </c:pt>
                <c:pt idx="29" formatCode="0.000">
                  <c:v>65.5</c:v>
                </c:pt>
                <c:pt idx="30" formatCode="0.000">
                  <c:v>65.7</c:v>
                </c:pt>
                <c:pt idx="31" formatCode="0.000">
                  <c:v>63.35</c:v>
                </c:pt>
                <c:pt idx="32" formatCode="0.000">
                  <c:v>67.066666666666663</c:v>
                </c:pt>
                <c:pt idx="33" formatCode="0.000">
                  <c:v>65.183333333333337</c:v>
                </c:pt>
                <c:pt idx="34" formatCode="0.000">
                  <c:v>67.2</c:v>
                </c:pt>
                <c:pt idx="35" formatCode="0.000">
                  <c:v>63.383333333333333</c:v>
                </c:pt>
                <c:pt idx="36" formatCode="0.000">
                  <c:v>67.016666666666666</c:v>
                </c:pt>
                <c:pt idx="37" formatCode="0.000">
                  <c:v>67.88333333333334</c:v>
                </c:pt>
                <c:pt idx="38" formatCode="0.000">
                  <c:v>65.350000000000009</c:v>
                </c:pt>
                <c:pt idx="39" formatCode="0.000">
                  <c:v>68.983333333333334</c:v>
                </c:pt>
                <c:pt idx="40" formatCode="0.000">
                  <c:v>65.866666666666674</c:v>
                </c:pt>
                <c:pt idx="41" formatCode="0.000">
                  <c:v>69.399999999999991</c:v>
                </c:pt>
                <c:pt idx="42" formatCode="0.000">
                  <c:v>71.483333333333334</c:v>
                </c:pt>
                <c:pt idx="43" formatCode="0.000">
                  <c:v>68.8</c:v>
                </c:pt>
                <c:pt idx="44" formatCode="0.000">
                  <c:v>67.349999999999994</c:v>
                </c:pt>
                <c:pt idx="45" formatCode="0.000">
                  <c:v>70.38333333333334</c:v>
                </c:pt>
                <c:pt idx="46" formatCode="0.000">
                  <c:v>74.45</c:v>
                </c:pt>
                <c:pt idx="47" formatCode="0.000">
                  <c:v>77.016666666666666</c:v>
                </c:pt>
                <c:pt idx="48" formatCode="0.000">
                  <c:v>69.7</c:v>
                </c:pt>
                <c:pt idx="49" formatCode="0.000">
                  <c:v>79.100000000000009</c:v>
                </c:pt>
                <c:pt idx="50" formatCode="0.000">
                  <c:v>77.2</c:v>
                </c:pt>
                <c:pt idx="51" formatCode="0.000">
                  <c:v>77.716666666666669</c:v>
                </c:pt>
                <c:pt idx="52" formatCode="0.000">
                  <c:v>81.36666666666666</c:v>
                </c:pt>
                <c:pt idx="53" formatCode="0.000">
                  <c:v>85.666666666666671</c:v>
                </c:pt>
                <c:pt idx="54" formatCode="0.000">
                  <c:v>78.733333333333334</c:v>
                </c:pt>
                <c:pt idx="55" formatCode="0.000">
                  <c:v>80.599999999999994</c:v>
                </c:pt>
                <c:pt idx="56" formatCode="0.000">
                  <c:v>83.449999999999989</c:v>
                </c:pt>
                <c:pt idx="57" formatCode="0.000">
                  <c:v>89.36666666666666</c:v>
                </c:pt>
                <c:pt idx="58" formatCode="0.000">
                  <c:v>77.333333333333329</c:v>
                </c:pt>
                <c:pt idx="59" formatCode="0.000">
                  <c:v>79.2</c:v>
                </c:pt>
                <c:pt idx="60" formatCode="0.000">
                  <c:v>86.61666666666666</c:v>
                </c:pt>
                <c:pt idx="61" formatCode="0.000">
                  <c:v>95.35</c:v>
                </c:pt>
                <c:pt idx="62" formatCode="0.000">
                  <c:v>96.51666666666668</c:v>
                </c:pt>
                <c:pt idx="63" formatCode="0.000">
                  <c:v>99.8</c:v>
                </c:pt>
                <c:pt idx="64" formatCode="0.000">
                  <c:v>87.75</c:v>
                </c:pt>
                <c:pt idx="65" formatCode="0.000">
                  <c:v>100.36666666666667</c:v>
                </c:pt>
                <c:pt idx="66" formatCode="0.000">
                  <c:v>102.83333333333333</c:v>
                </c:pt>
                <c:pt idx="67" formatCode="0.000">
                  <c:v>109.86666666666666</c:v>
                </c:pt>
                <c:pt idx="68" formatCode="0.000">
                  <c:v>105.53333333333333</c:v>
                </c:pt>
                <c:pt idx="69" formatCode="0.000">
                  <c:v>94.6</c:v>
                </c:pt>
                <c:pt idx="70" formatCode="0.000">
                  <c:v>116.85</c:v>
                </c:pt>
                <c:pt idx="71" formatCode="0.000">
                  <c:v>121.13333333333334</c:v>
                </c:pt>
                <c:pt idx="72" formatCode="0.000">
                  <c:v>119.55</c:v>
                </c:pt>
                <c:pt idx="73" formatCode="0.000">
                  <c:v>114.95</c:v>
                </c:pt>
                <c:pt idx="74" formatCode="0.000">
                  <c:v>97.766666666666666</c:v>
                </c:pt>
                <c:pt idx="75" formatCode="0.000">
                  <c:v>116.61666666666666</c:v>
                </c:pt>
                <c:pt idx="76" formatCode="0.000">
                  <c:v>112.94999999999999</c:v>
                </c:pt>
                <c:pt idx="79" formatCode="0.000">
                  <c:v>146.56666666666666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FC-40FD-87E3-2183D9667936}"/>
            </c:ext>
          </c:extLst>
        </c:ser>
        <c:ser>
          <c:idx val="2"/>
          <c:order val="2"/>
          <c:tx>
            <c:strRef>
              <c:f>'20K'!$D$6</c:f>
              <c:strCache>
                <c:ptCount val="1"/>
                <c:pt idx="0">
                  <c:v>2025 Proposed Standards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'20K'!$A$7:$A$106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'20K'!$D$7:$D$106</c:f>
              <c:numCache>
                <c:formatCode>General</c:formatCode>
                <c:ptCount val="100"/>
                <c:pt idx="4" formatCode="0.000">
                  <c:v>116.76191583409093</c:v>
                </c:pt>
                <c:pt idx="5" formatCode="0.000">
                  <c:v>100.87003997861596</c:v>
                </c:pt>
                <c:pt idx="6" formatCode="0.000">
                  <c:v>89.602624143358497</c:v>
                </c:pt>
                <c:pt idx="7" formatCode="0.000">
                  <c:v>81.283297136201213</c:v>
                </c:pt>
                <c:pt idx="8" formatCode="0.000">
                  <c:v>74.959507994319125</c:v>
                </c:pt>
                <c:pt idx="9" formatCode="0.000">
                  <c:v>70.040465607670981</c:v>
                </c:pt>
                <c:pt idx="10" formatCode="0.000">
                  <c:v>66.181302381396293</c:v>
                </c:pt>
                <c:pt idx="11" formatCode="0.000">
                  <c:v>63.138579211806189</c:v>
                </c:pt>
                <c:pt idx="12" formatCode="0.000">
                  <c:v>60.739771772991467</c:v>
                </c:pt>
                <c:pt idx="13" formatCode="0.000">
                  <c:v>58.870250373888034</c:v>
                </c:pt>
                <c:pt idx="14" formatCode="0.000">
                  <c:v>57.454881213148965</c:v>
                </c:pt>
                <c:pt idx="15" formatCode="0.000">
                  <c:v>56.431033749814226</c:v>
                </c:pt>
                <c:pt idx="16" formatCode="0.000">
                  <c:v>55.749817730418812</c:v>
                </c:pt>
                <c:pt idx="17" formatCode="0.000">
                  <c:v>55.173570671418751</c:v>
                </c:pt>
                <c:pt idx="18" formatCode="0.000">
                  <c:v>54.62482878698809</c:v>
                </c:pt>
                <c:pt idx="19" formatCode="0.000">
                  <c:v>54.345777561273621</c:v>
                </c:pt>
                <c:pt idx="20" formatCode="0.000">
                  <c:v>54.333333333333336</c:v>
                </c:pt>
                <c:pt idx="21" formatCode="0.000">
                  <c:v>54.333333333333336</c:v>
                </c:pt>
                <c:pt idx="22" formatCode="0.000">
                  <c:v>54.333333333333336</c:v>
                </c:pt>
                <c:pt idx="23" formatCode="0.000">
                  <c:v>54.333333333333336</c:v>
                </c:pt>
                <c:pt idx="24" formatCode="0.000">
                  <c:v>54.333333333333336</c:v>
                </c:pt>
                <c:pt idx="25" formatCode="0.000">
                  <c:v>54.333333333333336</c:v>
                </c:pt>
                <c:pt idx="26" formatCode="0.000">
                  <c:v>54.333333333333336</c:v>
                </c:pt>
                <c:pt idx="27" formatCode="0.000">
                  <c:v>54.334110930613768</c:v>
                </c:pt>
                <c:pt idx="28" formatCode="0.000">
                  <c:v>54.337221542321558</c:v>
                </c:pt>
                <c:pt idx="29" formatCode="0.000">
                  <c:v>54.341888127746586</c:v>
                </c:pt>
                <c:pt idx="30" formatCode="0.000">
                  <c:v>54.348889508985359</c:v>
                </c:pt>
                <c:pt idx="31" formatCode="0.000">
                  <c:v>54.367549117989697</c:v>
                </c:pt>
                <c:pt idx="32" formatCode="0.000">
                  <c:v>54.439153971449052</c:v>
                </c:pt>
                <c:pt idx="33" formatCode="0.000">
                  <c:v>54.558252236124602</c:v>
                </c:pt>
                <c:pt idx="34" formatCode="0.000">
                  <c:v>54.726256448286591</c:v>
                </c:pt>
                <c:pt idx="35" formatCode="0.000">
                  <c:v>54.948431736567912</c:v>
                </c:pt>
                <c:pt idx="36" formatCode="0.000">
                  <c:v>55.221681613910818</c:v>
                </c:pt>
                <c:pt idx="37" formatCode="0.000">
                  <c:v>55.551968952865437</c:v>
                </c:pt>
                <c:pt idx="38" formatCode="0.000">
                  <c:v>55.936777872324996</c:v>
                </c:pt>
                <c:pt idx="39" formatCode="0.000">
                  <c:v>56.377465495617543</c:v>
                </c:pt>
                <c:pt idx="40" formatCode="0.000">
                  <c:v>56.833222643527606</c:v>
                </c:pt>
                <c:pt idx="41" formatCode="0.000">
                  <c:v>57.292528486027408</c:v>
                </c:pt>
                <c:pt idx="42" formatCode="0.000">
                  <c:v>57.766338431780547</c:v>
                </c:pt>
                <c:pt idx="43" formatCode="0.000">
                  <c:v>58.248050557324497</c:v>
                </c:pt>
                <c:pt idx="44" formatCode="0.000">
                  <c:v>58.737864213308946</c:v>
                </c:pt>
                <c:pt idx="45" formatCode="0.000">
                  <c:v>59.23598551268627</c:v>
                </c:pt>
                <c:pt idx="46" formatCode="0.000">
                  <c:v>59.736529257922733</c:v>
                </c:pt>
                <c:pt idx="47" formatCode="0.000">
                  <c:v>60.251807026855211</c:v>
                </c:pt>
                <c:pt idx="48" formatCode="0.000">
                  <c:v>60.776051549190576</c:v>
                </c:pt>
                <c:pt idx="49" formatCode="0.000">
                  <c:v>61.30949893558649</c:v>
                </c:pt>
                <c:pt idx="50" formatCode="0.000">
                  <c:v>61.852393659726417</c:v>
                </c:pt>
                <c:pt idx="51" formatCode="0.000">
                  <c:v>62.398334956293262</c:v>
                </c:pt>
                <c:pt idx="52" formatCode="0.000">
                  <c:v>62.960772616653372</c:v>
                </c:pt>
                <c:pt idx="53" formatCode="0.000">
                  <c:v>63.533441748880954</c:v>
                </c:pt>
                <c:pt idx="54" formatCode="0.000">
                  <c:v>64.116624101312055</c:v>
                </c:pt>
                <c:pt idx="55" formatCode="0.000">
                  <c:v>64.710611862948724</c:v>
                </c:pt>
                <c:pt idx="56" formatCode="0.000">
                  <c:v>65.308419021478315</c:v>
                </c:pt>
                <c:pt idx="57" formatCode="0.000">
                  <c:v>65.924800152766366</c:v>
                </c:pt>
                <c:pt idx="58" formatCode="0.000">
                  <c:v>66.552926955126125</c:v>
                </c:pt>
                <c:pt idx="59" formatCode="0.000">
                  <c:v>67.193138393948914</c:v>
                </c:pt>
                <c:pt idx="60" formatCode="0.000">
                  <c:v>67.84578660413483</c:v>
                </c:pt>
                <c:pt idx="61" formatCode="0.000">
                  <c:v>68.50321777030554</c:v>
                </c:pt>
                <c:pt idx="62" formatCode="0.000">
                  <c:v>69.181692217548118</c:v>
                </c:pt>
                <c:pt idx="63" formatCode="0.000">
                  <c:v>69.87374069553546</c:v>
                </c:pt>
                <c:pt idx="64" formatCode="0.000">
                  <c:v>70.579774677600042</c:v>
                </c:pt>
                <c:pt idx="65" formatCode="0.000">
                  <c:v>71.300222437640386</c:v>
                </c:pt>
                <c:pt idx="66" formatCode="0.000">
                  <c:v>72.026663891503091</c:v>
                </c:pt>
                <c:pt idx="67" formatCode="0.000">
                  <c:v>72.777109892814451</c:v>
                </c:pt>
                <c:pt idx="68" formatCode="0.000">
                  <c:v>73.561847403611978</c:v>
                </c:pt>
                <c:pt idx="69" formatCode="0.000">
                  <c:v>74.421162573373692</c:v>
                </c:pt>
                <c:pt idx="70" formatCode="0.000">
                  <c:v>75.370173084487021</c:v>
                </c:pt>
                <c:pt idx="71" formatCode="0.000">
                  <c:v>76.409653959668574</c:v>
                </c:pt>
                <c:pt idx="72" formatCode="0.000">
                  <c:v>77.565110230436503</c:v>
                </c:pt>
                <c:pt idx="73" formatCode="0.000">
                  <c:v>78.824602007681634</c:v>
                </c:pt>
                <c:pt idx="74" formatCode="0.000">
                  <c:v>80.20931784334357</c:v>
                </c:pt>
                <c:pt idx="75" formatCode="0.000">
                  <c:v>81.728641805002567</c:v>
                </c:pt>
                <c:pt idx="76" formatCode="0.000">
                  <c:v>83.396142164343004</c:v>
                </c:pt>
                <c:pt idx="77" formatCode="0.000">
                  <c:v>85.214170356564452</c:v>
                </c:pt>
                <c:pt idx="78" formatCode="0.000">
                  <c:v>87.210107637943295</c:v>
                </c:pt>
                <c:pt idx="79" formatCode="0.000">
                  <c:v>89.418309597655593</c:v>
                </c:pt>
                <c:pt idx="80" formatCode="0.000">
                  <c:v>91.835389483309328</c:v>
                </c:pt>
                <c:pt idx="81" formatCode="0.000">
                  <c:v>94.500513007678137</c:v>
                </c:pt>
                <c:pt idx="82" formatCode="0.000">
                  <c:v>97.430910214208083</c:v>
                </c:pt>
                <c:pt idx="83" formatCode="0.000">
                  <c:v>100.69660792829447</c:v>
                </c:pt>
                <c:pt idx="84" formatCode="0.000">
                  <c:v>104.30883044211431</c:v>
                </c:pt>
                <c:pt idx="85" formatCode="0.000">
                  <c:v>108.34086483705438</c:v>
                </c:pt>
                <c:pt idx="86" formatCode="0.000">
                  <c:v>112.86101364228708</c:v>
                </c:pt>
                <c:pt idx="87" formatCode="0.000">
                  <c:v>117.95373547651691</c:v>
                </c:pt>
                <c:pt idx="88" formatCode="0.000">
                  <c:v>123.69651856978707</c:v>
                </c:pt>
                <c:pt idx="89" formatCode="0.000">
                  <c:v>130.27429569407809</c:v>
                </c:pt>
                <c:pt idx="90" formatCode="0.000">
                  <c:v>137.80280831955639</c:v>
                </c:pt>
                <c:pt idx="91" formatCode="0.000">
                  <c:v>146.52810667349138</c:v>
                </c:pt>
                <c:pt idx="92" formatCode="0.000">
                  <c:v>156.74893018748412</c:v>
                </c:pt>
                <c:pt idx="93" formatCode="0.000">
                  <c:v>168.82042533823886</c:v>
                </c:pt>
                <c:pt idx="94" formatCode="0.000">
                  <c:v>183.39583197229064</c:v>
                </c:pt>
                <c:pt idx="95" formatCode="0.000">
                  <c:v>201.17176740341952</c:v>
                </c:pt>
                <c:pt idx="96" formatCode="0.000">
                  <c:v>223.40463693783562</c:v>
                </c:pt>
                <c:pt idx="97" formatCode="0.000">
                  <c:v>251.96929885378944</c:v>
                </c:pt>
                <c:pt idx="98" formatCode="0.000">
                  <c:v>289.9999048831537</c:v>
                </c:pt>
                <c:pt idx="99" formatCode="0.000">
                  <c:v>343.04555077673371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FC-40FD-87E3-2183D9667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31840"/>
        <c:axId val="142946304"/>
      </c:scatterChart>
      <c:valAx>
        <c:axId val="14293184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chemeClr val="tx1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43383345511994"/>
              <c:y val="0.930645094483962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946304"/>
        <c:crosses val="autoZero"/>
        <c:crossBetween val="midCat"/>
        <c:majorUnit val="10"/>
      </c:valAx>
      <c:valAx>
        <c:axId val="142946304"/>
        <c:scaling>
          <c:orientation val="minMax"/>
          <c:max val="150"/>
          <c:min val="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3365134431916736E-3"/>
              <c:y val="0.422580631527339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931840"/>
        <c:crosses val="autoZero"/>
        <c:crossBetween val="midCat"/>
        <c:majorUnit val="25"/>
      </c:valAx>
      <c:spPr>
        <a:noFill/>
        <a:ln w="3175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2635453044223878"/>
          <c:y val="0.2611365818740507"/>
          <c:w val="0.23917004021897359"/>
          <c:h val="0.120414414409516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481725</xdr:colOff>
      <xdr:row>11</xdr:row>
      <xdr:rowOff>120430</xdr:rowOff>
    </xdr:from>
    <xdr:to>
      <xdr:col>23</xdr:col>
      <xdr:colOff>536467</xdr:colOff>
      <xdr:row>47</xdr:row>
      <xdr:rowOff>76638</xdr:rowOff>
    </xdr:to>
    <xdr:graphicFrame macro="">
      <xdr:nvGraphicFramePr>
        <xdr:cNvPr id="1083" name="Chart 1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98532</xdr:colOff>
      <xdr:row>72</xdr:row>
      <xdr:rowOff>98534</xdr:rowOff>
    </xdr:from>
    <xdr:to>
      <xdr:col>33</xdr:col>
      <xdr:colOff>134774</xdr:colOff>
      <xdr:row>109</xdr:row>
      <xdr:rowOff>49485</xdr:rowOff>
    </xdr:to>
    <xdr:graphicFrame macro="">
      <xdr:nvGraphicFramePr>
        <xdr:cNvPr id="1085" name="Chart 3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40</xdr:row>
      <xdr:rowOff>0</xdr:rowOff>
    </xdr:from>
    <xdr:to>
      <xdr:col>9</xdr:col>
      <xdr:colOff>113862</xdr:colOff>
      <xdr:row>62</xdr:row>
      <xdr:rowOff>117300</xdr:rowOff>
    </xdr:to>
    <xdr:pic>
      <xdr:nvPicPr>
        <xdr:cNvPr id="2" name="Picture 1" descr="A close up of a map&#10;&#10;Description generated with very high confidence">
          <a:extLst>
            <a:ext uri="{FF2B5EF4-FFF2-40B4-BE49-F238E27FC236}">
              <a16:creationId xmlns:a16="http://schemas.microsoft.com/office/drawing/2014/main" id="{BC817065-3C2A-D8A6-BC1E-58D328AF64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293" y="8156466"/>
          <a:ext cx="6858000" cy="421195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9</xdr:col>
      <xdr:colOff>579671</xdr:colOff>
      <xdr:row>70</xdr:row>
      <xdr:rowOff>121371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FFC132A-9D44-4FC0-6523-B9ABCD21E7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6293" y="12623362"/>
          <a:ext cx="7323809" cy="123809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919660</xdr:colOff>
      <xdr:row>0</xdr:row>
      <xdr:rowOff>251809</xdr:rowOff>
    </xdr:from>
    <xdr:to>
      <xdr:col>18</xdr:col>
      <xdr:colOff>182841</xdr:colOff>
      <xdr:row>34</xdr:row>
      <xdr:rowOff>186120</xdr:rowOff>
    </xdr:to>
    <xdr:graphicFrame macro="">
      <xdr:nvGraphicFramePr>
        <xdr:cNvPr id="43027" name="Chart 1">
          <a:extLst>
            <a:ext uri="{FF2B5EF4-FFF2-40B4-BE49-F238E27FC236}">
              <a16:creationId xmlns:a16="http://schemas.microsoft.com/office/drawing/2014/main" id="{00000000-0008-0000-0C00-000013A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482381</xdr:colOff>
      <xdr:row>5</xdr:row>
      <xdr:rowOff>383737</xdr:rowOff>
    </xdr:from>
    <xdr:to>
      <xdr:col>19</xdr:col>
      <xdr:colOff>37442</xdr:colOff>
      <xdr:row>44</xdr:row>
      <xdr:rowOff>54741</xdr:rowOff>
    </xdr:to>
    <xdr:graphicFrame macro="">
      <xdr:nvGraphicFramePr>
        <xdr:cNvPr id="45075" name="Chart 1">
          <a:extLst>
            <a:ext uri="{FF2B5EF4-FFF2-40B4-BE49-F238E27FC236}">
              <a16:creationId xmlns:a16="http://schemas.microsoft.com/office/drawing/2014/main" id="{00000000-0008-0000-0D00-000013B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240861</xdr:colOff>
      <xdr:row>9</xdr:row>
      <xdr:rowOff>153273</xdr:rowOff>
    </xdr:from>
    <xdr:to>
      <xdr:col>22</xdr:col>
      <xdr:colOff>273706</xdr:colOff>
      <xdr:row>46</xdr:row>
      <xdr:rowOff>153276</xdr:rowOff>
    </xdr:to>
    <xdr:graphicFrame macro="">
      <xdr:nvGraphicFramePr>
        <xdr:cNvPr id="47123" name="Chart 1">
          <a:extLst>
            <a:ext uri="{FF2B5EF4-FFF2-40B4-BE49-F238E27FC236}">
              <a16:creationId xmlns:a16="http://schemas.microsoft.com/office/drawing/2014/main" id="{00000000-0008-0000-0E00-000013B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87587</xdr:colOff>
      <xdr:row>9</xdr:row>
      <xdr:rowOff>99082</xdr:rowOff>
    </xdr:from>
    <xdr:to>
      <xdr:col>17</xdr:col>
      <xdr:colOff>781161</xdr:colOff>
      <xdr:row>33</xdr:row>
      <xdr:rowOff>180428</xdr:rowOff>
    </xdr:to>
    <xdr:graphicFrame macro="">
      <xdr:nvGraphicFramePr>
        <xdr:cNvPr id="49171" name="Chart 1">
          <a:extLst>
            <a:ext uri="{FF2B5EF4-FFF2-40B4-BE49-F238E27FC236}">
              <a16:creationId xmlns:a16="http://schemas.microsoft.com/office/drawing/2014/main" id="{00000000-0008-0000-0F00-000013C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239000</xdr:colOff>
      <xdr:row>7</xdr:row>
      <xdr:rowOff>109482</xdr:rowOff>
    </xdr:from>
    <xdr:to>
      <xdr:col>23</xdr:col>
      <xdr:colOff>637955</xdr:colOff>
      <xdr:row>35</xdr:row>
      <xdr:rowOff>75761</xdr:rowOff>
    </xdr:to>
    <xdr:graphicFrame macro="">
      <xdr:nvGraphicFramePr>
        <xdr:cNvPr id="51219" name="Chart 1">
          <a:extLst>
            <a:ext uri="{FF2B5EF4-FFF2-40B4-BE49-F238E27FC236}">
              <a16:creationId xmlns:a16="http://schemas.microsoft.com/office/drawing/2014/main" id="{00000000-0008-0000-1000-000013C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622957</xdr:colOff>
      <xdr:row>7</xdr:row>
      <xdr:rowOff>107622</xdr:rowOff>
    </xdr:from>
    <xdr:to>
      <xdr:col>22</xdr:col>
      <xdr:colOff>807107</xdr:colOff>
      <xdr:row>37</xdr:row>
      <xdr:rowOff>98097</xdr:rowOff>
    </xdr:to>
    <xdr:graphicFrame macro="">
      <xdr:nvGraphicFramePr>
        <xdr:cNvPr id="53267" name="Chart 1">
          <a:extLst>
            <a:ext uri="{FF2B5EF4-FFF2-40B4-BE49-F238E27FC236}">
              <a16:creationId xmlns:a16="http://schemas.microsoft.com/office/drawing/2014/main" id="{00000000-0008-0000-1100-000013D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204516</xdr:colOff>
      <xdr:row>13</xdr:row>
      <xdr:rowOff>113315</xdr:rowOff>
    </xdr:from>
    <xdr:to>
      <xdr:col>33</xdr:col>
      <xdr:colOff>547412</xdr:colOff>
      <xdr:row>42</xdr:row>
      <xdr:rowOff>153276</xdr:rowOff>
    </xdr:to>
    <xdr:graphicFrame macro="">
      <xdr:nvGraphicFramePr>
        <xdr:cNvPr id="55334" name="Chart 1">
          <a:extLst>
            <a:ext uri="{FF2B5EF4-FFF2-40B4-BE49-F238E27FC236}">
              <a16:creationId xmlns:a16="http://schemas.microsoft.com/office/drawing/2014/main" id="{00000000-0008-0000-1200-000026D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602155</xdr:colOff>
      <xdr:row>6</xdr:row>
      <xdr:rowOff>65690</xdr:rowOff>
    </xdr:from>
    <xdr:to>
      <xdr:col>37</xdr:col>
      <xdr:colOff>240862</xdr:colOff>
      <xdr:row>45</xdr:row>
      <xdr:rowOff>153278</xdr:rowOff>
    </xdr:to>
    <xdr:graphicFrame macro="">
      <xdr:nvGraphicFramePr>
        <xdr:cNvPr id="55335" name="Chart 2">
          <a:extLst>
            <a:ext uri="{FF2B5EF4-FFF2-40B4-BE49-F238E27FC236}">
              <a16:creationId xmlns:a16="http://schemas.microsoft.com/office/drawing/2014/main" id="{00000000-0008-0000-1200-000027D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284655</xdr:colOff>
      <xdr:row>7</xdr:row>
      <xdr:rowOff>43793</xdr:rowOff>
    </xdr:from>
    <xdr:to>
      <xdr:col>32</xdr:col>
      <xdr:colOff>558361</xdr:colOff>
      <xdr:row>46</xdr:row>
      <xdr:rowOff>10949</xdr:rowOff>
    </xdr:to>
    <xdr:graphicFrame macro="">
      <xdr:nvGraphicFramePr>
        <xdr:cNvPr id="58387" name="Chart 1">
          <a:extLst>
            <a:ext uri="{FF2B5EF4-FFF2-40B4-BE49-F238E27FC236}">
              <a16:creationId xmlns:a16="http://schemas.microsoft.com/office/drawing/2014/main" id="{00000000-0008-0000-1400-000013E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</xdr:row>
      <xdr:rowOff>142875</xdr:rowOff>
    </xdr:from>
    <xdr:to>
      <xdr:col>17</xdr:col>
      <xdr:colOff>153385</xdr:colOff>
      <xdr:row>38</xdr:row>
      <xdr:rowOff>180974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C8E7B448-721C-4F97-85A1-EEFA983FC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262760</xdr:colOff>
      <xdr:row>14</xdr:row>
      <xdr:rowOff>10948</xdr:rowOff>
    </xdr:from>
    <xdr:to>
      <xdr:col>19</xdr:col>
      <xdr:colOff>897757</xdr:colOff>
      <xdr:row>46</xdr:row>
      <xdr:rowOff>54740</xdr:rowOff>
    </xdr:to>
    <xdr:graphicFrame macro="">
      <xdr:nvGraphicFramePr>
        <xdr:cNvPr id="26643" name="Chart 1">
          <a:extLst>
            <a:ext uri="{FF2B5EF4-FFF2-40B4-BE49-F238E27FC236}">
              <a16:creationId xmlns:a16="http://schemas.microsoft.com/office/drawing/2014/main" id="{00000000-0008-0000-0100-0000136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286078</xdr:colOff>
      <xdr:row>9</xdr:row>
      <xdr:rowOff>109482</xdr:rowOff>
    </xdr:from>
    <xdr:to>
      <xdr:col>22</xdr:col>
      <xdr:colOff>765721</xdr:colOff>
      <xdr:row>42</xdr:row>
      <xdr:rowOff>165646</xdr:rowOff>
    </xdr:to>
    <xdr:graphicFrame macro="">
      <xdr:nvGraphicFramePr>
        <xdr:cNvPr id="28691" name="Chart 1">
          <a:extLst>
            <a:ext uri="{FF2B5EF4-FFF2-40B4-BE49-F238E27FC236}">
              <a16:creationId xmlns:a16="http://schemas.microsoft.com/office/drawing/2014/main" id="{00000000-0008-0000-0400-0000137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9304</xdr:colOff>
      <xdr:row>1</xdr:row>
      <xdr:rowOff>54742</xdr:rowOff>
    </xdr:from>
    <xdr:to>
      <xdr:col>23</xdr:col>
      <xdr:colOff>317500</xdr:colOff>
      <xdr:row>35</xdr:row>
      <xdr:rowOff>10948</xdr:rowOff>
    </xdr:to>
    <xdr:graphicFrame macro="">
      <xdr:nvGraphicFramePr>
        <xdr:cNvPr id="30739" name="Chart 1">
          <a:extLst>
            <a:ext uri="{FF2B5EF4-FFF2-40B4-BE49-F238E27FC236}">
              <a16:creationId xmlns:a16="http://schemas.microsoft.com/office/drawing/2014/main" id="{00000000-0008-0000-0600-0000137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635000</xdr:colOff>
      <xdr:row>5</xdr:row>
      <xdr:rowOff>459829</xdr:rowOff>
    </xdr:from>
    <xdr:to>
      <xdr:col>16</xdr:col>
      <xdr:colOff>418007</xdr:colOff>
      <xdr:row>42</xdr:row>
      <xdr:rowOff>164224</xdr:rowOff>
    </xdr:to>
    <xdr:graphicFrame macro="">
      <xdr:nvGraphicFramePr>
        <xdr:cNvPr id="34835" name="Chart 1">
          <a:extLst>
            <a:ext uri="{FF2B5EF4-FFF2-40B4-BE49-F238E27FC236}">
              <a16:creationId xmlns:a16="http://schemas.microsoft.com/office/drawing/2014/main" id="{00000000-0008-0000-0800-0000138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689742</xdr:colOff>
      <xdr:row>11</xdr:row>
      <xdr:rowOff>32844</xdr:rowOff>
    </xdr:from>
    <xdr:to>
      <xdr:col>16</xdr:col>
      <xdr:colOff>665764</xdr:colOff>
      <xdr:row>47</xdr:row>
      <xdr:rowOff>120428</xdr:rowOff>
    </xdr:to>
    <xdr:graphicFrame macro="">
      <xdr:nvGraphicFramePr>
        <xdr:cNvPr id="36883" name="Chart 1">
          <a:extLst>
            <a:ext uri="{FF2B5EF4-FFF2-40B4-BE49-F238E27FC236}">
              <a16:creationId xmlns:a16="http://schemas.microsoft.com/office/drawing/2014/main" id="{00000000-0008-0000-0900-0000139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656895</xdr:colOff>
      <xdr:row>5</xdr:row>
      <xdr:rowOff>77185</xdr:rowOff>
    </xdr:from>
    <xdr:to>
      <xdr:col>19</xdr:col>
      <xdr:colOff>122182</xdr:colOff>
      <xdr:row>41</xdr:row>
      <xdr:rowOff>109482</xdr:rowOff>
    </xdr:to>
    <xdr:graphicFrame macro="">
      <xdr:nvGraphicFramePr>
        <xdr:cNvPr id="38931" name="Chart 1">
          <a:extLst>
            <a:ext uri="{FF2B5EF4-FFF2-40B4-BE49-F238E27FC236}">
              <a16:creationId xmlns:a16="http://schemas.microsoft.com/office/drawing/2014/main" id="{00000000-0008-0000-0A00-0000139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32846</xdr:colOff>
      <xdr:row>14</xdr:row>
      <xdr:rowOff>32842</xdr:rowOff>
    </xdr:from>
    <xdr:to>
      <xdr:col>21</xdr:col>
      <xdr:colOff>164225</xdr:colOff>
      <xdr:row>47</xdr:row>
      <xdr:rowOff>109481</xdr:rowOff>
    </xdr:to>
    <xdr:graphicFrame macro="">
      <xdr:nvGraphicFramePr>
        <xdr:cNvPr id="40979" name="Chart 1">
          <a:extLst>
            <a:ext uri="{FF2B5EF4-FFF2-40B4-BE49-F238E27FC236}">
              <a16:creationId xmlns:a16="http://schemas.microsoft.com/office/drawing/2014/main" id="{00000000-0008-0000-0B00-000013A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6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github.com/AlanLyttonJones/Age-Grade-Tables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lanLyttonJones/Age-Grade-Tables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github.com/AlanLyttonJones/Age-Grade-Tables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9"/>
  <sheetViews>
    <sheetView zoomScale="87" zoomScaleNormal="87" workbookViewId="0">
      <selection activeCell="H12" sqref="H12"/>
    </sheetView>
  </sheetViews>
  <sheetFormatPr defaultColWidth="9.6640625" defaultRowHeight="15"/>
  <cols>
    <col min="1" max="1" width="11.6640625" style="1" customWidth="1"/>
    <col min="2" max="2" width="8.6640625" style="1" customWidth="1"/>
    <col min="3" max="3" width="8.77734375" style="1" customWidth="1"/>
    <col min="4" max="4" width="9.6640625" style="1" customWidth="1"/>
    <col min="5" max="5" width="9.5546875" style="1" customWidth="1"/>
    <col min="6" max="6" width="10.6640625" style="1" customWidth="1"/>
    <col min="7" max="7" width="9.5546875" style="1" customWidth="1"/>
    <col min="8" max="8" width="10.109375" style="1" customWidth="1"/>
    <col min="9" max="9" width="11.44140625" style="1" customWidth="1"/>
    <col min="10" max="10" width="10.88671875" style="1" customWidth="1"/>
    <col min="11" max="12" width="9.6640625" style="1" customWidth="1"/>
    <col min="13" max="13" width="10.6640625" style="1" customWidth="1"/>
    <col min="14" max="14" width="11.44140625" style="1" customWidth="1"/>
    <col min="15" max="24" width="9.6640625" style="1"/>
    <col min="25" max="25" width="10" style="1" customWidth="1"/>
    <col min="26" max="26" width="8.88671875" style="1" customWidth="1"/>
    <col min="27" max="27" width="8" style="1" customWidth="1"/>
    <col min="28" max="28" width="7.6640625" style="1" customWidth="1"/>
    <col min="29" max="29" width="7.44140625" style="1" customWidth="1"/>
    <col min="30" max="31" width="9.6640625" style="1"/>
    <col min="32" max="32" width="11.5546875" style="1" bestFit="1" customWidth="1"/>
    <col min="33" max="16384" width="9.6640625" style="1"/>
  </cols>
  <sheetData>
    <row r="1" spans="1:47" ht="51" customHeight="1">
      <c r="A1" s="2" t="s">
        <v>0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414</v>
      </c>
      <c r="H1" s="2" t="s">
        <v>34</v>
      </c>
      <c r="I1" s="2" t="s">
        <v>35</v>
      </c>
      <c r="J1" s="2" t="s">
        <v>36</v>
      </c>
      <c r="K1" s="2" t="s">
        <v>37</v>
      </c>
      <c r="L1" s="2" t="s">
        <v>38</v>
      </c>
      <c r="M1" s="2" t="s">
        <v>39</v>
      </c>
      <c r="N1" s="2" t="s">
        <v>40</v>
      </c>
      <c r="O1" s="2" t="s">
        <v>41</v>
      </c>
      <c r="P1" s="2" t="s">
        <v>42</v>
      </c>
      <c r="Q1" s="2" t="s">
        <v>43</v>
      </c>
      <c r="R1" s="2" t="s">
        <v>44</v>
      </c>
      <c r="S1" s="2" t="s">
        <v>45</v>
      </c>
      <c r="T1" s="2" t="s">
        <v>46</v>
      </c>
      <c r="U1" s="2" t="s">
        <v>47</v>
      </c>
      <c r="V1" s="2" t="s">
        <v>48</v>
      </c>
      <c r="W1" s="2" t="s">
        <v>49</v>
      </c>
      <c r="X1" s="2" t="s">
        <v>50</v>
      </c>
      <c r="Y1" s="2" t="s">
        <v>0</v>
      </c>
      <c r="AK1" s="2" t="s">
        <v>58</v>
      </c>
      <c r="AL1" s="2" t="s">
        <v>59</v>
      </c>
      <c r="AM1" s="1" t="s">
        <v>60</v>
      </c>
      <c r="AN1" s="1" t="s">
        <v>61</v>
      </c>
      <c r="AO1" s="1" t="s">
        <v>62</v>
      </c>
    </row>
    <row r="2" spans="1:47" ht="18">
      <c r="A2" s="3" t="s">
        <v>1</v>
      </c>
      <c r="B2" s="4">
        <v>0.1</v>
      </c>
      <c r="C2" s="4">
        <f>(+D2/B2)</f>
        <v>1.63</v>
      </c>
      <c r="D2" s="4">
        <v>0.16300000000000001</v>
      </c>
      <c r="E2" s="8">
        <v>1.0416666666666667E-4</v>
      </c>
      <c r="F2" s="5">
        <v>10.49</v>
      </c>
      <c r="G2" s="5">
        <v>10.49</v>
      </c>
      <c r="H2" s="4">
        <f t="shared" ref="H2:H7" si="0">G2</f>
        <v>10.49</v>
      </c>
      <c r="I2" s="5">
        <v>10.49</v>
      </c>
      <c r="J2" s="4"/>
      <c r="K2" s="202">
        <f>(+I2/B2)/60</f>
        <v>1.7483333333333333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 t="s">
        <v>1</v>
      </c>
      <c r="AK2" s="6"/>
      <c r="AL2" s="7">
        <v>1.63</v>
      </c>
    </row>
    <row r="3" spans="1:47" ht="18">
      <c r="A3" s="3" t="s">
        <v>2</v>
      </c>
      <c r="B3" s="4">
        <v>0.2</v>
      </c>
      <c r="C3" s="4">
        <f>(+D3/B3)</f>
        <v>1.6099999999999999</v>
      </c>
      <c r="D3" s="4">
        <v>0.32200000000000001</v>
      </c>
      <c r="E3" s="8">
        <v>2.199074074074074E-4</v>
      </c>
      <c r="F3" s="5">
        <v>21.34</v>
      </c>
      <c r="G3" s="5">
        <v>21.34</v>
      </c>
      <c r="H3" s="4">
        <f t="shared" si="0"/>
        <v>21.34</v>
      </c>
      <c r="I3" s="5">
        <v>21.34</v>
      </c>
      <c r="J3" s="4"/>
      <c r="K3" s="4">
        <f>(+I3/B3)/60</f>
        <v>1.7783333333333331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3" t="s">
        <v>2</v>
      </c>
      <c r="AK3" s="6"/>
      <c r="AL3" s="7">
        <v>1.61</v>
      </c>
    </row>
    <row r="4" spans="1:47" ht="18">
      <c r="A4" s="3" t="s">
        <v>3</v>
      </c>
      <c r="B4" s="4">
        <v>0.4</v>
      </c>
      <c r="C4" s="4">
        <f>(+D4/B4)</f>
        <v>1.79925</v>
      </c>
      <c r="D4" s="4">
        <v>0.71970000000000001</v>
      </c>
      <c r="E4" s="8">
        <v>4.9768518518518521E-4</v>
      </c>
      <c r="F4" s="5">
        <v>47.6</v>
      </c>
      <c r="G4" s="5">
        <v>47.6</v>
      </c>
      <c r="H4" s="4">
        <f t="shared" si="0"/>
        <v>47.6</v>
      </c>
      <c r="I4" s="5">
        <v>47.6</v>
      </c>
      <c r="J4" s="4"/>
      <c r="K4" s="4">
        <f>(+I4/B4)/60</f>
        <v>1.9833333333333334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3" t="s">
        <v>3</v>
      </c>
      <c r="AK4" s="6"/>
      <c r="AL4" s="7">
        <v>1.79925</v>
      </c>
    </row>
    <row r="5" spans="1:47" ht="18">
      <c r="A5" s="3" t="s">
        <v>4</v>
      </c>
      <c r="B5" s="4">
        <v>0.8</v>
      </c>
      <c r="C5" s="4">
        <f>(+D5/B5)</f>
        <v>2.1065</v>
      </c>
      <c r="D5" s="4">
        <v>1.6852</v>
      </c>
      <c r="E5" s="8">
        <v>1.1921296296296296E-3</v>
      </c>
      <c r="F5" s="5">
        <v>113.28</v>
      </c>
      <c r="G5" s="5">
        <v>113.28</v>
      </c>
      <c r="H5" s="4">
        <f t="shared" si="0"/>
        <v>113.28</v>
      </c>
      <c r="I5" s="5">
        <v>113.28</v>
      </c>
      <c r="J5" s="4"/>
      <c r="K5" s="4">
        <f>(+I5/B5)/60</f>
        <v>2.36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3" t="s">
        <v>4</v>
      </c>
      <c r="AK5" s="6"/>
      <c r="AL5" s="7">
        <v>2.1065</v>
      </c>
    </row>
    <row r="6" spans="1:47">
      <c r="A6" s="3" t="s">
        <v>5</v>
      </c>
      <c r="B6" s="4">
        <v>1.5</v>
      </c>
      <c r="C6" s="4">
        <f>(+D6/B6)</f>
        <v>2.2888888888888888</v>
      </c>
      <c r="D6" s="4">
        <f t="shared" ref="D6:D13" si="1">E6*1440</f>
        <v>3.4333333333333331</v>
      </c>
      <c r="E6" s="8">
        <v>2.3842592592592591E-3</v>
      </c>
      <c r="F6" s="5">
        <v>230.46</v>
      </c>
      <c r="G6" s="5">
        <v>230.46</v>
      </c>
      <c r="H6" s="4">
        <f t="shared" si="0"/>
        <v>230.46</v>
      </c>
      <c r="I6" s="5">
        <v>230.46</v>
      </c>
      <c r="J6" s="4"/>
      <c r="K6" s="4">
        <f>(+I6/B6)/60</f>
        <v>2.5606666666666671</v>
      </c>
      <c r="L6" s="1">
        <f>LOG10(B6)</f>
        <v>0.17609125905568124</v>
      </c>
      <c r="M6" s="6">
        <f>LOG10(K6)</f>
        <v>0.40835304810949496</v>
      </c>
      <c r="N6" s="6"/>
      <c r="O6" s="10"/>
      <c r="P6" s="10"/>
      <c r="Q6" s="11"/>
      <c r="R6" s="11"/>
      <c r="S6" s="11"/>
      <c r="T6" s="3"/>
      <c r="U6" s="3"/>
      <c r="V6" s="3"/>
      <c r="W6" s="3"/>
      <c r="X6" s="3"/>
      <c r="Y6" s="3" t="s">
        <v>5</v>
      </c>
      <c r="AB6" s="3" t="s">
        <v>52</v>
      </c>
      <c r="AK6" s="6"/>
      <c r="AL6" s="7">
        <v>2.2888888888888888</v>
      </c>
      <c r="AT6" s="1">
        <v>0.876</v>
      </c>
      <c r="AU6" s="3" t="s">
        <v>66</v>
      </c>
    </row>
    <row r="7" spans="1:47">
      <c r="A7" s="3" t="s">
        <v>6</v>
      </c>
      <c r="B7" s="4">
        <v>1.6093440000000001</v>
      </c>
      <c r="C7" s="4">
        <f>(+D7/MILE)</f>
        <v>2.3094295978154245</v>
      </c>
      <c r="D7" s="4">
        <f t="shared" si="1"/>
        <v>3.7166666666666668</v>
      </c>
      <c r="E7" s="8">
        <v>2.5810185185185185E-3</v>
      </c>
      <c r="F7" s="5">
        <v>249.1</v>
      </c>
      <c r="G7" s="5">
        <v>249.1</v>
      </c>
      <c r="H7" s="19">
        <f t="shared" si="0"/>
        <v>249.1</v>
      </c>
      <c r="I7" s="5">
        <v>249.1</v>
      </c>
      <c r="J7" s="4"/>
      <c r="K7" s="4">
        <f>(+I7/MILE)/60</f>
        <v>2.5797260664386648</v>
      </c>
      <c r="L7" s="6">
        <f>LOG10(MILE)</f>
        <v>0.20664888520137517</v>
      </c>
      <c r="M7" s="6">
        <f>LOG10(K7)</f>
        <v>0.41157359195148774</v>
      </c>
      <c r="N7" s="6"/>
      <c r="O7" s="10"/>
      <c r="P7" s="10"/>
      <c r="Q7" s="11"/>
      <c r="R7" s="11"/>
      <c r="S7" s="11"/>
      <c r="T7" s="3"/>
      <c r="U7" s="3"/>
      <c r="V7" s="3"/>
      <c r="W7" s="3"/>
      <c r="X7" s="3"/>
      <c r="Y7" s="3" t="s">
        <v>6</v>
      </c>
      <c r="Z7" s="21">
        <f>(LOG10(+B7)-LOG10(+$B$13))/+$Z$9</f>
        <v>-1.6354553573597614</v>
      </c>
      <c r="AA7" s="22">
        <f>$V$13*(1-$Z7)++$V$18*$Z7</f>
        <v>33.852183929135393</v>
      </c>
      <c r="AB7" s="22">
        <f>$W$13*(1-$Z7)++$W$18*$Z7</f>
        <v>23.551812498481667</v>
      </c>
      <c r="AC7" s="22">
        <f>$X$13*(1-$Z7)++$X$18*$Z7</f>
        <v>62.966043302996638</v>
      </c>
      <c r="AD7" s="11">
        <f>$Q$13*(1-$Z7)++$Q$18*$Z7</f>
        <v>6.1822723213201206E-3</v>
      </c>
      <c r="AE7" s="11">
        <f>$R$13*(1-$Z7)++$R$18*$Z7</f>
        <v>2.4275906249240833E-4</v>
      </c>
      <c r="AK7" s="6"/>
      <c r="AL7" s="7">
        <v>2.3094295978154245</v>
      </c>
      <c r="AT7" s="1">
        <v>0.79700000000000004</v>
      </c>
      <c r="AU7" s="3" t="s">
        <v>67</v>
      </c>
    </row>
    <row r="8" spans="1:47">
      <c r="A8" s="3" t="s">
        <v>7</v>
      </c>
      <c r="B8" s="4">
        <v>5</v>
      </c>
      <c r="C8" s="4">
        <f>(+D8/B8)</f>
        <v>2.5233333333333334</v>
      </c>
      <c r="D8" s="4">
        <f t="shared" si="1"/>
        <v>12.616666666666667</v>
      </c>
      <c r="E8" s="8">
        <v>8.7615740740740744E-3</v>
      </c>
      <c r="F8" s="5">
        <f t="shared" ref="F8:F13" si="2">(E8)*86400</f>
        <v>757</v>
      </c>
      <c r="G8" s="8">
        <v>9.7337962962962959E-3</v>
      </c>
      <c r="H8" s="19">
        <f>G8*86400</f>
        <v>841</v>
      </c>
      <c r="I8" s="5">
        <v>841</v>
      </c>
      <c r="J8" s="4"/>
      <c r="K8" s="4">
        <f>(+I8/B8)/60</f>
        <v>2.8033333333333332</v>
      </c>
      <c r="L8" s="6"/>
      <c r="M8" s="6"/>
      <c r="N8" s="6"/>
      <c r="O8" s="10"/>
      <c r="P8" s="10"/>
      <c r="Q8" s="11"/>
      <c r="R8" s="11"/>
      <c r="S8" s="11"/>
      <c r="T8" s="3"/>
      <c r="U8" s="3"/>
      <c r="V8" s="3"/>
      <c r="W8" s="3"/>
      <c r="X8" s="3"/>
      <c r="Y8" s="3" t="s">
        <v>7</v>
      </c>
      <c r="Z8" s="4"/>
      <c r="AK8" s="6"/>
      <c r="AL8" s="7">
        <v>2.5333333333333337</v>
      </c>
      <c r="AT8" s="5">
        <f>L26-L13</f>
        <v>0.92629098688486333</v>
      </c>
    </row>
    <row r="9" spans="1:47" ht="15.75" thickBot="1">
      <c r="A9" s="3" t="s">
        <v>8</v>
      </c>
      <c r="B9" s="4">
        <v>10</v>
      </c>
      <c r="C9" s="4">
        <f>(+D9/B9)</f>
        <v>2.63</v>
      </c>
      <c r="D9" s="4">
        <f t="shared" si="1"/>
        <v>26.3</v>
      </c>
      <c r="E9" s="8">
        <v>1.8263888888888889E-2</v>
      </c>
      <c r="F9" s="5">
        <f t="shared" si="2"/>
        <v>1578</v>
      </c>
      <c r="G9" s="12">
        <v>2.0509259259259258E-2</v>
      </c>
      <c r="H9" s="9">
        <f>G9*86400</f>
        <v>1772</v>
      </c>
      <c r="I9" s="5">
        <v>1771.78</v>
      </c>
      <c r="J9" s="4"/>
      <c r="K9" s="4">
        <f>(+I9/B9)/60</f>
        <v>2.9529666666666667</v>
      </c>
      <c r="L9" s="6"/>
      <c r="M9" s="6"/>
      <c r="N9" s="6"/>
      <c r="O9" s="10"/>
      <c r="P9" s="10"/>
      <c r="Q9" s="11"/>
      <c r="R9" s="11"/>
      <c r="S9" s="11"/>
      <c r="T9" s="3"/>
      <c r="U9" s="3"/>
      <c r="V9" s="3"/>
      <c r="W9" s="3"/>
      <c r="X9" s="3"/>
      <c r="Y9" s="3" t="s">
        <v>8</v>
      </c>
      <c r="Z9" s="21">
        <f>LOG10(B18)-LOG10(B13)</f>
        <v>0.30102999566398114</v>
      </c>
      <c r="AK9" s="6"/>
      <c r="AL9" s="7">
        <v>2.6383333333333332</v>
      </c>
    </row>
    <row r="10" spans="1:47">
      <c r="A10" s="1" t="s">
        <v>9</v>
      </c>
      <c r="B10" s="4">
        <v>21.0975</v>
      </c>
      <c r="C10" s="4">
        <f>D10/B10</f>
        <v>2.7499308764861552</v>
      </c>
      <c r="D10" s="4">
        <f t="shared" si="1"/>
        <v>58.016666666666659</v>
      </c>
      <c r="E10" s="8">
        <v>4.0289351851851847E-2</v>
      </c>
      <c r="F10" s="5">
        <f t="shared" si="2"/>
        <v>3480.9999999999995</v>
      </c>
      <c r="G10" s="8">
        <v>4.5821759259259257E-2</v>
      </c>
      <c r="H10" s="9">
        <f t="shared" ref="H10:H32" si="3">G10*86400</f>
        <v>3958.9999999999995</v>
      </c>
      <c r="I10" s="5">
        <v>3900</v>
      </c>
      <c r="J10" s="4"/>
      <c r="K10" s="4">
        <f>(+I10/B10)/60</f>
        <v>3.0809337599241617</v>
      </c>
      <c r="L10" s="6"/>
      <c r="M10" s="6"/>
      <c r="N10" s="6"/>
      <c r="O10" s="10"/>
      <c r="P10" s="10"/>
      <c r="Q10" s="11"/>
      <c r="R10" s="11"/>
      <c r="S10" s="11"/>
      <c r="T10" s="3"/>
      <c r="U10" s="3"/>
      <c r="V10" s="3"/>
      <c r="W10" s="3"/>
      <c r="X10" s="3"/>
      <c r="Y10" s="3"/>
      <c r="Z10" s="21">
        <f>LOG10(B26)-LOG10(B23)</f>
        <v>0.30102999566398125</v>
      </c>
      <c r="AF10" s="1" t="s">
        <v>149</v>
      </c>
      <c r="AK10" s="13"/>
      <c r="AL10" s="14">
        <v>2.8099695856539082</v>
      </c>
    </row>
    <row r="11" spans="1:47" ht="15.75" thickBot="1">
      <c r="A11" s="1" t="s">
        <v>10</v>
      </c>
      <c r="B11" s="79">
        <v>42.195</v>
      </c>
      <c r="C11" s="79">
        <f>D11/B11</f>
        <v>2.8830430145751862</v>
      </c>
      <c r="D11" s="79">
        <f t="shared" si="1"/>
        <v>121.64999999999999</v>
      </c>
      <c r="E11" s="80">
        <v>8.4479166666666661E-2</v>
      </c>
      <c r="F11" s="81">
        <f t="shared" si="2"/>
        <v>7298.9999999999991</v>
      </c>
      <c r="G11" s="80">
        <v>9.4039351851851846E-2</v>
      </c>
      <c r="H11" s="82">
        <f t="shared" si="3"/>
        <v>8124.9999999999991</v>
      </c>
      <c r="I11" s="5">
        <v>8125</v>
      </c>
      <c r="J11" s="4"/>
      <c r="K11" s="4">
        <f>(+I11/B11)/60</f>
        <v>3.2093059999210016</v>
      </c>
      <c r="L11" s="6"/>
      <c r="M11" s="6"/>
      <c r="N11" s="6"/>
      <c r="O11" s="10"/>
      <c r="P11" s="10"/>
      <c r="Q11" s="11"/>
      <c r="R11" s="11"/>
      <c r="S11" s="11"/>
      <c r="T11" s="3"/>
      <c r="U11" s="3"/>
      <c r="V11" s="3"/>
      <c r="W11" s="3"/>
      <c r="X11" s="3"/>
      <c r="Z11" s="21">
        <f>LOG10(B23)-LOG10(B18)</f>
        <v>0.32423099555690094</v>
      </c>
      <c r="AA11" s="15" t="s">
        <v>53</v>
      </c>
      <c r="AB11" s="15" t="s">
        <v>54</v>
      </c>
      <c r="AC11" s="15" t="s">
        <v>55</v>
      </c>
      <c r="AD11" s="15" t="s">
        <v>56</v>
      </c>
      <c r="AE11" s="15" t="s">
        <v>57</v>
      </c>
      <c r="AF11" s="145" t="s">
        <v>150</v>
      </c>
      <c r="AG11" s="145" t="s">
        <v>151</v>
      </c>
      <c r="AK11" s="6"/>
      <c r="AL11" s="7">
        <v>2.9604613500809736</v>
      </c>
      <c r="AS11" s="1" t="s">
        <v>64</v>
      </c>
      <c r="AT11" s="1" t="s">
        <v>65</v>
      </c>
      <c r="AU11" s="3" t="s">
        <v>68</v>
      </c>
    </row>
    <row r="12" spans="1:47" ht="15.75">
      <c r="A12" s="1" t="s">
        <v>6</v>
      </c>
      <c r="B12" s="4">
        <v>1.6093440000000001</v>
      </c>
      <c r="C12" s="4">
        <f>D12/B12</f>
        <v>2.4026352766510244</v>
      </c>
      <c r="D12" s="4">
        <f t="shared" si="1"/>
        <v>3.8666666666666663</v>
      </c>
      <c r="E12" s="8">
        <v>2.685185185185185E-3</v>
      </c>
      <c r="F12" s="9">
        <f t="shared" si="2"/>
        <v>231.99999999999997</v>
      </c>
      <c r="G12" s="8">
        <v>2.685185185185185E-3</v>
      </c>
      <c r="H12" s="9">
        <f t="shared" si="3"/>
        <v>231.99999999999997</v>
      </c>
      <c r="I12" s="16"/>
      <c r="J12" s="4">
        <f t="shared" ref="J12:J32" si="4">1440*(+G12/B12)</f>
        <v>2.4026352766510244</v>
      </c>
      <c r="K12" s="16"/>
      <c r="L12" s="6"/>
      <c r="M12" s="6"/>
      <c r="N12" s="6"/>
      <c r="O12" s="10"/>
      <c r="P12" s="10"/>
      <c r="Q12" s="11"/>
      <c r="R12" s="11"/>
      <c r="S12" s="11"/>
      <c r="T12" s="3"/>
      <c r="U12" s="3"/>
      <c r="V12" s="3"/>
      <c r="W12" s="3"/>
      <c r="X12" s="3"/>
      <c r="Y12" s="31" t="s">
        <v>0</v>
      </c>
      <c r="Z12" s="317" t="s">
        <v>1395</v>
      </c>
      <c r="AA12" s="15"/>
      <c r="AB12" s="15"/>
      <c r="AC12" s="15"/>
      <c r="AD12" s="15"/>
      <c r="AE12" s="15"/>
      <c r="AF12" s="145"/>
      <c r="AG12" s="145"/>
      <c r="AK12" s="6"/>
      <c r="AL12" s="7"/>
      <c r="AU12" s="3"/>
    </row>
    <row r="13" spans="1:47" ht="15.75" thickBot="1">
      <c r="A13" s="3" t="s">
        <v>11</v>
      </c>
      <c r="B13" s="4">
        <v>5</v>
      </c>
      <c r="C13" s="4">
        <f>D13/B13</f>
        <v>2.5633333333333335</v>
      </c>
      <c r="D13" s="4">
        <f t="shared" si="1"/>
        <v>12.816666666666666</v>
      </c>
      <c r="E13" s="8">
        <v>8.9004629629629625E-3</v>
      </c>
      <c r="F13" s="9">
        <f t="shared" si="2"/>
        <v>769</v>
      </c>
      <c r="G13" s="8">
        <v>8.9004629629629625E-3</v>
      </c>
      <c r="H13" s="9">
        <f t="shared" si="3"/>
        <v>769</v>
      </c>
      <c r="I13" s="4"/>
      <c r="J13" s="4">
        <f t="shared" si="4"/>
        <v>2.563333333333333</v>
      </c>
      <c r="K13" s="4"/>
      <c r="L13" s="6">
        <f t="shared" ref="L13:L26" si="5">LOG10(B13)</f>
        <v>0.69897000433601886</v>
      </c>
      <c r="M13" s="6">
        <f>LOG10(J13)</f>
        <v>0.40880508508176855</v>
      </c>
      <c r="N13" s="6">
        <f>10^(+M$13+(L13-L$13)*(M$26-M$13)/(L$26-L$13))</f>
        <v>2.5633333333333335</v>
      </c>
      <c r="O13" s="10">
        <f>'5K'!F4</f>
        <v>8.8999999999999999E-3</v>
      </c>
      <c r="P13" s="10">
        <f>'5K'!F5</f>
        <v>2.3999999999999998E-3</v>
      </c>
      <c r="Q13" s="11">
        <f>'5K'!G4</f>
        <v>7.0000000000000001E-3</v>
      </c>
      <c r="R13" s="11">
        <f>'5K'!G5</f>
        <v>2.9999999999999997E-4</v>
      </c>
      <c r="S13" s="18">
        <f>'5K'!H$3</f>
        <v>18.5</v>
      </c>
      <c r="T13" s="18">
        <f>'5K'!H4</f>
        <v>18.100000000000001</v>
      </c>
      <c r="U13" s="18">
        <f>'5K'!H5</f>
        <v>16.7</v>
      </c>
      <c r="V13" s="18">
        <f>'5K'!I3</f>
        <v>29.6</v>
      </c>
      <c r="W13" s="18">
        <f>'5K'!I4</f>
        <v>35</v>
      </c>
      <c r="X13" s="18">
        <f>'5K'!I5</f>
        <v>67.3</v>
      </c>
      <c r="Y13" s="3" t="s">
        <v>11</v>
      </c>
      <c r="Z13" s="11">
        <f>(LOG10(+B13)-LOG10(+$B$13))/+$Z$9</f>
        <v>0</v>
      </c>
      <c r="AA13" s="22">
        <f>$V$13*(1-$Z13)++$V$18*$Z13</f>
        <v>29.6</v>
      </c>
      <c r="AB13" s="22">
        <f>$W$13*(1-$Z13)++$W$18*$Z13</f>
        <v>35</v>
      </c>
      <c r="AC13" s="22">
        <f>$X$13*(1-$Z13)++$X$18*$Z13</f>
        <v>67.3</v>
      </c>
      <c r="AD13" s="11">
        <f>$Q$13*(1-$Z13)++$Q$18*$Z13</f>
        <v>7.0000000000000001E-3</v>
      </c>
      <c r="AE13" s="11">
        <f>$R$13*(1-$Z13)++$R$18*$Z13</f>
        <v>2.9999999999999997E-4</v>
      </c>
      <c r="AF13" s="19">
        <f>+F13</f>
        <v>769</v>
      </c>
      <c r="AG13" s="25">
        <f>AF13/60</f>
        <v>12.816666666666666</v>
      </c>
      <c r="AK13" s="6">
        <v>2.58</v>
      </c>
      <c r="AL13" s="7">
        <v>2.6</v>
      </c>
      <c r="AM13" s="4">
        <f t="shared" ref="AM13:AM32" si="6">2.35*(B13^0.0631)</f>
        <v>2.6011947544716691</v>
      </c>
      <c r="AN13" s="4">
        <f t="shared" ref="AN13:AN32" si="7">2.78333*(B13^0.0425)</f>
        <v>2.9803750963887921</v>
      </c>
      <c r="AO13" s="9">
        <f>(2783/D13)*(B13^1.0425)</f>
        <v>1162.557243482898</v>
      </c>
      <c r="AP13" s="19">
        <v>5</v>
      </c>
      <c r="AS13" s="3" t="s">
        <v>11</v>
      </c>
      <c r="AT13" s="6">
        <f t="shared" ref="AT13:AT26" si="8">(+L13-L$13)/AT$8</f>
        <v>0</v>
      </c>
      <c r="AU13" s="6">
        <f t="shared" ref="AU13:AU26" si="9">AT$6*(1-AT13)+AT$7*AT13</f>
        <v>0.876</v>
      </c>
    </row>
    <row r="14" spans="1:47">
      <c r="A14" s="3" t="s">
        <v>12</v>
      </c>
      <c r="B14" s="4">
        <v>6</v>
      </c>
      <c r="C14" s="4"/>
      <c r="D14" s="4"/>
      <c r="E14" s="8"/>
      <c r="F14" s="9"/>
      <c r="G14" s="8">
        <v>1.0763888888888889E-2</v>
      </c>
      <c r="H14" s="9">
        <f t="shared" si="3"/>
        <v>930</v>
      </c>
      <c r="I14" s="4"/>
      <c r="J14" s="4">
        <f t="shared" si="4"/>
        <v>2.5833333333333335</v>
      </c>
      <c r="K14" s="4"/>
      <c r="L14" s="6">
        <f t="shared" si="5"/>
        <v>0.77815125038364363</v>
      </c>
      <c r="M14" s="6"/>
      <c r="N14" s="6"/>
      <c r="O14" s="10">
        <f>'6K'!F4</f>
        <v>1.89E-2</v>
      </c>
      <c r="P14" s="10">
        <f>'6K'!F5</f>
        <v>9.1E-4</v>
      </c>
      <c r="Q14" s="11">
        <f>'6K'!G4</f>
        <v>1.0500000000000001E-2</v>
      </c>
      <c r="R14" s="11">
        <f>'6K'!G5</f>
        <v>5.1000000000000004E-4</v>
      </c>
      <c r="S14" s="18">
        <f>'6K'!H$3</f>
        <v>22</v>
      </c>
      <c r="T14" s="18">
        <f>'6K'!H4</f>
        <v>17</v>
      </c>
      <c r="U14" s="18">
        <f>'6K'!H5</f>
        <v>15</v>
      </c>
      <c r="V14" s="18">
        <f>'6K'!I3</f>
        <v>24</v>
      </c>
      <c r="W14" s="18">
        <f>'6K'!I4</f>
        <v>56.8</v>
      </c>
      <c r="X14" s="18">
        <f>'6K'!I5</f>
        <v>76.7</v>
      </c>
      <c r="Y14" s="3" t="s">
        <v>12</v>
      </c>
      <c r="Z14" s="11">
        <f>(LOG10(+B14)-LOG10(+$B$13))/+$Z$9</f>
        <v>0.26303440583379373</v>
      </c>
      <c r="AA14" s="22">
        <f>$V$13*(1-$Z14)++$V$18*$Z14</f>
        <v>28.91611054483214</v>
      </c>
      <c r="AB14" s="22">
        <f>$W$13*(1-$Z14)++$W$18*$Z14</f>
        <v>36.841240840836562</v>
      </c>
      <c r="AC14" s="22">
        <f>$X$13*(1-$Z14)++$X$18*$Z14</f>
        <v>67.997041175459557</v>
      </c>
      <c r="AD14" s="11">
        <f>$Q$13*(1-$Z14)++$Q$18*$Z14</f>
        <v>7.1315172029168972E-3</v>
      </c>
      <c r="AE14" s="11">
        <f>$R$13*(1-$Z14)++$R$18*$Z14</f>
        <v>3.0920620420418277E-4</v>
      </c>
      <c r="AF14" s="144">
        <f>$F$13*(1-$Z14)++$F$18*$Z14</f>
        <v>983.37304075454188</v>
      </c>
      <c r="AG14" s="25">
        <f t="shared" ref="AG14:AG26" si="10">AF14/60</f>
        <v>16.389550679242365</v>
      </c>
      <c r="AK14" s="6">
        <v>2.6111111111111112</v>
      </c>
      <c r="AL14" s="7"/>
      <c r="AM14" s="4">
        <f t="shared" si="6"/>
        <v>2.6312929744937663</v>
      </c>
      <c r="AN14" s="4">
        <f t="shared" si="7"/>
        <v>3.0035587331855651</v>
      </c>
      <c r="AO14" s="9"/>
      <c r="AP14" s="20">
        <v>6</v>
      </c>
      <c r="AS14" s="3" t="s">
        <v>12</v>
      </c>
      <c r="AT14" s="6">
        <f t="shared" si="8"/>
        <v>8.5482043082285644E-2</v>
      </c>
      <c r="AU14" s="6">
        <f t="shared" si="9"/>
        <v>0.86924691859649938</v>
      </c>
    </row>
    <row r="15" spans="1:47">
      <c r="A15" s="3" t="s">
        <v>13</v>
      </c>
      <c r="B15" s="4">
        <f>MILE*4</f>
        <v>6.4373760000000004</v>
      </c>
      <c r="C15" s="4"/>
      <c r="D15" s="4"/>
      <c r="E15" s="8"/>
      <c r="F15" s="9"/>
      <c r="G15" s="8">
        <v>1.1574074074074073E-2</v>
      </c>
      <c r="H15" s="9">
        <f t="shared" si="3"/>
        <v>1000</v>
      </c>
      <c r="I15" s="4"/>
      <c r="J15" s="4">
        <f t="shared" si="4"/>
        <v>2.5890466343222243</v>
      </c>
      <c r="K15" s="4"/>
      <c r="L15" s="6">
        <f t="shared" si="5"/>
        <v>0.80870887652933754</v>
      </c>
      <c r="M15" s="6">
        <f>LOG10(J15)</f>
        <v>0.41313987308701872</v>
      </c>
      <c r="N15" s="6">
        <f>10^(+M$13+(L15-L$13)*(M$26-M$13)/(L$26-L$13))</f>
        <v>2.596566452821941</v>
      </c>
      <c r="O15" s="10">
        <f>'4MI'!F4</f>
        <v>1.89E-2</v>
      </c>
      <c r="P15" s="10">
        <f>'4MI'!F5</f>
        <v>9.1E-4</v>
      </c>
      <c r="Q15" s="11">
        <f>'4MI'!G4</f>
        <v>1.0500000000000001E-2</v>
      </c>
      <c r="R15" s="11">
        <f>'4MI'!G5</f>
        <v>5.1000000000000004E-4</v>
      </c>
      <c r="S15" s="18">
        <f>'4MI'!H$3</f>
        <v>22</v>
      </c>
      <c r="T15" s="18">
        <f>'4MI'!H4</f>
        <v>17</v>
      </c>
      <c r="U15" s="18">
        <f>'4MI'!H5</f>
        <v>15</v>
      </c>
      <c r="V15" s="18">
        <f>'4MI'!I3</f>
        <v>24</v>
      </c>
      <c r="W15" s="18">
        <f>'4MI'!I4</f>
        <v>56.8</v>
      </c>
      <c r="X15" s="18">
        <f>'4MI'!I5</f>
        <v>76.7</v>
      </c>
      <c r="Y15" s="3" t="s">
        <v>13</v>
      </c>
      <c r="Z15" s="11">
        <f>(LOG10(+B15)-LOG10(+$B$13))/+$Z$9</f>
        <v>0.36454464264023895</v>
      </c>
      <c r="AA15" s="22">
        <f>$V$13*(1-$Z15)++$V$18*$Z15</f>
        <v>28.652183929135379</v>
      </c>
      <c r="AB15" s="22">
        <f>$W$13*(1-$Z15)++$W$18*$Z15</f>
        <v>37.551812498481667</v>
      </c>
      <c r="AC15" s="22">
        <f>$X$13*(1-$Z15)++$X$18*$Z15</f>
        <v>68.266043302996621</v>
      </c>
      <c r="AD15" s="11">
        <f>$Q$13*(1-$Z15)++$Q$18*$Z15</f>
        <v>7.1822723213201189E-3</v>
      </c>
      <c r="AE15" s="11">
        <f>$R$13*(1-$Z15)++$R$18*$Z15</f>
        <v>3.1275906249240829E-4</v>
      </c>
      <c r="AF15" s="144">
        <f>$F$13*(1-$Z15)++$F$18*$Z15</f>
        <v>1066.1038837517947</v>
      </c>
      <c r="AG15" s="25">
        <f t="shared" si="10"/>
        <v>17.768398062529911</v>
      </c>
      <c r="AK15" s="6">
        <v>2.6175261472997695</v>
      </c>
      <c r="AL15" s="7"/>
      <c r="AM15" s="4">
        <f t="shared" si="6"/>
        <v>2.6430013951486009</v>
      </c>
      <c r="AN15" s="4">
        <f t="shared" si="7"/>
        <v>3.0125539134726247</v>
      </c>
      <c r="AO15" s="9"/>
      <c r="AP15" s="19">
        <f>AP7*4</f>
        <v>0</v>
      </c>
      <c r="AS15" s="3" t="s">
        <v>13</v>
      </c>
      <c r="AT15" s="6">
        <f t="shared" si="8"/>
        <v>0.11847127279341547</v>
      </c>
      <c r="AU15" s="6">
        <f t="shared" si="9"/>
        <v>0.86664076944932023</v>
      </c>
    </row>
    <row r="16" spans="1:47">
      <c r="A16" s="3" t="s">
        <v>14</v>
      </c>
      <c r="B16" s="4">
        <v>8</v>
      </c>
      <c r="C16" s="4">
        <f>D16/B16</f>
        <v>2.7541666666666669</v>
      </c>
      <c r="D16" s="4">
        <f>E16*1440</f>
        <v>22.033333333333335</v>
      </c>
      <c r="E16" s="8">
        <v>1.5300925925925926E-2</v>
      </c>
      <c r="F16" s="9">
        <f>(E16)*86400</f>
        <v>1322</v>
      </c>
      <c r="G16" s="8">
        <v>1.4525462962962962E-2</v>
      </c>
      <c r="H16" s="9">
        <f t="shared" si="3"/>
        <v>1255</v>
      </c>
      <c r="I16" s="4"/>
      <c r="J16" s="4">
        <f t="shared" si="4"/>
        <v>2.614583333333333</v>
      </c>
      <c r="K16" s="4"/>
      <c r="L16" s="6">
        <f t="shared" si="5"/>
        <v>0.90308998699194354</v>
      </c>
      <c r="M16" s="6">
        <f>LOG10(J16)</f>
        <v>0.41740248844146965</v>
      </c>
      <c r="N16" s="6">
        <f>10^(+M$13+(L16-L$13)*(M$26-M$13)/(L$26-L$13))</f>
        <v>2.6254930810671082</v>
      </c>
      <c r="O16" s="10">
        <f>'8K'!F4</f>
        <v>1.89E-2</v>
      </c>
      <c r="P16" s="10">
        <f>'8K'!F5</f>
        <v>9.1E-4</v>
      </c>
      <c r="Q16" s="11">
        <f>'8K'!G4</f>
        <v>1.0500000000000001E-2</v>
      </c>
      <c r="R16" s="11">
        <f>'8K'!G5</f>
        <v>5.1000000000000004E-4</v>
      </c>
      <c r="S16" s="18">
        <f>'8K'!H3</f>
        <v>22</v>
      </c>
      <c r="T16" s="18">
        <f>'8K'!H4</f>
        <v>17</v>
      </c>
      <c r="U16" s="18">
        <f>'8K'!H5</f>
        <v>15</v>
      </c>
      <c r="V16" s="18">
        <f>'8K'!I3</f>
        <v>24</v>
      </c>
      <c r="W16" s="18">
        <f>'8K'!I4</f>
        <v>56.8</v>
      </c>
      <c r="X16" s="18">
        <f>'8K'!I5</f>
        <v>76.7</v>
      </c>
      <c r="Y16" s="3" t="s">
        <v>14</v>
      </c>
      <c r="Z16" s="11">
        <f>(LOG10(+B16)-LOG10(+$B$13))/+$Z$9</f>
        <v>0.67807190511263749</v>
      </c>
      <c r="AA16" s="22">
        <f>$V$13*(1-$Z16)++$V$18*$Z16</f>
        <v>27.837013046707142</v>
      </c>
      <c r="AB16" s="22">
        <f>$W$13*(1-$Z16)++$W$18*$Z16</f>
        <v>39.746503335788461</v>
      </c>
      <c r="AC16" s="22">
        <f>$X$13*(1-$Z16)++$X$18*$Z16</f>
        <v>69.096890548548487</v>
      </c>
      <c r="AD16" s="11">
        <f>$Q$13*(1-$Z16)++$Q$18*$Z16</f>
        <v>7.3390359525563192E-3</v>
      </c>
      <c r="AE16" s="11">
        <f>$R$13*(1-$Z16)++$R$18*$Z16</f>
        <v>3.2373251667894233E-4</v>
      </c>
      <c r="AF16" s="144">
        <f>$F$13*(1-$Z16)++$F$18*$Z16</f>
        <v>1321.6286026667995</v>
      </c>
      <c r="AG16" s="25">
        <f t="shared" si="10"/>
        <v>22.027143377779989</v>
      </c>
      <c r="AK16" s="6">
        <v>2.65</v>
      </c>
      <c r="AL16" s="7">
        <v>2.7562500000000001</v>
      </c>
      <c r="AM16" s="4">
        <f t="shared" si="6"/>
        <v>2.6794943180815198</v>
      </c>
      <c r="AN16" s="4">
        <f t="shared" si="7"/>
        <v>3.0405071224784468</v>
      </c>
      <c r="AO16" s="9">
        <f>(2783/D16)*(B16^1.0425)</f>
        <v>1103.8353878788851</v>
      </c>
      <c r="AP16" s="19">
        <v>8</v>
      </c>
      <c r="AS16" s="3" t="s">
        <v>14</v>
      </c>
      <c r="AT16" s="6">
        <f t="shared" si="8"/>
        <v>0.22036269978442152</v>
      </c>
      <c r="AU16" s="6">
        <f t="shared" si="9"/>
        <v>0.85859134671703075</v>
      </c>
    </row>
    <row r="17" spans="1:47">
      <c r="A17" s="3" t="s">
        <v>15</v>
      </c>
      <c r="B17" s="4">
        <f>MILE*5</f>
        <v>8.0467200000000005</v>
      </c>
      <c r="C17" s="4">
        <f>D17/B17</f>
        <v>0</v>
      </c>
      <c r="D17" s="4">
        <f>E17*1440</f>
        <v>0</v>
      </c>
      <c r="E17" s="8"/>
      <c r="F17" s="9">
        <f>(E17)*86400</f>
        <v>0</v>
      </c>
      <c r="G17" s="8">
        <v>1.462962962962963E-2</v>
      </c>
      <c r="H17" s="9">
        <f t="shared" si="3"/>
        <v>1264</v>
      </c>
      <c r="I17" s="4"/>
      <c r="J17" s="4">
        <f t="shared" si="4"/>
        <v>2.6180439566266336</v>
      </c>
      <c r="K17" s="4"/>
      <c r="L17" s="6">
        <f t="shared" si="5"/>
        <v>0.905618889537394</v>
      </c>
      <c r="M17" s="6"/>
      <c r="N17" s="6"/>
      <c r="O17" s="10">
        <v>1.6E-2</v>
      </c>
      <c r="P17" s="10">
        <f>'5MI'!F5</f>
        <v>9.1E-4</v>
      </c>
      <c r="Q17" s="11">
        <v>1.09E-2</v>
      </c>
      <c r="R17" s="11">
        <v>5.9999999999999995E-4</v>
      </c>
      <c r="S17" s="18">
        <f>'5MI'!H3</f>
        <v>22</v>
      </c>
      <c r="T17" s="18">
        <v>17</v>
      </c>
      <c r="U17" s="18">
        <v>15</v>
      </c>
      <c r="V17" s="18">
        <v>29</v>
      </c>
      <c r="W17" s="18">
        <v>48</v>
      </c>
      <c r="X17" s="18">
        <v>79</v>
      </c>
      <c r="Y17" s="3" t="s">
        <v>51</v>
      </c>
      <c r="Z17" s="11">
        <f>(LOG10(+B17)-LOG10(+$B$13))/+$Z$9</f>
        <v>0.68647273752760152</v>
      </c>
      <c r="AA17" s="22">
        <f>$V$13*(1-$Z17)++$V$18*$Z17</f>
        <v>27.815170882428234</v>
      </c>
      <c r="AB17" s="22">
        <f>$W$13*(1-$Z17)++$W$18*$Z17</f>
        <v>39.805309162693213</v>
      </c>
      <c r="AC17" s="22">
        <f>$X$13*(1-$Z17)++$X$18*$Z17</f>
        <v>69.119152754448152</v>
      </c>
      <c r="AD17" s="11">
        <f>$Q$13*(1-$Z17)++$Q$18*$Z17</f>
        <v>7.3432363687638003E-3</v>
      </c>
      <c r="AE17" s="11">
        <f>$R$13*(1-$Z17)++$R$18*$Z17</f>
        <v>3.2402654581346608E-4</v>
      </c>
      <c r="AF17" s="144">
        <f>$F$13*(1-$Z17)++$F$18*$Z17</f>
        <v>1328.4752810849952</v>
      </c>
      <c r="AG17" s="25">
        <f t="shared" si="10"/>
        <v>22.141254684749921</v>
      </c>
      <c r="AK17" s="6">
        <v>2.6511837535459581</v>
      </c>
      <c r="AL17" s="7"/>
      <c r="AM17" s="4">
        <f t="shared" si="6"/>
        <v>2.6804790313079039</v>
      </c>
      <c r="AN17" s="4">
        <f t="shared" si="7"/>
        <v>3.0412596744150644</v>
      </c>
      <c r="AO17" s="9"/>
      <c r="AP17" s="19">
        <f>AP7*5</f>
        <v>0</v>
      </c>
      <c r="AS17" s="3" t="s">
        <v>15</v>
      </c>
      <c r="AT17" s="6">
        <f t="shared" si="8"/>
        <v>0.2230928381332305</v>
      </c>
      <c r="AU17" s="6">
        <f t="shared" si="9"/>
        <v>0.85837566578747482</v>
      </c>
    </row>
    <row r="18" spans="1:47">
      <c r="A18" s="3" t="s">
        <v>16</v>
      </c>
      <c r="B18" s="4">
        <v>10</v>
      </c>
      <c r="C18" s="4">
        <f t="shared" ref="C18:C32" si="11">D18/B18</f>
        <v>2.6399999999999997</v>
      </c>
      <c r="D18" s="4">
        <f t="shared" ref="D18:D32" si="12">E18*1440</f>
        <v>26.4</v>
      </c>
      <c r="E18" s="318">
        <v>1.8333333333333333E-2</v>
      </c>
      <c r="F18" s="9">
        <f t="shared" ref="F18:F32" si="13">(E18)*86400</f>
        <v>1584</v>
      </c>
      <c r="G18" s="8">
        <v>1.8333333333333333E-2</v>
      </c>
      <c r="H18" s="9">
        <f t="shared" si="3"/>
        <v>1584</v>
      </c>
      <c r="I18" s="4"/>
      <c r="J18" s="4">
        <f t="shared" si="4"/>
        <v>2.64</v>
      </c>
      <c r="K18" s="4"/>
      <c r="L18" s="6">
        <f t="shared" si="5"/>
        <v>1</v>
      </c>
      <c r="M18" s="6">
        <f t="shared" ref="M18:M26" si="14">LOG10(J18)</f>
        <v>0.42160392686983106</v>
      </c>
      <c r="N18" s="6">
        <f t="shared" ref="N18:N26" si="15">10^(+M$13+(L18-L$13)*(M$26-M$13)/(L$26-L$13))</f>
        <v>2.6555301395716415</v>
      </c>
      <c r="O18" s="10">
        <f>'10K'!F4</f>
        <v>6.4999999999999997E-3</v>
      </c>
      <c r="P18" s="10">
        <f>'10K'!F5</f>
        <v>2E-3</v>
      </c>
      <c r="Q18" s="11">
        <f>'10K'!G4</f>
        <v>7.4999999999999997E-3</v>
      </c>
      <c r="R18" s="11">
        <f>'10K'!G5</f>
        <v>3.3500000000000001E-4</v>
      </c>
      <c r="S18" s="18">
        <f>'10K'!H3</f>
        <v>21</v>
      </c>
      <c r="T18" s="18">
        <f>'10K'!H4</f>
        <v>20</v>
      </c>
      <c r="U18" s="18">
        <f>'10K'!H5</f>
        <v>19</v>
      </c>
      <c r="V18" s="18">
        <f>'10K'!I3</f>
        <v>27</v>
      </c>
      <c r="W18" s="18">
        <f>'10K'!I4</f>
        <v>42</v>
      </c>
      <c r="X18" s="18">
        <f>'10K'!I5</f>
        <v>69.95</v>
      </c>
      <c r="Y18" s="3" t="s">
        <v>16</v>
      </c>
      <c r="Z18" s="11">
        <f>(LOG10(+B18)-LOG10(+$B$18))/+$Z$11</f>
        <v>0</v>
      </c>
      <c r="AA18" s="22">
        <f>$V$18*(1-$Z18)++$V$23*$Z18</f>
        <v>27</v>
      </c>
      <c r="AB18" s="22">
        <f>$W$18*(1-$Z18)++$W$23*$Z18</f>
        <v>42</v>
      </c>
      <c r="AC18" s="22">
        <f>$X$18*(1-$Z18)++$X$23*$Z18</f>
        <v>69.95</v>
      </c>
      <c r="AD18" s="11">
        <f>$Q$18*(1-$Z18)++$Q$23*$Z18</f>
        <v>7.4999999999999997E-3</v>
      </c>
      <c r="AE18" s="11">
        <f>$R$18*(1-$Z18)++$R$23*$Z18</f>
        <v>3.3500000000000001E-4</v>
      </c>
      <c r="AF18" s="19">
        <f>+F18</f>
        <v>1584</v>
      </c>
      <c r="AG18" s="25">
        <f t="shared" si="10"/>
        <v>26.4</v>
      </c>
      <c r="AK18" s="6">
        <v>2.6850000000000001</v>
      </c>
      <c r="AL18" s="7">
        <v>2.7183333333333333</v>
      </c>
      <c r="AM18" s="4">
        <f t="shared" si="6"/>
        <v>2.7174894221810897</v>
      </c>
      <c r="AN18" s="4">
        <f t="shared" si="7"/>
        <v>3.0694792415204732</v>
      </c>
      <c r="AO18" s="9">
        <f t="shared" ref="AO18:AO32" si="16">(2783/D18)*(B18^1.0425)</f>
        <v>1162.5436798497365</v>
      </c>
      <c r="AP18" s="19">
        <v>10</v>
      </c>
      <c r="AQ18" s="3" t="s">
        <v>63</v>
      </c>
      <c r="AS18" s="3" t="s">
        <v>16</v>
      </c>
      <c r="AT18" s="6">
        <f t="shared" si="8"/>
        <v>0.32498426512423656</v>
      </c>
      <c r="AU18" s="6">
        <f t="shared" si="9"/>
        <v>0.85032624305518545</v>
      </c>
    </row>
    <row r="19" spans="1:47">
      <c r="A19" s="3" t="s">
        <v>17</v>
      </c>
      <c r="B19" s="4">
        <v>12</v>
      </c>
      <c r="C19" s="4">
        <f t="shared" si="11"/>
        <v>2.8138888888888887</v>
      </c>
      <c r="D19" s="4">
        <f t="shared" si="12"/>
        <v>33.766666666666666</v>
      </c>
      <c r="E19" s="8">
        <v>2.3449074074074074E-2</v>
      </c>
      <c r="F19" s="9">
        <f t="shared" si="13"/>
        <v>2026</v>
      </c>
      <c r="G19" s="8">
        <v>2.2164351851851852E-2</v>
      </c>
      <c r="H19" s="9">
        <f t="shared" si="3"/>
        <v>1915</v>
      </c>
      <c r="I19" s="4"/>
      <c r="J19" s="4">
        <f t="shared" si="4"/>
        <v>2.6597222222222223</v>
      </c>
      <c r="K19" s="4"/>
      <c r="L19" s="6">
        <f t="shared" si="5"/>
        <v>1.0791812460476249</v>
      </c>
      <c r="M19" s="6">
        <f t="shared" si="14"/>
        <v>0.42483628187337308</v>
      </c>
      <c r="N19" s="6">
        <f t="shared" si="15"/>
        <v>2.6803271179352164</v>
      </c>
      <c r="O19" s="10">
        <f>'12K'!F4</f>
        <v>1.89E-2</v>
      </c>
      <c r="P19" s="10">
        <f>'12K'!F5</f>
        <v>9.1E-4</v>
      </c>
      <c r="Q19" s="11">
        <f>'12K'!G4</f>
        <v>1.0500000000000001E-2</v>
      </c>
      <c r="R19" s="11">
        <f>'12K'!G5</f>
        <v>5.1000000000000004E-4</v>
      </c>
      <c r="S19" s="18">
        <f>'12K'!H3</f>
        <v>22</v>
      </c>
      <c r="T19" s="18">
        <f>'12K'!H4</f>
        <v>17</v>
      </c>
      <c r="U19" s="18">
        <f>'12K'!H5</f>
        <v>15</v>
      </c>
      <c r="V19" s="18">
        <f>'12K'!I3</f>
        <v>24</v>
      </c>
      <c r="W19" s="18">
        <f>'12K'!I4</f>
        <v>56.8</v>
      </c>
      <c r="X19" s="18">
        <f>'12K'!I5</f>
        <v>76.7</v>
      </c>
      <c r="Y19" s="3" t="s">
        <v>17</v>
      </c>
      <c r="Z19" s="11">
        <f>(LOG10(+B19)-LOG10(+$B$18))/+$Z$11</f>
        <v>0.24421245079182743</v>
      </c>
      <c r="AA19" s="22">
        <f>$V$18*(1-$Z19)++$V$23*$Z19</f>
        <v>28.050113538404858</v>
      </c>
      <c r="AB19" s="22">
        <f>$W$18*(1-$Z19)++$W$23*$Z19</f>
        <v>41.389468873020434</v>
      </c>
      <c r="AC19" s="22">
        <f>$X$18*(1-$Z19)++$X$23*$Z19</f>
        <v>69.547049456193491</v>
      </c>
      <c r="AD19" s="11">
        <f>$Q$18*(1-$Z19)++$Q$23*$Z19</f>
        <v>7.5683794862217114E-3</v>
      </c>
      <c r="AE19" s="11">
        <f>$R$18*(1-$Z19)++$R$23*$Z19</f>
        <v>3.3646527470475101E-4</v>
      </c>
      <c r="AF19" s="144">
        <f>$F$18*(1-$Z19)++$F$23*$Z19</f>
        <v>2039.9446456283417</v>
      </c>
      <c r="AG19" s="25">
        <f t="shared" si="10"/>
        <v>33.999077427139028</v>
      </c>
      <c r="AK19" s="6">
        <v>2.7097222222222221</v>
      </c>
      <c r="AL19" s="7">
        <v>2.7930555555555556</v>
      </c>
      <c r="AM19" s="4">
        <f t="shared" si="6"/>
        <v>2.7489332786612395</v>
      </c>
      <c r="AN19" s="4">
        <f t="shared" si="7"/>
        <v>3.0933559985021257</v>
      </c>
      <c r="AO19" s="9">
        <f t="shared" si="16"/>
        <v>1099.1866996233634</v>
      </c>
      <c r="AP19" s="19">
        <v>12</v>
      </c>
      <c r="AS19" s="3" t="s">
        <v>17</v>
      </c>
      <c r="AT19" s="6">
        <f t="shared" si="8"/>
        <v>0.4104663082065223</v>
      </c>
      <c r="AU19" s="6">
        <f t="shared" si="9"/>
        <v>0.84357316165168472</v>
      </c>
    </row>
    <row r="20" spans="1:47">
      <c r="A20" s="3" t="s">
        <v>18</v>
      </c>
      <c r="B20" s="4">
        <v>15</v>
      </c>
      <c r="C20" s="4">
        <f t="shared" si="11"/>
        <v>2.7388888888888889</v>
      </c>
      <c r="D20" s="4">
        <f t="shared" si="12"/>
        <v>41.083333333333336</v>
      </c>
      <c r="E20" s="8">
        <v>2.8530092592592593E-2</v>
      </c>
      <c r="F20" s="9">
        <f t="shared" si="13"/>
        <v>2465</v>
      </c>
      <c r="G20" s="8">
        <v>2.795138888888889E-2</v>
      </c>
      <c r="H20" s="9">
        <f t="shared" si="3"/>
        <v>2415</v>
      </c>
      <c r="I20" s="4"/>
      <c r="J20" s="4">
        <f t="shared" si="4"/>
        <v>2.6833333333333331</v>
      </c>
      <c r="K20" s="4"/>
      <c r="L20" s="6">
        <f t="shared" si="5"/>
        <v>1.1760912590556813</v>
      </c>
      <c r="M20" s="6">
        <f t="shared" si="14"/>
        <v>0.42867462564820602</v>
      </c>
      <c r="N20" s="6">
        <f t="shared" si="15"/>
        <v>2.7109915074296214</v>
      </c>
      <c r="O20" s="10">
        <f>'15K'!F4</f>
        <v>1.89E-2</v>
      </c>
      <c r="P20" s="10">
        <f>'15K'!F5</f>
        <v>9.1E-4</v>
      </c>
      <c r="Q20" s="11">
        <f>'15K'!G4</f>
        <v>1.0500000000000001E-2</v>
      </c>
      <c r="R20" s="11">
        <f>'15K'!G5</f>
        <v>5.1000000000000004E-4</v>
      </c>
      <c r="S20" s="18">
        <f>'15K'!H3</f>
        <v>22</v>
      </c>
      <c r="T20" s="18">
        <f>'15K'!H4</f>
        <v>17</v>
      </c>
      <c r="U20" s="18">
        <f>'15K'!H5</f>
        <v>15</v>
      </c>
      <c r="V20" s="18">
        <f>'15K'!I3</f>
        <v>24</v>
      </c>
      <c r="W20" s="18">
        <f>'15K'!I4</f>
        <v>56.8</v>
      </c>
      <c r="X20" s="18">
        <f>'15K'!I5</f>
        <v>76.7</v>
      </c>
      <c r="Y20" s="3" t="s">
        <v>18</v>
      </c>
      <c r="Z20" s="11">
        <f>(LOG10(+B20)-LOG10(+$B$18))/+$Z$11</f>
        <v>0.54310433446754847</v>
      </c>
      <c r="AA20" s="22">
        <f>$V$18*(1-$Z20)++$V$23*$Z20</f>
        <v>29.335348638210455</v>
      </c>
      <c r="AB20" s="22">
        <f>$W$18*(1-$Z20)++$W$23*$Z20</f>
        <v>40.642239163831128</v>
      </c>
      <c r="AC20" s="22">
        <f>$X$18*(1-$Z20)++$X$23*$Z20</f>
        <v>69.053877848128536</v>
      </c>
      <c r="AD20" s="11">
        <f>$Q$18*(1-$Z20)++$Q$23*$Z20</f>
        <v>7.6520692136509139E-3</v>
      </c>
      <c r="AE20" s="11">
        <f>$R$18*(1-$Z20)++$R$23*$Z20</f>
        <v>3.3825862600680528E-4</v>
      </c>
      <c r="AF20" s="144">
        <f>$F$18*(1-$Z20)++$F$23*$Z20</f>
        <v>2597.9757924509131</v>
      </c>
      <c r="AG20" s="25">
        <f t="shared" si="10"/>
        <v>43.299596540848555</v>
      </c>
      <c r="AK20" s="6">
        <v>2.7433333333333332</v>
      </c>
      <c r="AL20" s="7">
        <v>2.7655555555555558</v>
      </c>
      <c r="AM20" s="4">
        <f t="shared" si="6"/>
        <v>2.7879130239738878</v>
      </c>
      <c r="AN20" s="4">
        <f t="shared" si="7"/>
        <v>3.1228316993039442</v>
      </c>
      <c r="AO20" s="9">
        <f t="shared" si="16"/>
        <v>1140.0467757657643</v>
      </c>
      <c r="AP20" s="19">
        <v>15</v>
      </c>
      <c r="AS20" s="3" t="s">
        <v>18</v>
      </c>
      <c r="AT20" s="6">
        <f t="shared" si="8"/>
        <v>0.51508787354633734</v>
      </c>
      <c r="AU20" s="6">
        <f t="shared" si="9"/>
        <v>0.83530805798983931</v>
      </c>
    </row>
    <row r="21" spans="1:47">
      <c r="A21" s="3" t="s">
        <v>19</v>
      </c>
      <c r="B21" s="4">
        <f>MILE*10</f>
        <v>16.093440000000001</v>
      </c>
      <c r="C21" s="4">
        <f t="shared" si="11"/>
        <v>2.7878854158381716</v>
      </c>
      <c r="D21" s="4">
        <f t="shared" si="12"/>
        <v>44.866666666666667</v>
      </c>
      <c r="E21" s="8">
        <v>3.1157407407407408E-2</v>
      </c>
      <c r="F21" s="9">
        <f t="shared" si="13"/>
        <v>2692</v>
      </c>
      <c r="G21" s="8">
        <v>3.0034722222222223E-2</v>
      </c>
      <c r="H21" s="9">
        <f t="shared" si="3"/>
        <v>2595</v>
      </c>
      <c r="I21" s="4"/>
      <c r="J21" s="4">
        <f t="shared" si="4"/>
        <v>2.6874304064264694</v>
      </c>
      <c r="K21" s="4"/>
      <c r="L21" s="6">
        <f t="shared" si="5"/>
        <v>1.2066488852013753</v>
      </c>
      <c r="M21" s="6">
        <f t="shared" si="14"/>
        <v>0.42933722659945789</v>
      </c>
      <c r="N21" s="6">
        <f t="shared" si="15"/>
        <v>2.7207331513091644</v>
      </c>
      <c r="O21" s="10">
        <f>'10MI'!F4</f>
        <v>1.89E-2</v>
      </c>
      <c r="P21" s="10">
        <f>'10MI'!F5</f>
        <v>9.1E-4</v>
      </c>
      <c r="Q21" s="11">
        <f>'10MI'!G4</f>
        <v>1.0500000000000001E-2</v>
      </c>
      <c r="R21" s="11">
        <f>'10MI'!G5</f>
        <v>5.1000000000000004E-4</v>
      </c>
      <c r="S21" s="18">
        <f>'10MI'!H3</f>
        <v>22</v>
      </c>
      <c r="T21" s="18">
        <f>'10MI'!H4</f>
        <v>17</v>
      </c>
      <c r="U21" s="18">
        <f>'10MI'!H5</f>
        <v>15</v>
      </c>
      <c r="V21" s="18">
        <f>'10MI'!I3</f>
        <v>24</v>
      </c>
      <c r="W21" s="18">
        <f>'10MI'!I4</f>
        <v>56.8</v>
      </c>
      <c r="X21" s="18">
        <f>'10MI'!I5</f>
        <v>76.7</v>
      </c>
      <c r="Y21" s="3" t="s">
        <v>19</v>
      </c>
      <c r="Z21" s="11">
        <f>(LOG10(+B21)-LOG10(+$B$18))/+$Z$11</f>
        <v>0.63735080246240494</v>
      </c>
      <c r="AA21" s="22">
        <f>$V$18*(1-$Z21)++$V$23*$Z21</f>
        <v>29.74060845058834</v>
      </c>
      <c r="AB21" s="22">
        <f>$W$18*(1-$Z21)++$W$23*$Z21</f>
        <v>40.406622993843989</v>
      </c>
      <c r="AC21" s="22">
        <f>$X$18*(1-$Z21)++$X$23*$Z21</f>
        <v>68.898371175937029</v>
      </c>
      <c r="AD21" s="11">
        <f>$Q$18*(1-$Z21)++$Q$23*$Z21</f>
        <v>7.6784582246894727E-3</v>
      </c>
      <c r="AE21" s="11">
        <f>$R$18*(1-$Z21)++$R$23*$Z21</f>
        <v>3.3882410481477442E-4</v>
      </c>
      <c r="AF21" s="144">
        <f>$F$18*(1-$Z21)++$F$23*$Z21</f>
        <v>2773.9339481973102</v>
      </c>
      <c r="AG21" s="25">
        <f t="shared" si="10"/>
        <v>46.232232469955171</v>
      </c>
      <c r="AK21" s="6">
        <v>2.7578524748800337</v>
      </c>
      <c r="AL21" s="7">
        <v>2.8085977889127496</v>
      </c>
      <c r="AM21" s="4">
        <f t="shared" si="6"/>
        <v>2.8003183542621493</v>
      </c>
      <c r="AN21" s="4">
        <f t="shared" si="7"/>
        <v>3.1321840831381662</v>
      </c>
      <c r="AO21" s="9">
        <f t="shared" si="16"/>
        <v>1123.364936074415</v>
      </c>
      <c r="AP21" s="19">
        <f>AP7*10</f>
        <v>0</v>
      </c>
      <c r="AS21" s="3" t="s">
        <v>19</v>
      </c>
      <c r="AT21" s="6">
        <f t="shared" si="8"/>
        <v>0.54807710325746717</v>
      </c>
      <c r="AU21" s="6">
        <f t="shared" si="9"/>
        <v>0.83270190884266015</v>
      </c>
    </row>
    <row r="22" spans="1:47">
      <c r="A22" s="3" t="s">
        <v>20</v>
      </c>
      <c r="B22" s="4">
        <v>20</v>
      </c>
      <c r="C22" s="4">
        <f t="shared" si="11"/>
        <v>2.8008333333333333</v>
      </c>
      <c r="D22" s="4">
        <f t="shared" si="12"/>
        <v>56.016666666666666</v>
      </c>
      <c r="E22" s="8">
        <v>3.8900462962962963E-2</v>
      </c>
      <c r="F22" s="9">
        <f t="shared" si="13"/>
        <v>3361</v>
      </c>
      <c r="G22" s="8">
        <v>3.7731481481481484E-2</v>
      </c>
      <c r="H22" s="9">
        <f t="shared" si="3"/>
        <v>3260</v>
      </c>
      <c r="I22" s="4"/>
      <c r="J22" s="4">
        <f t="shared" si="4"/>
        <v>2.7166666666666668</v>
      </c>
      <c r="K22" s="4"/>
      <c r="L22" s="6">
        <f t="shared" si="5"/>
        <v>1.3010299956639813</v>
      </c>
      <c r="M22" s="6">
        <f t="shared" si="14"/>
        <v>0.43403635402031421</v>
      </c>
      <c r="N22" s="6">
        <f t="shared" si="15"/>
        <v>2.7510430385591862</v>
      </c>
      <c r="O22" s="10">
        <f>'20K'!F4</f>
        <v>1.89E-2</v>
      </c>
      <c r="P22" s="10">
        <f>'20K'!F5</f>
        <v>9.1E-4</v>
      </c>
      <c r="Q22" s="11">
        <f>'20K'!G4</f>
        <v>1.0500000000000001E-2</v>
      </c>
      <c r="R22" s="11">
        <f>'20K'!G5</f>
        <v>5.1000000000000004E-4</v>
      </c>
      <c r="S22" s="18">
        <f>'20K'!H3</f>
        <v>22</v>
      </c>
      <c r="T22" s="18">
        <f>'20K'!H4</f>
        <v>17</v>
      </c>
      <c r="U22" s="18">
        <f>'20K'!H5</f>
        <v>15</v>
      </c>
      <c r="V22" s="18">
        <f>'20K'!I3</f>
        <v>24</v>
      </c>
      <c r="W22" s="18">
        <f>'20K'!I4</f>
        <v>56.8</v>
      </c>
      <c r="X22" s="18">
        <f>'20K'!I5</f>
        <v>76.7</v>
      </c>
      <c r="Y22" s="3" t="s">
        <v>20</v>
      </c>
      <c r="Z22" s="11">
        <f>(LOG10(+B22)-LOG10(+$B$18))/+$Z$11</f>
        <v>0.92844299215419079</v>
      </c>
      <c r="AA22" s="22">
        <f>$V$18*(1-$Z22)++$V$23*$Z22</f>
        <v>30.992304866263019</v>
      </c>
      <c r="AB22" s="22">
        <f>$W$18*(1-$Z22)++$W$23*$Z22</f>
        <v>39.678892519614521</v>
      </c>
      <c r="AC22" s="22">
        <f>$X$18*(1-$Z22)++$X$23*$Z22</f>
        <v>68.418069062945591</v>
      </c>
      <c r="AD22" s="11">
        <f>$Q$18*(1-$Z22)++$Q$23*$Z22</f>
        <v>7.7599640378031732E-3</v>
      </c>
      <c r="AE22" s="11">
        <f>$R$18*(1-$Z22)++$R$23*$Z22</f>
        <v>3.4057065795292516E-4</v>
      </c>
      <c r="AF22" s="144">
        <f>$F$18*(1-$Z22)++$F$23*$Z22</f>
        <v>3317.4030663518747</v>
      </c>
      <c r="AG22" s="25">
        <f t="shared" si="10"/>
        <v>55.290051105864578</v>
      </c>
      <c r="AK22" s="6">
        <v>2.7983333333333338</v>
      </c>
      <c r="AL22" s="7">
        <v>2.8149999999999999</v>
      </c>
      <c r="AM22" s="4">
        <f t="shared" si="6"/>
        <v>2.8389834121305668</v>
      </c>
      <c r="AN22" s="4">
        <f t="shared" si="7"/>
        <v>3.1612473294187096</v>
      </c>
      <c r="AO22" s="9">
        <f t="shared" si="16"/>
        <v>1128.5471665814616</v>
      </c>
      <c r="AP22" s="19">
        <v>20</v>
      </c>
      <c r="AS22" s="3" t="s">
        <v>20</v>
      </c>
      <c r="AT22" s="6">
        <f t="shared" si="8"/>
        <v>0.64996853024847323</v>
      </c>
      <c r="AU22" s="6">
        <f t="shared" si="9"/>
        <v>0.82465248611037067</v>
      </c>
    </row>
    <row r="23" spans="1:47">
      <c r="A23" s="1" t="s">
        <v>9</v>
      </c>
      <c r="B23" s="4">
        <v>21.0975</v>
      </c>
      <c r="C23" s="4">
        <f t="shared" si="11"/>
        <v>2.7262313860252005</v>
      </c>
      <c r="D23" s="4">
        <f t="shared" si="12"/>
        <v>57.516666666666673</v>
      </c>
      <c r="E23" s="8">
        <v>3.9942129629629633E-2</v>
      </c>
      <c r="F23" s="9">
        <f t="shared" si="13"/>
        <v>3451.0000000000005</v>
      </c>
      <c r="G23" s="8">
        <v>3.9942129629629633E-2</v>
      </c>
      <c r="H23" s="9">
        <f t="shared" si="3"/>
        <v>3451.0000000000005</v>
      </c>
      <c r="I23" s="4"/>
      <c r="J23" s="4">
        <f t="shared" si="4"/>
        <v>2.726231386025201</v>
      </c>
      <c r="K23" s="4"/>
      <c r="L23" s="6">
        <f t="shared" si="5"/>
        <v>1.3242309955569009</v>
      </c>
      <c r="M23" s="6">
        <f t="shared" si="14"/>
        <v>0.43556271335094232</v>
      </c>
      <c r="N23" s="6">
        <f t="shared" si="15"/>
        <v>2.7585454512681058</v>
      </c>
      <c r="O23" s="10">
        <f>H.Marathon!F4</f>
        <v>0.01</v>
      </c>
      <c r="P23" s="10">
        <f>H.Marathon!F5</f>
        <v>2.8700000000000002E-3</v>
      </c>
      <c r="Q23" s="11">
        <f>H.Marathon!G4</f>
        <v>7.7799999999999996E-3</v>
      </c>
      <c r="R23" s="11">
        <f>H.Marathon!G5</f>
        <v>3.4099999999999999E-4</v>
      </c>
      <c r="S23" s="18">
        <f>H.Marathon!H3</f>
        <v>20</v>
      </c>
      <c r="T23" s="18">
        <f>H.Marathon!H4</f>
        <v>19</v>
      </c>
      <c r="U23" s="18">
        <f>H.Marathon!H5</f>
        <v>16.7</v>
      </c>
      <c r="V23" s="18">
        <f>H.Marathon!I3</f>
        <v>31.3</v>
      </c>
      <c r="W23" s="18">
        <f>H.Marathon!I4</f>
        <v>39.5</v>
      </c>
      <c r="X23" s="18">
        <f>H.Marathon!I5</f>
        <v>68.3</v>
      </c>
      <c r="Y23" s="1" t="s">
        <v>9</v>
      </c>
      <c r="Z23" s="11">
        <f>(LOG10(+B23)-LOG10(+$B$23))/+$Z$10</f>
        <v>0</v>
      </c>
      <c r="AA23" s="22">
        <f>$V$23*(1-$Z23)++$V$26*$Z23</f>
        <v>31.3</v>
      </c>
      <c r="AB23" s="22">
        <f>$W$23*(1-$Z23)++$W$26*$Z23</f>
        <v>39.5</v>
      </c>
      <c r="AC23" s="22">
        <f>$X$23*(1-$Z23)++$X$26*$Z23</f>
        <v>68.3</v>
      </c>
      <c r="AD23" s="11">
        <f>$Q$23*(1-$Z23)++$Q$26*$Z23</f>
        <v>7.7799999999999996E-3</v>
      </c>
      <c r="AE23" s="11">
        <f>$R$23*(1-$Z23)++$R$26*$Z23</f>
        <v>3.4099999999999999E-4</v>
      </c>
      <c r="AF23" s="19">
        <f>+F23</f>
        <v>3451.0000000000005</v>
      </c>
      <c r="AG23" s="25">
        <f t="shared" si="10"/>
        <v>57.516666666666673</v>
      </c>
      <c r="AK23" s="6">
        <v>2.8068096535924476</v>
      </c>
      <c r="AL23" s="7">
        <v>2.8099695856539082</v>
      </c>
      <c r="AM23" s="4">
        <f t="shared" si="6"/>
        <v>2.8485696191191034</v>
      </c>
      <c r="AN23" s="4">
        <f t="shared" si="7"/>
        <v>3.1684329273190817</v>
      </c>
      <c r="AO23" s="9">
        <f t="shared" si="16"/>
        <v>1162.0647038964025</v>
      </c>
      <c r="AP23" s="19">
        <v>21.0975</v>
      </c>
      <c r="AS23" s="1" t="s">
        <v>9</v>
      </c>
      <c r="AT23" s="6">
        <f t="shared" si="8"/>
        <v>0.67501573487576338</v>
      </c>
      <c r="AU23" s="6">
        <f t="shared" si="9"/>
        <v>0.8226737569448147</v>
      </c>
    </row>
    <row r="24" spans="1:47">
      <c r="A24" s="3" t="s">
        <v>21</v>
      </c>
      <c r="B24" s="4">
        <v>25</v>
      </c>
      <c r="C24" s="4">
        <f t="shared" si="11"/>
        <v>2.8486666666666669</v>
      </c>
      <c r="D24" s="4">
        <f t="shared" si="12"/>
        <v>71.216666666666669</v>
      </c>
      <c r="E24" s="8">
        <v>4.9456018518518517E-2</v>
      </c>
      <c r="F24" s="9">
        <f t="shared" si="13"/>
        <v>4273</v>
      </c>
      <c r="G24" s="8">
        <v>4.7569444444444442E-2</v>
      </c>
      <c r="H24" s="9">
        <f t="shared" si="3"/>
        <v>4110</v>
      </c>
      <c r="I24" s="4"/>
      <c r="J24" s="4">
        <f t="shared" si="4"/>
        <v>2.7399999999999998</v>
      </c>
      <c r="K24" s="4"/>
      <c r="L24" s="6">
        <f t="shared" si="5"/>
        <v>1.3979400086720377</v>
      </c>
      <c r="M24" s="6">
        <f t="shared" si="14"/>
        <v>0.43775056282038793</v>
      </c>
      <c r="N24" s="6">
        <f t="shared" si="15"/>
        <v>2.7825164563691867</v>
      </c>
      <c r="O24" s="10">
        <f>'25K'!F4</f>
        <v>1.9E-2</v>
      </c>
      <c r="P24" s="10">
        <f>'25K'!F5</f>
        <v>9.1E-4</v>
      </c>
      <c r="Q24" s="11">
        <f>'25K'!G4</f>
        <v>7.8828395374357096E-3</v>
      </c>
      <c r="R24" s="11">
        <f>'25K'!G5</f>
        <v>3.6034362727957393E-4</v>
      </c>
      <c r="S24" s="18">
        <f>'25K'!H3</f>
        <v>22</v>
      </c>
      <c r="T24" s="18">
        <f>'25K'!H4</f>
        <v>17</v>
      </c>
      <c r="U24" s="18">
        <f>'25K'!H5</f>
        <v>15</v>
      </c>
      <c r="V24" s="18">
        <f>'25K'!I3</f>
        <v>32.2059673536003</v>
      </c>
      <c r="W24" s="18">
        <f>'25K'!I4</f>
        <v>39.548971208302717</v>
      </c>
      <c r="X24" s="18">
        <f>'25K'!I5</f>
        <v>68.936625707935349</v>
      </c>
      <c r="Y24" s="3" t="s">
        <v>21</v>
      </c>
      <c r="Z24" s="11">
        <f>(LOG10(+B24)-LOG10(+$B$23))/+$Z$10</f>
        <v>0.24485604151359389</v>
      </c>
      <c r="AA24" s="22">
        <f>$V$23*(1-$Z24)++$V$26*$Z24</f>
        <v>32.2059673536003</v>
      </c>
      <c r="AB24" s="22">
        <f>$W$23*(1-$Z24)++$W$26*$Z24</f>
        <v>39.548971208302717</v>
      </c>
      <c r="AC24" s="22">
        <f>$X$23*(1-$Z24)++$X$26*$Z24</f>
        <v>68.936625707935349</v>
      </c>
      <c r="AD24" s="11">
        <f>$Q$23*(1-$Z24)++$Q$26*$Z24</f>
        <v>7.8828395374357096E-3</v>
      </c>
      <c r="AE24" s="11">
        <f>$R$23*(1-$Z24)++$R$26*$Z24</f>
        <v>3.6034362727957393E-4</v>
      </c>
      <c r="AF24" s="144">
        <f>$F$23*(1-$Z24)++$F$26*$Z24</f>
        <v>4377.5352610874397</v>
      </c>
      <c r="AG24" s="25">
        <f t="shared" si="10"/>
        <v>72.958921018124002</v>
      </c>
      <c r="AK24" s="6">
        <v>2.8393333333333328</v>
      </c>
      <c r="AL24" s="7">
        <v>2.9146666666666663</v>
      </c>
      <c r="AM24" s="4">
        <f t="shared" si="6"/>
        <v>2.8792400641237994</v>
      </c>
      <c r="AN24" s="4">
        <f t="shared" si="7"/>
        <v>3.1913699472123334</v>
      </c>
      <c r="AO24" s="9">
        <f t="shared" si="16"/>
        <v>1120.1702207227158</v>
      </c>
      <c r="AP24" s="19">
        <v>25</v>
      </c>
      <c r="AS24" s="3" t="s">
        <v>21</v>
      </c>
      <c r="AT24" s="6">
        <f t="shared" si="8"/>
        <v>0.75459009558828827</v>
      </c>
      <c r="AU24" s="6">
        <f t="shared" si="9"/>
        <v>0.81638738244852527</v>
      </c>
    </row>
    <row r="25" spans="1:47">
      <c r="A25" s="3" t="s">
        <v>22</v>
      </c>
      <c r="B25" s="4">
        <v>30</v>
      </c>
      <c r="C25" s="4">
        <f t="shared" si="11"/>
        <v>2.8838888888888889</v>
      </c>
      <c r="D25" s="4">
        <f t="shared" si="12"/>
        <v>86.516666666666666</v>
      </c>
      <c r="E25" s="8">
        <v>6.008101851851852E-2</v>
      </c>
      <c r="F25" s="9">
        <f t="shared" si="13"/>
        <v>5191</v>
      </c>
      <c r="G25" s="8">
        <v>5.7638888888888892E-2</v>
      </c>
      <c r="H25" s="9">
        <f t="shared" si="3"/>
        <v>4980</v>
      </c>
      <c r="I25" s="4"/>
      <c r="J25" s="4">
        <f t="shared" si="4"/>
        <v>2.7666666666666666</v>
      </c>
      <c r="K25" s="4"/>
      <c r="L25" s="6">
        <f t="shared" si="5"/>
        <v>1.4771212547196624</v>
      </c>
      <c r="M25" s="6">
        <f t="shared" si="14"/>
        <v>0.44195683765641147</v>
      </c>
      <c r="N25" s="6">
        <f t="shared" si="15"/>
        <v>2.8084992156445181</v>
      </c>
      <c r="O25" s="10">
        <f>'30K'!F4</f>
        <v>1.89E-2</v>
      </c>
      <c r="P25" s="10">
        <f>'30K'!F5</f>
        <v>9.1E-4</v>
      </c>
      <c r="Q25" s="11">
        <f>'30K'!G4</f>
        <v>1.0500000000000001E-2</v>
      </c>
      <c r="R25" s="11">
        <f>'30K'!G5</f>
        <v>5.1000000000000004E-4</v>
      </c>
      <c r="S25" s="18">
        <f>'30K'!H3</f>
        <v>22</v>
      </c>
      <c r="T25" s="18">
        <f>'30K'!H4</f>
        <v>17</v>
      </c>
      <c r="U25" s="18">
        <f>'30K'!H5</f>
        <v>15</v>
      </c>
      <c r="V25" s="18">
        <f>'30K'!I3</f>
        <v>24</v>
      </c>
      <c r="W25" s="18">
        <f>'30K'!I4</f>
        <v>56.8</v>
      </c>
      <c r="X25" s="18">
        <f>'30K'!I5</f>
        <v>76.7</v>
      </c>
      <c r="Y25" s="3" t="s">
        <v>22</v>
      </c>
      <c r="Z25" s="11">
        <f>(LOG10(+B25)-LOG10(+$B$23))/+$Z$10</f>
        <v>0.50789044734738709</v>
      </c>
      <c r="AA25" s="22">
        <f>$V$23*(1-$Z25)++$V$26*$Z25</f>
        <v>33.179194655185327</v>
      </c>
      <c r="AB25" s="22">
        <f>$W$23*(1-$Z25)++$W$26*$Z25</f>
        <v>39.601578089469484</v>
      </c>
      <c r="AC25" s="22">
        <f>$X$23*(1-$Z25)++$X$26*$Z25</f>
        <v>69.620515163103207</v>
      </c>
      <c r="AD25" s="11">
        <f>$Q$23*(1-$Z25)++$Q$26*$Z25</f>
        <v>7.9933139878859034E-3</v>
      </c>
      <c r="AE25" s="11">
        <f>$R$23*(1-$Z25)++$R$26*$Z25</f>
        <v>3.8112334534044355E-4</v>
      </c>
      <c r="AF25" s="144">
        <f>$F$23*(1-$Z25)++$F$26*$Z25</f>
        <v>5372.8574527625133</v>
      </c>
      <c r="AG25" s="25">
        <f t="shared" si="10"/>
        <v>89.547624212708556</v>
      </c>
      <c r="AK25" s="6">
        <v>2.8772222222222221</v>
      </c>
      <c r="AL25" s="7">
        <v>2.9794444444444443</v>
      </c>
      <c r="AM25" s="4">
        <f t="shared" si="6"/>
        <v>2.9125555245665282</v>
      </c>
      <c r="AN25" s="4">
        <f t="shared" si="7"/>
        <v>3.2161948633210322</v>
      </c>
      <c r="AO25" s="9">
        <f t="shared" si="16"/>
        <v>1115.0962001161593</v>
      </c>
      <c r="AP25" s="19">
        <v>30</v>
      </c>
      <c r="AS25" s="3" t="s">
        <v>22</v>
      </c>
      <c r="AT25" s="6">
        <f t="shared" si="8"/>
        <v>0.84007213867057373</v>
      </c>
      <c r="AU25" s="6">
        <f t="shared" si="9"/>
        <v>0.80963430104502465</v>
      </c>
    </row>
    <row r="26" spans="1:47">
      <c r="A26" s="1" t="s">
        <v>10</v>
      </c>
      <c r="B26" s="4">
        <v>42.195</v>
      </c>
      <c r="C26" s="4">
        <f t="shared" si="11"/>
        <v>2.857763558083501</v>
      </c>
      <c r="D26" s="4">
        <f t="shared" si="12"/>
        <v>120.58333333333333</v>
      </c>
      <c r="E26" s="8">
        <v>8.3738425925925924E-2</v>
      </c>
      <c r="F26" s="9">
        <f t="shared" si="13"/>
        <v>7235</v>
      </c>
      <c r="G26" s="8">
        <v>8.3738425925925924E-2</v>
      </c>
      <c r="H26" s="9">
        <f t="shared" si="3"/>
        <v>7235</v>
      </c>
      <c r="I26" s="4"/>
      <c r="J26" s="4">
        <f t="shared" si="4"/>
        <v>2.8577635580835015</v>
      </c>
      <c r="K26" s="4"/>
      <c r="L26" s="6">
        <f t="shared" si="5"/>
        <v>1.6252609912208822</v>
      </c>
      <c r="M26" s="6">
        <f t="shared" si="14"/>
        <v>0.45602629385053051</v>
      </c>
      <c r="N26" s="6">
        <f t="shared" si="15"/>
        <v>2.8577635580835019</v>
      </c>
      <c r="O26" s="10">
        <f>Marathon!F4</f>
        <v>0.02</v>
      </c>
      <c r="P26" s="10">
        <f>Marathon!F5</f>
        <v>2.2200000000000002E-3</v>
      </c>
      <c r="Q26" s="11">
        <f>Marathon!G4</f>
        <v>8.2000000000000007E-3</v>
      </c>
      <c r="R26" s="11">
        <f>Marathon!G5</f>
        <v>4.2000000000000002E-4</v>
      </c>
      <c r="S26" s="18">
        <f>Marathon!H3</f>
        <v>22</v>
      </c>
      <c r="T26" s="18">
        <f>Marathon!H4</f>
        <v>17</v>
      </c>
      <c r="U26" s="18">
        <f>Marathon!H5</f>
        <v>16</v>
      </c>
      <c r="V26" s="18">
        <f>Marathon!I3</f>
        <v>35</v>
      </c>
      <c r="W26" s="18">
        <f>Marathon!I4</f>
        <v>39.700000000000003</v>
      </c>
      <c r="X26" s="18">
        <f>Marathon!I5</f>
        <v>70.900000000000006</v>
      </c>
      <c r="Y26" s="1" t="s">
        <v>10</v>
      </c>
      <c r="Z26" s="11">
        <f>(LOG10(+B26)-LOG10(+$B$23))/+$Z$10</f>
        <v>1</v>
      </c>
      <c r="AA26" s="22">
        <f>$V$23*(1-$Z26)++$V$26*$Z26</f>
        <v>35</v>
      </c>
      <c r="AB26" s="22">
        <f>$W$23*(1-$Z26)++$W$26*$Z26</f>
        <v>39.700000000000003</v>
      </c>
      <c r="AC26" s="22">
        <f>$X$23*(1-$Z26)++$X$26*$Z26</f>
        <v>70.900000000000006</v>
      </c>
      <c r="AD26" s="11">
        <f>$Q$21*(1-$Z26)++$Q$26*$Z26</f>
        <v>8.2000000000000007E-3</v>
      </c>
      <c r="AE26" s="11">
        <f>$R$23*(1-$Z26)++$R$26*$Z26</f>
        <v>4.2000000000000002E-4</v>
      </c>
      <c r="AF26" s="19">
        <f>+F26</f>
        <v>7235</v>
      </c>
      <c r="AG26" s="25">
        <f t="shared" si="10"/>
        <v>120.58333333333333</v>
      </c>
      <c r="AK26" s="6">
        <v>2.9604613500809731</v>
      </c>
      <c r="AL26" s="7">
        <v>2.9604613500809736</v>
      </c>
      <c r="AM26" s="4">
        <f t="shared" si="6"/>
        <v>2.9759239653221776</v>
      </c>
      <c r="AN26" s="4">
        <f t="shared" si="7"/>
        <v>3.2631594292744608</v>
      </c>
      <c r="AO26" s="9">
        <f t="shared" si="16"/>
        <v>1141.7223548886434</v>
      </c>
      <c r="AP26" s="19">
        <v>42.195</v>
      </c>
      <c r="AS26" s="1" t="s">
        <v>10</v>
      </c>
      <c r="AT26" s="6">
        <f t="shared" si="8"/>
        <v>1</v>
      </c>
      <c r="AU26" s="6">
        <f t="shared" si="9"/>
        <v>0.79700000000000004</v>
      </c>
    </row>
    <row r="27" spans="1:47">
      <c r="A27" s="3" t="s">
        <v>23</v>
      </c>
      <c r="B27" s="4">
        <v>50</v>
      </c>
      <c r="C27" s="4">
        <f t="shared" si="11"/>
        <v>3.2726666666666664</v>
      </c>
      <c r="D27" s="4">
        <f t="shared" si="12"/>
        <v>163.63333333333333</v>
      </c>
      <c r="E27" s="8">
        <v>0.11363425925925925</v>
      </c>
      <c r="F27" s="9">
        <f t="shared" si="13"/>
        <v>9818</v>
      </c>
      <c r="G27" s="8">
        <v>0.10208333333333333</v>
      </c>
      <c r="H27" s="9">
        <f t="shared" si="3"/>
        <v>8820</v>
      </c>
      <c r="I27" s="4"/>
      <c r="J27" s="4">
        <f t="shared" si="4"/>
        <v>2.9399999999999995</v>
      </c>
      <c r="K27" s="4"/>
      <c r="L27" s="6"/>
      <c r="M27" s="6"/>
      <c r="N27" s="6"/>
      <c r="O27" s="10"/>
      <c r="P27" s="10"/>
      <c r="Q27" s="11"/>
      <c r="R27" s="11"/>
      <c r="S27" s="11"/>
      <c r="T27" s="3"/>
      <c r="U27" s="3"/>
      <c r="V27" s="3"/>
      <c r="W27" s="3"/>
      <c r="X27" s="3"/>
      <c r="Y27" s="3" t="s">
        <v>23</v>
      </c>
      <c r="AH27" s="23"/>
      <c r="AK27" s="6">
        <v>3.0266666666666673</v>
      </c>
      <c r="AL27" s="7">
        <v>3.2726666666666664</v>
      </c>
      <c r="AM27" s="4">
        <f t="shared" si="6"/>
        <v>3.0079656299190201</v>
      </c>
      <c r="AN27" s="4">
        <f t="shared" si="7"/>
        <v>3.286782196257712</v>
      </c>
      <c r="AO27" s="9">
        <f t="shared" si="16"/>
        <v>1004.1940839621478</v>
      </c>
      <c r="AP27" s="19">
        <v>50</v>
      </c>
    </row>
    <row r="28" spans="1:47">
      <c r="A28" s="3" t="s">
        <v>24</v>
      </c>
      <c r="B28" s="4">
        <f>MILE*50</f>
        <v>80.467200000000005</v>
      </c>
      <c r="C28" s="4">
        <f t="shared" si="11"/>
        <v>3.6145162252445711</v>
      </c>
      <c r="D28" s="4">
        <f t="shared" si="12"/>
        <v>290.84999999999997</v>
      </c>
      <c r="E28" s="8">
        <v>0.20197916666666665</v>
      </c>
      <c r="F28" s="9">
        <f t="shared" si="13"/>
        <v>17451</v>
      </c>
      <c r="G28" s="8">
        <v>0.18611111111111112</v>
      </c>
      <c r="H28" s="9">
        <f t="shared" si="3"/>
        <v>16080</v>
      </c>
      <c r="I28" s="4"/>
      <c r="J28" s="4">
        <f t="shared" si="4"/>
        <v>3.3305495903921103</v>
      </c>
      <c r="K28" s="6"/>
      <c r="L28" s="6"/>
      <c r="M28" s="6"/>
      <c r="N28" s="6"/>
      <c r="O28" s="10"/>
      <c r="P28" s="10"/>
      <c r="Q28" s="11"/>
      <c r="R28" s="11"/>
      <c r="S28" s="11"/>
      <c r="T28" s="3"/>
      <c r="U28" s="3"/>
      <c r="V28" s="3"/>
      <c r="W28" s="3"/>
      <c r="X28" s="3"/>
      <c r="Y28" s="3" t="s">
        <v>24</v>
      </c>
      <c r="AH28" s="23"/>
      <c r="AK28" s="6">
        <v>3.3305429679810552</v>
      </c>
      <c r="AL28" s="7">
        <v>3.6145090381988418</v>
      </c>
      <c r="AM28" s="4">
        <f t="shared" si="6"/>
        <v>3.0996482612584857</v>
      </c>
      <c r="AN28" s="4">
        <f t="shared" si="7"/>
        <v>3.3539262102195408</v>
      </c>
      <c r="AO28" s="9">
        <f t="shared" si="16"/>
        <v>927.79457875718617</v>
      </c>
      <c r="AP28" s="19">
        <f>AP7*50</f>
        <v>0</v>
      </c>
    </row>
    <row r="29" spans="1:47">
      <c r="A29" s="3" t="s">
        <v>25</v>
      </c>
      <c r="B29" s="4">
        <v>100</v>
      </c>
      <c r="C29" s="4">
        <f t="shared" si="11"/>
        <v>3.7033333333333331</v>
      </c>
      <c r="D29" s="4">
        <f t="shared" si="12"/>
        <v>370.33333333333331</v>
      </c>
      <c r="E29" s="8">
        <v>0.25717592592592592</v>
      </c>
      <c r="F29" s="9">
        <f t="shared" si="13"/>
        <v>22220</v>
      </c>
      <c r="G29" s="8">
        <v>0.24722222222222223</v>
      </c>
      <c r="H29" s="9">
        <f t="shared" si="3"/>
        <v>21360</v>
      </c>
      <c r="I29" s="4"/>
      <c r="J29" s="4">
        <f t="shared" si="4"/>
        <v>3.5600000000000005</v>
      </c>
      <c r="K29" s="4"/>
      <c r="L29" s="6"/>
      <c r="M29" s="6"/>
      <c r="N29" s="6"/>
      <c r="O29" s="10"/>
      <c r="P29" s="10"/>
      <c r="Q29" s="11"/>
      <c r="R29" s="11"/>
      <c r="S29" s="11"/>
      <c r="T29" s="3"/>
      <c r="U29" s="3"/>
      <c r="V29" s="3"/>
      <c r="W29" s="3"/>
      <c r="X29" s="3"/>
      <c r="Y29" s="3" t="s">
        <v>25</v>
      </c>
      <c r="AH29" s="23"/>
      <c r="AK29" s="6">
        <v>3.56</v>
      </c>
      <c r="AL29" s="7">
        <v>3.7033333333333331</v>
      </c>
      <c r="AM29" s="4">
        <f t="shared" si="6"/>
        <v>3.1424462807089837</v>
      </c>
      <c r="AN29" s="4">
        <f t="shared" si="7"/>
        <v>3.3850469811790553</v>
      </c>
      <c r="AO29" s="9">
        <f t="shared" si="16"/>
        <v>913.94571731741962</v>
      </c>
      <c r="AP29" s="19">
        <v>100</v>
      </c>
    </row>
    <row r="30" spans="1:47">
      <c r="A30" s="3" t="s">
        <v>26</v>
      </c>
      <c r="B30" s="4">
        <v>150</v>
      </c>
      <c r="C30" s="4">
        <f t="shared" si="11"/>
        <v>4.2446666666666673</v>
      </c>
      <c r="D30" s="4">
        <f t="shared" si="12"/>
        <v>636.70000000000005</v>
      </c>
      <c r="E30" s="8">
        <v>0.44215277777777778</v>
      </c>
      <c r="F30" s="9">
        <f t="shared" si="13"/>
        <v>38202</v>
      </c>
      <c r="G30" s="8">
        <v>0.4201388888888889</v>
      </c>
      <c r="H30" s="9">
        <f t="shared" si="3"/>
        <v>36300</v>
      </c>
      <c r="I30" s="4"/>
      <c r="J30" s="4">
        <f t="shared" si="4"/>
        <v>4.0333333333333332</v>
      </c>
      <c r="K30" s="4"/>
      <c r="L30" s="6"/>
      <c r="M30" s="6"/>
      <c r="N30" s="6"/>
      <c r="O30" s="10"/>
      <c r="P30" s="10"/>
      <c r="Q30" s="11"/>
      <c r="R30" s="11"/>
      <c r="S30" s="11"/>
      <c r="T30" s="3"/>
      <c r="U30" s="3"/>
      <c r="V30" s="3"/>
      <c r="W30" s="3"/>
      <c r="X30" s="3"/>
      <c r="Y30" s="3"/>
      <c r="AH30" s="23"/>
      <c r="AK30" s="6">
        <v>4.0333333333333332</v>
      </c>
      <c r="AL30" s="7">
        <v>4.2446666666666673</v>
      </c>
      <c r="AM30" s="4">
        <f t="shared" si="6"/>
        <v>3.2238826181318867</v>
      </c>
      <c r="AN30" s="4">
        <f t="shared" si="7"/>
        <v>3.4438845109187777</v>
      </c>
      <c r="AO30" s="9">
        <f t="shared" si="16"/>
        <v>811.2477289736695</v>
      </c>
      <c r="AP30" s="19">
        <v>150</v>
      </c>
    </row>
    <row r="31" spans="1:47">
      <c r="A31" s="3" t="s">
        <v>27</v>
      </c>
      <c r="B31" s="4">
        <f>MILE*100</f>
        <v>160.93440000000001</v>
      </c>
      <c r="C31" s="4">
        <f t="shared" si="11"/>
        <v>4.2753444881889759</v>
      </c>
      <c r="D31" s="4">
        <f t="shared" si="12"/>
        <v>688.05</v>
      </c>
      <c r="E31" s="8">
        <v>0.47781249999999997</v>
      </c>
      <c r="F31" s="9">
        <f t="shared" si="13"/>
        <v>41283</v>
      </c>
      <c r="G31" s="8">
        <v>0.46053240740740742</v>
      </c>
      <c r="H31" s="9">
        <f t="shared" si="3"/>
        <v>39790</v>
      </c>
      <c r="I31" s="4"/>
      <c r="J31" s="4">
        <f t="shared" si="4"/>
        <v>4.1207266231872532</v>
      </c>
      <c r="K31" s="4"/>
      <c r="L31" s="6"/>
      <c r="M31" s="6"/>
      <c r="N31" s="6"/>
      <c r="O31" s="10"/>
      <c r="P31" s="10"/>
      <c r="Q31" s="11"/>
      <c r="R31" s="11"/>
      <c r="S31" s="11"/>
      <c r="T31" s="3"/>
      <c r="U31" s="3"/>
      <c r="V31" s="3"/>
      <c r="W31" s="3"/>
      <c r="X31" s="3"/>
      <c r="Y31" s="3" t="s">
        <v>27</v>
      </c>
      <c r="AH31" s="23"/>
      <c r="AK31" s="6">
        <v>4.1269403351096265</v>
      </c>
      <c r="AL31" s="7">
        <v>4.2753444881889759</v>
      </c>
      <c r="AM31" s="4">
        <f t="shared" si="6"/>
        <v>3.2382278750838078</v>
      </c>
      <c r="AN31" s="4">
        <f t="shared" si="7"/>
        <v>3.4541983968172794</v>
      </c>
      <c r="AO31" s="9">
        <f t="shared" si="16"/>
        <v>807.83872882712808</v>
      </c>
      <c r="AP31" s="19">
        <f>AP7*100</f>
        <v>0</v>
      </c>
    </row>
    <row r="32" spans="1:47">
      <c r="A32" s="3" t="s">
        <v>28</v>
      </c>
      <c r="B32" s="4">
        <v>200</v>
      </c>
      <c r="C32" s="4">
        <f t="shared" si="11"/>
        <v>4.4083333333333332</v>
      </c>
      <c r="D32" s="4">
        <f t="shared" si="12"/>
        <v>881.66666666666663</v>
      </c>
      <c r="E32" s="8">
        <v>0.61226851851851849</v>
      </c>
      <c r="F32" s="9">
        <f t="shared" si="13"/>
        <v>52900</v>
      </c>
      <c r="G32" s="8">
        <v>0.61111111111111116</v>
      </c>
      <c r="H32" s="9">
        <f t="shared" si="3"/>
        <v>52800.000000000007</v>
      </c>
      <c r="I32" s="4"/>
      <c r="J32" s="4">
        <f t="shared" si="4"/>
        <v>4.4000000000000004</v>
      </c>
      <c r="K32" s="6"/>
      <c r="L32" s="6"/>
      <c r="M32" s="6"/>
      <c r="N32" s="6"/>
      <c r="O32" s="10"/>
      <c r="P32" s="10"/>
      <c r="Q32" s="11"/>
      <c r="R32" s="11"/>
      <c r="S32" s="11"/>
      <c r="T32" s="3"/>
      <c r="U32" s="3"/>
      <c r="V32" s="3"/>
      <c r="W32" s="3"/>
      <c r="X32" s="3"/>
      <c r="Y32" s="3" t="s">
        <v>28</v>
      </c>
      <c r="AH32" s="23"/>
      <c r="AK32" s="6">
        <v>4.4000000000000004</v>
      </c>
      <c r="AL32" s="7">
        <v>4.4083333333333332</v>
      </c>
      <c r="AM32" s="4">
        <f t="shared" si="6"/>
        <v>3.2829393158350597</v>
      </c>
      <c r="AN32" s="4">
        <f t="shared" si="7"/>
        <v>3.4862495841178602</v>
      </c>
      <c r="AO32" s="9">
        <f t="shared" si="16"/>
        <v>790.73790030664384</v>
      </c>
      <c r="AP32" s="19">
        <v>200</v>
      </c>
    </row>
    <row r="33" spans="1:34">
      <c r="A33" t="s">
        <v>139</v>
      </c>
      <c r="H33" s="9"/>
      <c r="T33" s="3"/>
      <c r="U33" s="3"/>
      <c r="V33" s="3"/>
      <c r="W33" s="3"/>
      <c r="X33" s="3"/>
      <c r="AH33" s="23"/>
    </row>
    <row r="34" spans="1:34">
      <c r="A34" t="s">
        <v>140</v>
      </c>
      <c r="H34" s="9"/>
      <c r="T34" s="3"/>
      <c r="U34" s="3"/>
      <c r="V34" s="3"/>
      <c r="W34" s="3"/>
      <c r="X34" s="3"/>
      <c r="AH34" s="23"/>
    </row>
    <row r="35" spans="1:34">
      <c r="A35" s="1" t="s">
        <v>415</v>
      </c>
      <c r="H35" s="9"/>
      <c r="AH35" s="23"/>
    </row>
    <row r="36" spans="1:34" ht="18">
      <c r="A36" s="178" t="s">
        <v>416</v>
      </c>
      <c r="B36" s="2"/>
      <c r="C36" s="2"/>
      <c r="D36" s="2"/>
      <c r="E36" s="2"/>
      <c r="F36" s="2"/>
      <c r="G36" s="2"/>
      <c r="H36" s="9"/>
      <c r="I36" s="2"/>
      <c r="J36" s="2"/>
      <c r="K36" s="2"/>
    </row>
    <row r="37" spans="1:34">
      <c r="A37" s="3"/>
      <c r="B37" s="24"/>
      <c r="C37" s="25" t="s">
        <v>418</v>
      </c>
      <c r="D37" s="4"/>
      <c r="F37" s="26"/>
      <c r="G37" s="26"/>
      <c r="H37" s="9"/>
      <c r="I37" s="8"/>
      <c r="J37" s="8"/>
      <c r="K37" s="6"/>
    </row>
    <row r="38" spans="1:34">
      <c r="A38" s="3"/>
      <c r="B38" s="24"/>
      <c r="C38" s="7">
        <f>(+C13-+C29)/(+B13-+B29)</f>
        <v>1.1999999999999997E-2</v>
      </c>
      <c r="D38" s="4"/>
      <c r="F38" s="26"/>
      <c r="G38" s="27"/>
      <c r="H38" s="9"/>
      <c r="I38" s="8"/>
      <c r="J38" s="8"/>
      <c r="K38" s="6"/>
    </row>
    <row r="39" spans="1:34">
      <c r="A39" s="3"/>
      <c r="B39" s="24"/>
      <c r="C39" s="25"/>
      <c r="D39" s="4"/>
      <c r="F39" s="26"/>
      <c r="G39" s="27"/>
      <c r="H39" s="27"/>
      <c r="I39" s="8"/>
      <c r="J39" s="8"/>
      <c r="K39" s="6"/>
    </row>
    <row r="40" spans="1:34">
      <c r="A40" s="3"/>
      <c r="B40" s="24"/>
      <c r="C40" s="25"/>
      <c r="D40" s="4"/>
      <c r="F40" s="26"/>
      <c r="G40" s="27"/>
      <c r="H40" s="27"/>
      <c r="I40" s="8"/>
      <c r="J40" s="8"/>
      <c r="K40" s="6"/>
    </row>
    <row r="41" spans="1:34">
      <c r="A41" s="3"/>
      <c r="B41" s="24"/>
      <c r="C41" s="25"/>
      <c r="D41" s="4"/>
      <c r="F41" s="26"/>
      <c r="G41" s="27"/>
      <c r="H41" s="27"/>
      <c r="I41" s="8"/>
      <c r="J41" s="8"/>
      <c r="K41" s="6"/>
    </row>
    <row r="42" spans="1:34">
      <c r="A42" s="3"/>
      <c r="B42" s="28"/>
      <c r="C42" s="25"/>
      <c r="D42" s="4"/>
      <c r="F42" s="26"/>
      <c r="G42" s="27"/>
      <c r="H42" s="27"/>
      <c r="I42" s="8"/>
      <c r="J42" s="8"/>
      <c r="K42" s="6"/>
    </row>
    <row r="43" spans="1:34">
      <c r="A43" s="3"/>
      <c r="B43" s="28"/>
      <c r="C43" s="25"/>
      <c r="D43" s="4"/>
      <c r="F43" s="26"/>
      <c r="G43" s="27"/>
      <c r="H43" s="27"/>
      <c r="I43" s="8"/>
      <c r="J43" s="8"/>
      <c r="K43" s="6"/>
    </row>
    <row r="44" spans="1:34">
      <c r="A44" s="3"/>
      <c r="B44" s="28"/>
      <c r="C44" s="25"/>
      <c r="D44" s="4"/>
      <c r="F44" s="26"/>
      <c r="G44" s="27"/>
      <c r="H44" s="27"/>
      <c r="I44" s="8"/>
      <c r="J44" s="8"/>
      <c r="K44" s="6"/>
    </row>
    <row r="45" spans="1:34">
      <c r="A45" s="3"/>
      <c r="B45" s="28"/>
      <c r="C45" s="25"/>
      <c r="D45" s="4"/>
      <c r="F45" s="26"/>
      <c r="G45" s="27"/>
      <c r="H45" s="27"/>
      <c r="I45" s="8"/>
      <c r="J45" s="8"/>
      <c r="K45" s="6"/>
    </row>
    <row r="46" spans="1:34">
      <c r="B46" s="28"/>
      <c r="C46" s="25"/>
      <c r="D46" s="4"/>
      <c r="F46" s="26"/>
      <c r="G46" s="27"/>
      <c r="H46" s="27"/>
      <c r="I46" s="8"/>
      <c r="J46" s="8"/>
      <c r="K46" s="6"/>
    </row>
    <row r="47" spans="1:34">
      <c r="A47" s="3"/>
      <c r="B47" s="28"/>
      <c r="C47" s="25"/>
      <c r="D47" s="4"/>
      <c r="F47" s="26"/>
      <c r="G47" s="27"/>
      <c r="H47" s="27"/>
      <c r="I47" s="8"/>
      <c r="J47" s="8"/>
      <c r="K47" s="6"/>
    </row>
    <row r="48" spans="1:34">
      <c r="A48" s="3"/>
      <c r="B48" s="28"/>
      <c r="C48" s="25"/>
      <c r="D48" s="4"/>
      <c r="F48" s="26"/>
      <c r="G48" s="27"/>
      <c r="H48" s="27"/>
      <c r="I48" s="8"/>
      <c r="J48" s="8"/>
      <c r="K48" s="6"/>
    </row>
    <row r="49" spans="1:11">
      <c r="B49" s="28"/>
      <c r="C49" s="25"/>
      <c r="D49" s="4"/>
      <c r="F49" s="26"/>
      <c r="G49" s="27"/>
      <c r="H49" s="27"/>
      <c r="I49" s="8"/>
      <c r="J49" s="8"/>
      <c r="K49" s="6"/>
    </row>
    <row r="50" spans="1:11">
      <c r="A50" s="3"/>
      <c r="B50" s="28"/>
      <c r="C50" s="25"/>
      <c r="D50" s="4"/>
      <c r="F50" s="28"/>
      <c r="G50" s="28"/>
      <c r="H50" s="28"/>
      <c r="K50" s="6"/>
    </row>
    <row r="51" spans="1:11">
      <c r="A51" s="3"/>
      <c r="B51" s="28"/>
      <c r="C51" s="25"/>
      <c r="D51" s="4"/>
      <c r="F51" s="29"/>
      <c r="G51" s="29"/>
      <c r="H51" s="29"/>
      <c r="I51" s="8"/>
      <c r="J51" s="8"/>
      <c r="K51" s="6"/>
    </row>
    <row r="52" spans="1:11">
      <c r="A52" s="3"/>
      <c r="B52" s="28"/>
      <c r="C52" s="25"/>
      <c r="D52" s="4"/>
      <c r="F52" s="28"/>
      <c r="G52" s="28"/>
      <c r="H52" s="28"/>
      <c r="K52" s="6"/>
    </row>
    <row r="53" spans="1:11">
      <c r="A53" s="3"/>
      <c r="B53" s="28"/>
      <c r="C53" s="25"/>
      <c r="D53" s="4"/>
      <c r="F53" s="29"/>
      <c r="G53" s="29"/>
      <c r="H53" s="29"/>
      <c r="K53" s="6"/>
    </row>
    <row r="54" spans="1:11">
      <c r="A54" s="3"/>
      <c r="B54" s="28"/>
      <c r="C54" s="25"/>
      <c r="D54" s="4"/>
      <c r="F54" s="29"/>
      <c r="G54" s="29"/>
      <c r="H54" s="29"/>
      <c r="K54" s="6"/>
    </row>
    <row r="55" spans="1:11">
      <c r="A55" s="3"/>
      <c r="B55" s="28"/>
      <c r="C55" s="25"/>
      <c r="D55" s="4"/>
      <c r="F55" s="28"/>
      <c r="G55" s="28"/>
      <c r="H55" s="28"/>
      <c r="K55" s="6"/>
    </row>
    <row r="56" spans="1:11">
      <c r="A56" s="3"/>
      <c r="B56" s="28"/>
      <c r="C56" s="25"/>
      <c r="D56" s="4"/>
      <c r="F56" s="29"/>
      <c r="G56" s="29"/>
      <c r="H56" s="29"/>
      <c r="K56" s="6"/>
    </row>
    <row r="57" spans="1:11">
      <c r="A57" s="3"/>
      <c r="B57" s="28"/>
      <c r="C57" s="25"/>
      <c r="D57" s="4"/>
      <c r="F57" s="29"/>
      <c r="G57" s="29"/>
      <c r="H57" s="29"/>
      <c r="K57" s="6"/>
    </row>
    <row r="58" spans="1:11">
      <c r="B58" s="28"/>
      <c r="C58" s="25"/>
      <c r="D58" s="4"/>
    </row>
    <row r="59" spans="1:11">
      <c r="B59" s="28"/>
      <c r="C59" s="25"/>
      <c r="D59" s="4"/>
    </row>
  </sheetData>
  <pageMargins left="0.5" right="0.5" top="0.5" bottom="0.5" header="0" footer="0"/>
  <pageSetup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06"/>
  <sheetViews>
    <sheetView zoomScale="87" zoomScaleNormal="87" workbookViewId="0">
      <selection activeCell="C6" sqref="C6"/>
    </sheetView>
  </sheetViews>
  <sheetFormatPr defaultColWidth="9.6640625" defaultRowHeight="15"/>
  <cols>
    <col min="1" max="5" width="9.6640625" style="1" customWidth="1"/>
    <col min="6" max="6" width="12.44140625" style="1" customWidth="1"/>
    <col min="7" max="7" width="11.6640625" style="1" customWidth="1"/>
    <col min="8" max="8" width="10.6640625" style="1" customWidth="1"/>
    <col min="9" max="9" width="14.77734375" style="1" customWidth="1"/>
    <col min="10" max="11" width="9.6640625" style="1"/>
    <col min="12" max="12" width="9.77734375" style="1" bestFit="1" customWidth="1"/>
    <col min="13" max="13" width="26.88671875" style="1" customWidth="1"/>
    <col min="14" max="14" width="19.21875" style="1" customWidth="1"/>
    <col min="15" max="15" width="11.88671875" style="1" customWidth="1"/>
    <col min="16" max="16" width="11.44140625" style="1" customWidth="1"/>
    <col min="17" max="16384" width="9.6640625" style="1"/>
  </cols>
  <sheetData>
    <row r="1" spans="1:17" ht="29.1" customHeight="1">
      <c r="A1" s="306" t="s">
        <v>81</v>
      </c>
      <c r="B1" s="217"/>
      <c r="C1" s="218"/>
      <c r="D1" s="219" t="s">
        <v>32</v>
      </c>
      <c r="E1" s="219" t="s">
        <v>71</v>
      </c>
      <c r="F1" s="219" t="s">
        <v>72</v>
      </c>
      <c r="G1" s="219" t="s">
        <v>73</v>
      </c>
      <c r="H1" s="219" t="s">
        <v>74</v>
      </c>
      <c r="I1" s="219" t="s">
        <v>75</v>
      </c>
      <c r="J1" s="220"/>
      <c r="K1" s="217" t="s">
        <v>1357</v>
      </c>
      <c r="L1" s="220"/>
      <c r="M1" s="220"/>
      <c r="N1" s="220"/>
      <c r="O1" s="220"/>
      <c r="P1" s="220"/>
    </row>
    <row r="2" spans="1:17" ht="15.95" customHeight="1">
      <c r="A2" s="306"/>
      <c r="B2" s="217"/>
      <c r="C2" s="218"/>
      <c r="D2" s="219"/>
      <c r="E2" s="219"/>
      <c r="F2" s="310">
        <f>(+H$3-H$4)*F$4/2</f>
        <v>4.725E-2</v>
      </c>
      <c r="G2" s="311">
        <f>(+I$4-I$3)*G$4/2</f>
        <v>0.17219999999999999</v>
      </c>
      <c r="H2" s="219"/>
      <c r="I2" s="219"/>
      <c r="J2" s="220"/>
      <c r="K2" s="225">
        <f>Parameters!Z20</f>
        <v>0.54310433446754847</v>
      </c>
      <c r="L2" s="220"/>
      <c r="M2" s="220"/>
      <c r="N2" s="220"/>
      <c r="O2" s="220"/>
      <c r="P2" s="220"/>
    </row>
    <row r="3" spans="1:17" ht="15.95" customHeight="1">
      <c r="A3" s="306"/>
      <c r="B3" s="217"/>
      <c r="C3" s="218"/>
      <c r="D3" s="219"/>
      <c r="E3" s="219"/>
      <c r="F3" s="310">
        <f>F4/(2*(+H3-H4))</f>
        <v>1.89E-3</v>
      </c>
      <c r="G3" s="311">
        <f>G4/(2*(+I4-I3))</f>
        <v>1.6006097560975613E-4</v>
      </c>
      <c r="H3" s="217">
        <v>22</v>
      </c>
      <c r="I3" s="261">
        <v>24</v>
      </c>
      <c r="J3" s="220"/>
      <c r="L3" s="220"/>
      <c r="M3" s="220"/>
      <c r="N3" s="220"/>
      <c r="O3" s="220"/>
      <c r="P3" s="220"/>
    </row>
    <row r="4" spans="1:17" ht="15.75">
      <c r="A4" s="217"/>
      <c r="B4" s="217"/>
      <c r="C4" s="217"/>
      <c r="D4" s="224">
        <f>Parameters!G20</f>
        <v>2.795138888888889E-2</v>
      </c>
      <c r="E4" s="225">
        <f>D4*1440</f>
        <v>40.25</v>
      </c>
      <c r="F4" s="226">
        <v>1.89E-2</v>
      </c>
      <c r="G4" s="226">
        <v>1.0500000000000001E-2</v>
      </c>
      <c r="H4" s="217">
        <v>17</v>
      </c>
      <c r="I4" s="261">
        <v>56.8</v>
      </c>
      <c r="J4" s="227"/>
      <c r="K4" s="220"/>
      <c r="L4" s="220"/>
      <c r="M4" s="220"/>
      <c r="N4" s="220"/>
      <c r="O4" s="220"/>
      <c r="P4" s="220"/>
    </row>
    <row r="5" spans="1:17" ht="15.75">
      <c r="A5" s="217"/>
      <c r="B5" s="217"/>
      <c r="C5" s="217"/>
      <c r="D5" s="224"/>
      <c r="E5" s="217">
        <f>E4*60</f>
        <v>2415</v>
      </c>
      <c r="F5" s="226">
        <v>9.1E-4</v>
      </c>
      <c r="G5" s="226">
        <v>5.1000000000000004E-4</v>
      </c>
      <c r="H5" s="217">
        <v>15</v>
      </c>
      <c r="I5" s="261">
        <v>76.7</v>
      </c>
      <c r="J5" s="227"/>
      <c r="K5" s="220"/>
      <c r="L5" s="220"/>
      <c r="M5" s="220"/>
      <c r="N5" s="220"/>
      <c r="O5" s="220"/>
      <c r="P5" s="220"/>
    </row>
    <row r="6" spans="1:17" ht="62.25" customHeight="1">
      <c r="A6" s="228" t="s">
        <v>69</v>
      </c>
      <c r="B6" s="228" t="s">
        <v>1207</v>
      </c>
      <c r="C6" s="228" t="s">
        <v>1351</v>
      </c>
      <c r="D6" s="228" t="s">
        <v>1208</v>
      </c>
      <c r="E6" s="228" t="s">
        <v>1209</v>
      </c>
      <c r="F6" s="422" t="s">
        <v>146</v>
      </c>
      <c r="G6" s="228" t="s">
        <v>69</v>
      </c>
      <c r="H6" s="428" t="s">
        <v>316</v>
      </c>
      <c r="I6" s="428" t="s">
        <v>237</v>
      </c>
      <c r="J6" s="428" t="s">
        <v>238</v>
      </c>
      <c r="K6" s="429" t="s">
        <v>239</v>
      </c>
      <c r="L6" s="429" t="s">
        <v>240</v>
      </c>
      <c r="M6" s="428" t="s">
        <v>241</v>
      </c>
      <c r="N6" s="429" t="s">
        <v>242</v>
      </c>
      <c r="O6" s="429" t="s">
        <v>243</v>
      </c>
      <c r="P6" s="430" t="s">
        <v>419</v>
      </c>
      <c r="Q6" s="284"/>
    </row>
    <row r="7" spans="1:17">
      <c r="A7" s="220">
        <v>1</v>
      </c>
      <c r="B7" s="220"/>
      <c r="C7" s="220"/>
      <c r="D7" s="220"/>
      <c r="E7" s="220"/>
      <c r="F7" s="220"/>
      <c r="G7" s="220">
        <v>1</v>
      </c>
      <c r="H7" s="220"/>
      <c r="I7" s="220"/>
      <c r="J7" s="220"/>
      <c r="K7" s="220"/>
      <c r="L7" s="220"/>
      <c r="M7" s="220"/>
      <c r="N7" s="220"/>
      <c r="O7" s="220"/>
      <c r="P7" s="220"/>
    </row>
    <row r="8" spans="1:17">
      <c r="A8" s="220">
        <v>2</v>
      </c>
      <c r="B8" s="220" t="s">
        <v>78</v>
      </c>
      <c r="C8" s="220"/>
      <c r="D8" s="220"/>
      <c r="E8" s="220"/>
      <c r="F8" s="220"/>
      <c r="G8" s="220">
        <v>2</v>
      </c>
      <c r="H8" s="220"/>
      <c r="I8" s="220"/>
      <c r="J8" s="220"/>
      <c r="K8" s="220"/>
      <c r="L8" s="220"/>
      <c r="M8" s="220"/>
      <c r="N8" s="220"/>
      <c r="O8" s="220"/>
      <c r="P8" s="220"/>
    </row>
    <row r="9" spans="1:17">
      <c r="A9" s="220">
        <v>3</v>
      </c>
      <c r="B9" s="307" t="s">
        <v>78</v>
      </c>
      <c r="C9" s="227"/>
      <c r="D9" s="227"/>
      <c r="E9" s="232">
        <f>'10K'!$E9*(1-$K$2)+H.Marathon!$E9*$K$2</f>
        <v>0.33193786191153124</v>
      </c>
      <c r="F9" s="220"/>
      <c r="G9" s="220">
        <v>3</v>
      </c>
      <c r="H9" s="220"/>
      <c r="I9" s="220"/>
      <c r="J9" s="220"/>
      <c r="K9" s="220"/>
      <c r="L9" s="220"/>
      <c r="M9" s="220"/>
      <c r="N9" s="220"/>
      <c r="O9" s="220"/>
      <c r="P9" s="220"/>
    </row>
    <row r="10" spans="1:17">
      <c r="A10" s="220">
        <v>4</v>
      </c>
      <c r="B10" s="234"/>
      <c r="C10" s="227"/>
      <c r="D10" s="227">
        <f t="shared" ref="D10:D41" si="0">E$4/E10</f>
        <v>98.21059876736544</v>
      </c>
      <c r="E10" s="232">
        <f>'10K'!$E10*(1-$K$2)+H.Marathon!$E10*$K$2</f>
        <v>0.4098335668978198</v>
      </c>
      <c r="F10" s="274"/>
      <c r="G10" s="220">
        <v>4</v>
      </c>
      <c r="H10" s="220"/>
      <c r="I10" s="220"/>
      <c r="J10" s="220"/>
      <c r="K10" s="220"/>
      <c r="L10" s="220"/>
      <c r="M10" s="220"/>
      <c r="N10" s="220"/>
      <c r="O10" s="220"/>
      <c r="P10" s="220"/>
    </row>
    <row r="11" spans="1:17">
      <c r="A11" s="220">
        <v>5</v>
      </c>
      <c r="B11" s="234"/>
      <c r="C11" s="227"/>
      <c r="D11" s="227">
        <f t="shared" si="0"/>
        <v>83.376198006504694</v>
      </c>
      <c r="E11" s="232">
        <f>'10K'!$E11*(1-$K$2)+H.Marathon!$E11*$K$2</f>
        <v>0.48275168408206681</v>
      </c>
      <c r="F11" s="274"/>
      <c r="G11" s="220">
        <v>5</v>
      </c>
      <c r="H11" s="220"/>
      <c r="I11" s="220"/>
      <c r="J11" s="220"/>
      <c r="K11" s="220"/>
      <c r="L11" s="220"/>
      <c r="M11" s="220"/>
      <c r="N11" s="220"/>
      <c r="O11" s="220"/>
      <c r="P11" s="220"/>
    </row>
    <row r="12" spans="1:17">
      <c r="A12" s="220">
        <v>6</v>
      </c>
      <c r="B12" s="234"/>
      <c r="C12" s="227"/>
      <c r="D12" s="227">
        <f t="shared" si="0"/>
        <v>73.08262195672971</v>
      </c>
      <c r="E12" s="232">
        <f>'10K'!$E12*(1-$K$2)+H.Marathon!$E12*$K$2</f>
        <v>0.55074652389771894</v>
      </c>
      <c r="F12" s="274"/>
      <c r="G12" s="220">
        <v>6</v>
      </c>
      <c r="H12" s="250"/>
      <c r="I12" s="220"/>
      <c r="J12" s="220"/>
      <c r="K12" s="220"/>
      <c r="L12" s="220"/>
      <c r="M12" s="220"/>
      <c r="N12" s="220"/>
      <c r="O12" s="220"/>
      <c r="P12" s="220"/>
    </row>
    <row r="13" spans="1:17">
      <c r="A13" s="220">
        <v>7</v>
      </c>
      <c r="B13" s="234">
        <v>5.7349537037037039E-2</v>
      </c>
      <c r="C13" s="227">
        <f t="shared" ref="C13:C74" si="1">B13*1440</f>
        <v>82.583333333333343</v>
      </c>
      <c r="D13" s="227">
        <f t="shared" si="0"/>
        <v>65.573173706373851</v>
      </c>
      <c r="E13" s="232">
        <f>'10K'!$E13*(1-$K$2)+H.Marathon!$E13*$K$2</f>
        <v>0.6138180863447763</v>
      </c>
      <c r="F13" s="274">
        <f>100*(D13/C13)</f>
        <v>79.402430320533412</v>
      </c>
      <c r="G13" s="220">
        <v>7</v>
      </c>
      <c r="H13" s="282" t="s">
        <v>1046</v>
      </c>
      <c r="I13" s="248" t="s">
        <v>420</v>
      </c>
      <c r="J13" s="248" t="s">
        <v>1117</v>
      </c>
      <c r="K13" s="248" t="s">
        <v>155</v>
      </c>
      <c r="L13" s="249">
        <v>39841</v>
      </c>
      <c r="M13" s="248" t="s">
        <v>1118</v>
      </c>
      <c r="N13" s="248" t="s">
        <v>1119</v>
      </c>
      <c r="O13" s="302">
        <v>42698</v>
      </c>
      <c r="P13" s="246"/>
    </row>
    <row r="14" spans="1:17">
      <c r="A14" s="220">
        <v>8</v>
      </c>
      <c r="B14" s="234">
        <v>5.2685185185185182E-2</v>
      </c>
      <c r="C14" s="227">
        <f t="shared" si="1"/>
        <v>75.86666666666666</v>
      </c>
      <c r="D14" s="227">
        <f t="shared" si="0"/>
        <v>59.903672425090612</v>
      </c>
      <c r="E14" s="232">
        <f>'10K'!$E14*(1-$K$2)+H.Marathon!$E14*$K$2</f>
        <v>0.67191206098979195</v>
      </c>
      <c r="F14" s="274">
        <f>100*(D14/C14)</f>
        <v>78.959146430260034</v>
      </c>
      <c r="G14" s="220">
        <v>8</v>
      </c>
      <c r="H14" s="282" t="s">
        <v>1047</v>
      </c>
      <c r="I14" s="248" t="s">
        <v>247</v>
      </c>
      <c r="J14" s="248" t="s">
        <v>248</v>
      </c>
      <c r="K14" s="248" t="s">
        <v>155</v>
      </c>
      <c r="L14" s="249">
        <v>38897</v>
      </c>
      <c r="M14" s="246"/>
      <c r="N14" s="248" t="s">
        <v>1120</v>
      </c>
      <c r="O14" s="302">
        <v>42000</v>
      </c>
      <c r="P14" s="246"/>
    </row>
    <row r="15" spans="1:17">
      <c r="A15" s="220">
        <v>9</v>
      </c>
      <c r="B15" s="234">
        <v>5.3981481481481484E-2</v>
      </c>
      <c r="C15" s="227">
        <f t="shared" si="1"/>
        <v>77.733333333333334</v>
      </c>
      <c r="D15" s="227">
        <f t="shared" si="0"/>
        <v>55.515063057613972</v>
      </c>
      <c r="E15" s="232">
        <f>'10K'!$E15*(1-$K$2)+H.Marathon!$E15*$K$2</f>
        <v>0.72502844783276621</v>
      </c>
      <c r="F15" s="274"/>
      <c r="G15" s="220">
        <v>9</v>
      </c>
      <c r="H15" s="282" t="s">
        <v>1048</v>
      </c>
      <c r="I15" s="248" t="s">
        <v>247</v>
      </c>
      <c r="J15" s="248" t="s">
        <v>248</v>
      </c>
      <c r="K15" s="248" t="s">
        <v>155</v>
      </c>
      <c r="L15" s="249">
        <v>38897</v>
      </c>
      <c r="M15" s="246"/>
      <c r="N15" s="248" t="s">
        <v>1120</v>
      </c>
      <c r="O15" s="302">
        <v>42364</v>
      </c>
      <c r="P15" s="246"/>
    </row>
    <row r="16" spans="1:17">
      <c r="A16" s="220">
        <v>10</v>
      </c>
      <c r="B16" s="234">
        <v>5.0219907407407408E-2</v>
      </c>
      <c r="C16" s="227">
        <f t="shared" si="1"/>
        <v>72.316666666666663</v>
      </c>
      <c r="D16" s="227">
        <f t="shared" si="0"/>
        <v>52.051281669509571</v>
      </c>
      <c r="E16" s="232">
        <f>'10K'!$E16*(1-$K$2)+H.Marathon!$E16*$K$2</f>
        <v>0.77327586774059232</v>
      </c>
      <c r="F16" s="274"/>
      <c r="G16" s="220">
        <v>10</v>
      </c>
      <c r="H16" s="282" t="s">
        <v>1049</v>
      </c>
      <c r="I16" s="248" t="s">
        <v>725</v>
      </c>
      <c r="J16" s="248" t="s">
        <v>726</v>
      </c>
      <c r="K16" s="248" t="s">
        <v>155</v>
      </c>
      <c r="L16" s="249">
        <v>38514</v>
      </c>
      <c r="M16" s="246" t="s">
        <v>1121</v>
      </c>
      <c r="N16" s="248" t="s">
        <v>1122</v>
      </c>
      <c r="O16" s="302">
        <v>42441</v>
      </c>
      <c r="P16" s="246"/>
    </row>
    <row r="17" spans="1:16">
      <c r="A17" s="220">
        <v>11</v>
      </c>
      <c r="B17" s="234"/>
      <c r="C17" s="227"/>
      <c r="D17" s="227">
        <f t="shared" si="0"/>
        <v>49.293015697189453</v>
      </c>
      <c r="E17" s="232">
        <f>'10K'!$E17*(1-$K$2)+H.Marathon!$E17*$K$2</f>
        <v>0.81654569984637682</v>
      </c>
      <c r="F17" s="274"/>
      <c r="G17" s="220">
        <v>11</v>
      </c>
      <c r="H17" s="308"/>
      <c r="I17" s="220"/>
      <c r="J17" s="220"/>
      <c r="K17" s="220"/>
      <c r="L17" s="220"/>
      <c r="M17" s="220"/>
      <c r="N17" s="220"/>
      <c r="O17" s="303"/>
      <c r="P17" s="220"/>
    </row>
    <row r="18" spans="1:16">
      <c r="A18" s="220">
        <v>12</v>
      </c>
      <c r="B18" s="234">
        <v>4.5138888888888888E-2</v>
      </c>
      <c r="C18" s="227">
        <f t="shared" si="1"/>
        <v>65</v>
      </c>
      <c r="D18" s="227">
        <f t="shared" si="0"/>
        <v>47.084947826007614</v>
      </c>
      <c r="E18" s="232">
        <f>'10K'!$E18*(1-$K$2)+H.Marathon!$E18*$K$2</f>
        <v>0.85483794415011971</v>
      </c>
      <c r="F18" s="274">
        <f>100*(D18/C18)</f>
        <v>72.438381270780951</v>
      </c>
      <c r="G18" s="220">
        <v>12</v>
      </c>
      <c r="H18" s="282" t="s">
        <v>1050</v>
      </c>
      <c r="I18" s="248" t="s">
        <v>1123</v>
      </c>
      <c r="J18" s="248" t="s">
        <v>1124</v>
      </c>
      <c r="K18" s="248" t="s">
        <v>155</v>
      </c>
      <c r="L18" s="249">
        <v>37912</v>
      </c>
      <c r="M18" s="246"/>
      <c r="N18" s="248" t="s">
        <v>1125</v>
      </c>
      <c r="O18" s="302">
        <v>42379</v>
      </c>
      <c r="P18" s="246"/>
    </row>
    <row r="19" spans="1:16">
      <c r="A19" s="220">
        <v>13</v>
      </c>
      <c r="B19" s="234">
        <v>4.2361111111111113E-2</v>
      </c>
      <c r="C19" s="227">
        <f t="shared" si="1"/>
        <v>61</v>
      </c>
      <c r="D19" s="227">
        <f t="shared" si="0"/>
        <v>45.316017582907556</v>
      </c>
      <c r="E19" s="232">
        <f>'10K'!$E19*(1-$K$2)+H.Marathon!$E19*$K$2</f>
        <v>0.88820691108526773</v>
      </c>
      <c r="F19" s="274">
        <f t="shared" ref="F19:F50" si="2">100*(D19/C19)</f>
        <v>74.288553414602561</v>
      </c>
      <c r="G19" s="220">
        <v>13</v>
      </c>
      <c r="H19" s="282" t="s">
        <v>1051</v>
      </c>
      <c r="I19" s="248" t="s">
        <v>1126</v>
      </c>
      <c r="J19" s="248" t="s">
        <v>1127</v>
      </c>
      <c r="K19" s="248" t="s">
        <v>155</v>
      </c>
      <c r="L19" s="249">
        <v>23526</v>
      </c>
      <c r="M19" s="246"/>
      <c r="N19" s="248" t="s">
        <v>1128</v>
      </c>
      <c r="O19" s="302">
        <v>28310</v>
      </c>
      <c r="P19" s="246"/>
    </row>
    <row r="20" spans="1:16">
      <c r="A20" s="220">
        <v>14</v>
      </c>
      <c r="B20" s="234">
        <v>3.8553240740740742E-2</v>
      </c>
      <c r="C20" s="227">
        <f t="shared" si="1"/>
        <v>55.516666666666666</v>
      </c>
      <c r="D20" s="227">
        <f t="shared" si="0"/>
        <v>43.909764693165862</v>
      </c>
      <c r="E20" s="232">
        <f>'10K'!$E20*(1-$K$2)+H.Marathon!$E20*$K$2</f>
        <v>0.91665260065182108</v>
      </c>
      <c r="F20" s="274">
        <f t="shared" si="2"/>
        <v>79.092941506753277</v>
      </c>
      <c r="G20" s="220">
        <v>14</v>
      </c>
      <c r="H20" s="282" t="s">
        <v>1052</v>
      </c>
      <c r="I20" s="248" t="s">
        <v>740</v>
      </c>
      <c r="J20" s="248" t="s">
        <v>741</v>
      </c>
      <c r="K20" s="248" t="s">
        <v>155</v>
      </c>
      <c r="L20" s="249">
        <v>23929</v>
      </c>
      <c r="M20" s="246"/>
      <c r="N20" s="248" t="s">
        <v>1129</v>
      </c>
      <c r="O20" s="302">
        <v>29387</v>
      </c>
      <c r="P20" s="246"/>
    </row>
    <row r="21" spans="1:16">
      <c r="A21" s="220">
        <v>15</v>
      </c>
      <c r="B21" s="234">
        <v>3.5486111111111114E-2</v>
      </c>
      <c r="C21" s="227">
        <f t="shared" si="1"/>
        <v>51.1</v>
      </c>
      <c r="D21" s="227">
        <f t="shared" si="0"/>
        <v>42.813651371093066</v>
      </c>
      <c r="E21" s="232">
        <f>'10K'!$E21*(1-$K$2)+H.Marathon!$E21*$K$2</f>
        <v>0.94012070241633272</v>
      </c>
      <c r="F21" s="274">
        <f t="shared" si="2"/>
        <v>83.784053563782905</v>
      </c>
      <c r="G21" s="220">
        <v>15</v>
      </c>
      <c r="H21" s="282" t="s">
        <v>1053</v>
      </c>
      <c r="I21" s="248" t="s">
        <v>253</v>
      </c>
      <c r="J21" s="248" t="s">
        <v>254</v>
      </c>
      <c r="K21" s="248" t="s">
        <v>176</v>
      </c>
      <c r="L21" s="249">
        <v>31963</v>
      </c>
      <c r="M21" s="246"/>
      <c r="N21" s="248" t="s">
        <v>1130</v>
      </c>
      <c r="O21" s="302">
        <v>37577</v>
      </c>
      <c r="P21" s="246"/>
    </row>
    <row r="22" spans="1:16">
      <c r="A22" s="220">
        <v>16</v>
      </c>
      <c r="B22" s="234">
        <v>3.5868055555555556E-2</v>
      </c>
      <c r="C22" s="227">
        <f t="shared" si="1"/>
        <v>51.65</v>
      </c>
      <c r="D22" s="227">
        <f t="shared" si="0"/>
        <v>41.985446304551203</v>
      </c>
      <c r="E22" s="232">
        <f>'10K'!$E22*(1-$K$2)+H.Marathon!$E22*$K$2</f>
        <v>0.95866552681224959</v>
      </c>
      <c r="F22" s="274">
        <f t="shared" si="2"/>
        <v>81.288376194678037</v>
      </c>
      <c r="G22" s="220">
        <v>16</v>
      </c>
      <c r="H22" s="282" t="s">
        <v>1054</v>
      </c>
      <c r="I22" s="248" t="s">
        <v>736</v>
      </c>
      <c r="J22" s="248" t="s">
        <v>737</v>
      </c>
      <c r="K22" s="248" t="s">
        <v>738</v>
      </c>
      <c r="L22" s="249">
        <v>30468</v>
      </c>
      <c r="M22" s="246"/>
      <c r="N22" s="248" t="s">
        <v>1131</v>
      </c>
      <c r="O22" s="302">
        <v>36653</v>
      </c>
      <c r="P22" s="246"/>
    </row>
    <row r="23" spans="1:16">
      <c r="A23" s="220">
        <v>17</v>
      </c>
      <c r="B23" s="234">
        <v>3.4189814814814812E-2</v>
      </c>
      <c r="C23" s="227">
        <f t="shared" si="1"/>
        <v>49.233333333333327</v>
      </c>
      <c r="D23" s="227">
        <f t="shared" si="0"/>
        <v>41.392614363795779</v>
      </c>
      <c r="E23" s="232">
        <f>'10K'!$E23*(1-$K$2)+H.Marathon!$E23*$K$2</f>
        <v>0.97239569470646503</v>
      </c>
      <c r="F23" s="274">
        <f t="shared" si="2"/>
        <v>84.074369053072004</v>
      </c>
      <c r="G23" s="220">
        <v>17</v>
      </c>
      <c r="H23" s="282" t="s">
        <v>385</v>
      </c>
      <c r="I23" s="248" t="s">
        <v>257</v>
      </c>
      <c r="J23" s="248" t="s">
        <v>258</v>
      </c>
      <c r="K23" s="248" t="s">
        <v>160</v>
      </c>
      <c r="L23" s="249">
        <v>34251</v>
      </c>
      <c r="M23" s="246"/>
      <c r="N23" s="248" t="s">
        <v>1132</v>
      </c>
      <c r="O23" s="302">
        <v>40677</v>
      </c>
      <c r="P23" s="246"/>
    </row>
    <row r="24" spans="1:16">
      <c r="A24" s="220">
        <v>18</v>
      </c>
      <c r="B24" s="234">
        <v>3.4560185185185187E-2</v>
      </c>
      <c r="C24" s="227">
        <f t="shared" si="1"/>
        <v>49.766666666666666</v>
      </c>
      <c r="D24" s="227">
        <f t="shared" si="0"/>
        <v>40.923688465795323</v>
      </c>
      <c r="E24" s="232">
        <f>'10K'!$E24*(1-$K$2)+H.Marathon!$E24*$K$2</f>
        <v>0.98353793387029609</v>
      </c>
      <c r="F24" s="274">
        <f t="shared" si="2"/>
        <v>82.231122168376402</v>
      </c>
      <c r="G24" s="220">
        <v>18</v>
      </c>
      <c r="H24" s="282" t="s">
        <v>1055</v>
      </c>
      <c r="I24" s="248" t="s">
        <v>1133</v>
      </c>
      <c r="J24" s="248" t="s">
        <v>1134</v>
      </c>
      <c r="K24" s="248" t="s">
        <v>163</v>
      </c>
      <c r="L24" s="249">
        <v>35867</v>
      </c>
      <c r="M24" s="246"/>
      <c r="N24" s="248" t="s">
        <v>1135</v>
      </c>
      <c r="O24" s="302">
        <v>42491</v>
      </c>
      <c r="P24" s="246"/>
    </row>
    <row r="25" spans="1:16">
      <c r="A25" s="220">
        <v>19</v>
      </c>
      <c r="B25" s="234">
        <v>3.3715277777777775E-2</v>
      </c>
      <c r="C25" s="227">
        <f t="shared" si="1"/>
        <v>48.55</v>
      </c>
      <c r="D25" s="227">
        <f t="shared" si="0"/>
        <v>40.539754229698204</v>
      </c>
      <c r="E25" s="232">
        <f>'10K'!$E25*(1-$K$2)+H.Marathon!$E25*$K$2</f>
        <v>0.99285259037199736</v>
      </c>
      <c r="F25" s="274">
        <f t="shared" si="2"/>
        <v>83.501038578163147</v>
      </c>
      <c r="G25" s="220">
        <v>19</v>
      </c>
      <c r="H25" s="282" t="s">
        <v>507</v>
      </c>
      <c r="I25" s="248" t="s">
        <v>1136</v>
      </c>
      <c r="J25" s="248" t="s">
        <v>1137</v>
      </c>
      <c r="K25" s="248" t="s">
        <v>163</v>
      </c>
      <c r="L25" s="249">
        <v>33619</v>
      </c>
      <c r="M25" s="246"/>
      <c r="N25" s="248" t="s">
        <v>1130</v>
      </c>
      <c r="O25" s="302">
        <v>40867</v>
      </c>
      <c r="P25" s="246"/>
    </row>
    <row r="26" spans="1:16">
      <c r="A26" s="220">
        <v>20</v>
      </c>
      <c r="B26" s="234">
        <v>3.4097222222222223E-2</v>
      </c>
      <c r="C26" s="227">
        <f t="shared" si="1"/>
        <v>49.1</v>
      </c>
      <c r="D26" s="227">
        <f t="shared" si="0"/>
        <v>40.308934327604845</v>
      </c>
      <c r="E26" s="232">
        <f>'10K'!$E26*(1-$K$2)+H.Marathon!$E26*$K$2</f>
        <v>0.99853793387029621</v>
      </c>
      <c r="F26" s="274">
        <f t="shared" si="2"/>
        <v>82.095589261924331</v>
      </c>
      <c r="G26" s="220">
        <v>20</v>
      </c>
      <c r="H26" s="282" t="s">
        <v>1056</v>
      </c>
      <c r="I26" s="248" t="s">
        <v>1138</v>
      </c>
      <c r="J26" s="248" t="s">
        <v>1139</v>
      </c>
      <c r="K26" s="248" t="s">
        <v>163</v>
      </c>
      <c r="L26" s="249">
        <v>30573</v>
      </c>
      <c r="M26" s="246"/>
      <c r="N26" s="248" t="s">
        <v>1130</v>
      </c>
      <c r="O26" s="302">
        <v>37941</v>
      </c>
      <c r="P26" s="246"/>
    </row>
    <row r="27" spans="1:16" ht="15.75">
      <c r="A27" s="220">
        <v>21</v>
      </c>
      <c r="B27" s="234">
        <v>3.0787037037037036E-2</v>
      </c>
      <c r="C27" s="227">
        <f t="shared" si="1"/>
        <v>44.333333333333336</v>
      </c>
      <c r="D27" s="227">
        <f t="shared" si="0"/>
        <v>40.25</v>
      </c>
      <c r="E27" s="232">
        <f>'10K'!$E27*(1-$K$2)+H.Marathon!$E27*$K$2</f>
        <v>1</v>
      </c>
      <c r="F27" s="274">
        <f t="shared" si="2"/>
        <v>90.78947368421052</v>
      </c>
      <c r="G27" s="220">
        <v>21</v>
      </c>
      <c r="H27" s="282" t="s">
        <v>1057</v>
      </c>
      <c r="I27" s="248" t="s">
        <v>401</v>
      </c>
      <c r="J27" s="248" t="s">
        <v>402</v>
      </c>
      <c r="K27" s="248" t="s">
        <v>163</v>
      </c>
      <c r="L27" s="249">
        <v>35874</v>
      </c>
      <c r="M27" s="246"/>
      <c r="N27" s="258" t="s">
        <v>1140</v>
      </c>
      <c r="O27" s="302">
        <v>43786</v>
      </c>
      <c r="P27" s="246"/>
    </row>
    <row r="28" spans="1:16">
      <c r="A28" s="220">
        <v>22</v>
      </c>
      <c r="B28" s="234">
        <v>3.349537037037037E-2</v>
      </c>
      <c r="C28" s="227">
        <f t="shared" si="1"/>
        <v>48.233333333333334</v>
      </c>
      <c r="D28" s="227">
        <f t="shared" si="0"/>
        <v>40.25</v>
      </c>
      <c r="E28" s="232">
        <f>'10K'!$E28*(1-$K$2)+H.Marathon!$E28*$K$2</f>
        <v>1</v>
      </c>
      <c r="F28" s="274">
        <f t="shared" si="2"/>
        <v>83.448514167242564</v>
      </c>
      <c r="G28" s="220">
        <v>22</v>
      </c>
      <c r="H28" s="282" t="s">
        <v>1058</v>
      </c>
      <c r="I28" s="248" t="s">
        <v>262</v>
      </c>
      <c r="J28" s="248" t="s">
        <v>263</v>
      </c>
      <c r="K28" s="248" t="s">
        <v>160</v>
      </c>
      <c r="L28" s="249">
        <v>34239</v>
      </c>
      <c r="M28" s="246"/>
      <c r="N28" s="248" t="s">
        <v>328</v>
      </c>
      <c r="O28" s="302">
        <v>42455</v>
      </c>
      <c r="P28" s="246"/>
    </row>
    <row r="29" spans="1:16" ht="15.75">
      <c r="A29" s="220">
        <v>23</v>
      </c>
      <c r="B29" s="234">
        <v>3.0787037037037036E-2</v>
      </c>
      <c r="C29" s="227">
        <f t="shared" si="1"/>
        <v>44.333333333333336</v>
      </c>
      <c r="D29" s="227">
        <f t="shared" si="0"/>
        <v>40.25</v>
      </c>
      <c r="E29" s="232">
        <f>'10K'!$E29*(1-$K$2)+H.Marathon!$E29*$K$2</f>
        <v>1</v>
      </c>
      <c r="F29" s="274">
        <f t="shared" si="2"/>
        <v>90.78947368421052</v>
      </c>
      <c r="G29" s="220">
        <v>23</v>
      </c>
      <c r="H29" s="294" t="s">
        <v>1059</v>
      </c>
      <c r="I29" s="309" t="s">
        <v>401</v>
      </c>
      <c r="J29" s="309" t="s">
        <v>402</v>
      </c>
      <c r="K29" s="309" t="s">
        <v>163</v>
      </c>
      <c r="L29" s="281">
        <v>35874</v>
      </c>
      <c r="M29" s="257" t="s">
        <v>1141</v>
      </c>
      <c r="N29" s="309" t="s">
        <v>324</v>
      </c>
      <c r="O29" s="304">
        <v>44493</v>
      </c>
      <c r="P29" s="295" t="s">
        <v>597</v>
      </c>
    </row>
    <row r="30" spans="1:16">
      <c r="A30" s="220">
        <v>24</v>
      </c>
      <c r="B30" s="234">
        <v>3.2268518518518516E-2</v>
      </c>
      <c r="C30" s="227">
        <f t="shared" si="1"/>
        <v>46.466666666666661</v>
      </c>
      <c r="D30" s="227">
        <f t="shared" si="0"/>
        <v>40.25</v>
      </c>
      <c r="E30" s="232">
        <f>'10K'!$E30*(1-$K$2)+H.Marathon!$E30*$K$2</f>
        <v>1</v>
      </c>
      <c r="F30" s="274">
        <f t="shared" si="2"/>
        <v>86.621233859397435</v>
      </c>
      <c r="G30" s="220">
        <v>24</v>
      </c>
      <c r="H30" s="282" t="s">
        <v>1060</v>
      </c>
      <c r="I30" s="248" t="s">
        <v>162</v>
      </c>
      <c r="J30" s="248" t="s">
        <v>270</v>
      </c>
      <c r="K30" s="248" t="s">
        <v>163</v>
      </c>
      <c r="L30" s="249">
        <v>31199</v>
      </c>
      <c r="M30" s="246"/>
      <c r="N30" s="248" t="s">
        <v>1130</v>
      </c>
      <c r="O30" s="302">
        <v>40132</v>
      </c>
      <c r="P30" s="246"/>
    </row>
    <row r="31" spans="1:16">
      <c r="A31" s="220">
        <v>25</v>
      </c>
      <c r="B31" s="234">
        <v>3.2604166666666663E-2</v>
      </c>
      <c r="C31" s="227">
        <f t="shared" si="1"/>
        <v>46.949999999999996</v>
      </c>
      <c r="D31" s="227">
        <f t="shared" si="0"/>
        <v>40.25</v>
      </c>
      <c r="E31" s="232">
        <f>'10K'!$E31*(1-$K$2)+H.Marathon!$E31*$K$2</f>
        <v>1</v>
      </c>
      <c r="F31" s="274">
        <f t="shared" si="2"/>
        <v>85.72949946751865</v>
      </c>
      <c r="G31" s="220">
        <v>25</v>
      </c>
      <c r="H31" s="282" t="s">
        <v>1061</v>
      </c>
      <c r="I31" s="248" t="s">
        <v>1138</v>
      </c>
      <c r="J31" s="248" t="s">
        <v>1139</v>
      </c>
      <c r="K31" s="248" t="s">
        <v>163</v>
      </c>
      <c r="L31" s="249">
        <v>30573</v>
      </c>
      <c r="M31" s="246"/>
      <c r="N31" s="248" t="s">
        <v>1130</v>
      </c>
      <c r="O31" s="302">
        <v>39768</v>
      </c>
      <c r="P31" s="246"/>
    </row>
    <row r="32" spans="1:16">
      <c r="A32" s="220">
        <v>26</v>
      </c>
      <c r="B32" s="234">
        <v>3.3194444444444443E-2</v>
      </c>
      <c r="C32" s="227">
        <f t="shared" si="1"/>
        <v>47.8</v>
      </c>
      <c r="D32" s="227">
        <f t="shared" si="0"/>
        <v>40.25</v>
      </c>
      <c r="E32" s="232">
        <f>'10K'!$E32*(1-$K$2)+H.Marathon!$E32*$K$2</f>
        <v>1</v>
      </c>
      <c r="F32" s="274">
        <f t="shared" si="2"/>
        <v>84.205020920502093</v>
      </c>
      <c r="G32" s="220">
        <v>26</v>
      </c>
      <c r="H32" s="282" t="s">
        <v>1062</v>
      </c>
      <c r="I32" s="248" t="s">
        <v>1142</v>
      </c>
      <c r="J32" s="248" t="s">
        <v>1143</v>
      </c>
      <c r="K32" s="248" t="s">
        <v>163</v>
      </c>
      <c r="L32" s="249">
        <v>30345</v>
      </c>
      <c r="M32" s="246"/>
      <c r="N32" s="248" t="s">
        <v>1130</v>
      </c>
      <c r="O32" s="302">
        <v>40132</v>
      </c>
      <c r="P32" s="246"/>
    </row>
    <row r="33" spans="1:16">
      <c r="A33" s="220">
        <v>27</v>
      </c>
      <c r="B33" s="234">
        <v>3.2662037037037038E-2</v>
      </c>
      <c r="C33" s="227">
        <f t="shared" si="1"/>
        <v>47.033333333333331</v>
      </c>
      <c r="D33" s="227">
        <f t="shared" si="0"/>
        <v>40.25</v>
      </c>
      <c r="E33" s="232">
        <f>'10K'!$E33*(1-$K$2)+H.Marathon!$E33*$K$2</f>
        <v>1</v>
      </c>
      <c r="F33" s="274">
        <f t="shared" si="2"/>
        <v>85.577604535790215</v>
      </c>
      <c r="G33" s="220">
        <v>27</v>
      </c>
      <c r="H33" s="282" t="s">
        <v>1063</v>
      </c>
      <c r="I33" s="248" t="s">
        <v>167</v>
      </c>
      <c r="J33" s="248" t="s">
        <v>168</v>
      </c>
      <c r="K33" s="248" t="s">
        <v>160</v>
      </c>
      <c r="L33" s="249">
        <v>28256</v>
      </c>
      <c r="M33" s="246"/>
      <c r="N33" s="248" t="s">
        <v>1130</v>
      </c>
      <c r="O33" s="302">
        <v>38312</v>
      </c>
      <c r="P33" s="246"/>
    </row>
    <row r="34" spans="1:16">
      <c r="A34" s="220">
        <v>28</v>
      </c>
      <c r="B34" s="234">
        <v>3.3009259259259259E-2</v>
      </c>
      <c r="C34" s="227">
        <f t="shared" si="1"/>
        <v>47.533333333333331</v>
      </c>
      <c r="D34" s="227">
        <f t="shared" si="0"/>
        <v>40.253678346231631</v>
      </c>
      <c r="E34" s="232">
        <f>'10K'!$E34*(1-$K$2)+H.Marathon!$E34*$K$2</f>
        <v>0.99990862086689347</v>
      </c>
      <c r="F34" s="274">
        <f t="shared" si="2"/>
        <v>84.685157811146496</v>
      </c>
      <c r="G34" s="220">
        <v>28</v>
      </c>
      <c r="H34" s="282" t="s">
        <v>1064</v>
      </c>
      <c r="I34" s="248" t="s">
        <v>448</v>
      </c>
      <c r="J34" s="248" t="s">
        <v>452</v>
      </c>
      <c r="K34" s="248" t="s">
        <v>160</v>
      </c>
      <c r="L34" s="249">
        <v>31461</v>
      </c>
      <c r="M34" s="246"/>
      <c r="N34" s="248" t="s">
        <v>1130</v>
      </c>
      <c r="O34" s="302">
        <v>41959</v>
      </c>
      <c r="P34" s="246"/>
    </row>
    <row r="35" spans="1:16">
      <c r="A35" s="220">
        <v>29</v>
      </c>
      <c r="B35" s="234">
        <v>3.3333333333333333E-2</v>
      </c>
      <c r="C35" s="227">
        <f t="shared" si="1"/>
        <v>48</v>
      </c>
      <c r="D35" s="227">
        <f t="shared" si="0"/>
        <v>40.268398456712802</v>
      </c>
      <c r="E35" s="232">
        <f>'10K'!$E35*(1-$K$2)+H.Marathon!$E35*$K$2</f>
        <v>0.99954310433446758</v>
      </c>
      <c r="F35" s="274">
        <f t="shared" si="2"/>
        <v>83.892496784818334</v>
      </c>
      <c r="G35" s="220">
        <v>29</v>
      </c>
      <c r="H35" s="282" t="s">
        <v>1065</v>
      </c>
      <c r="I35" s="248" t="s">
        <v>166</v>
      </c>
      <c r="J35" s="248" t="s">
        <v>1144</v>
      </c>
      <c r="K35" s="248" t="s">
        <v>160</v>
      </c>
      <c r="L35" s="249">
        <v>27962</v>
      </c>
      <c r="M35" s="246"/>
      <c r="N35" s="248" t="s">
        <v>1130</v>
      </c>
      <c r="O35" s="302">
        <v>38676</v>
      </c>
      <c r="P35" s="246"/>
    </row>
    <row r="36" spans="1:16">
      <c r="A36" s="220">
        <v>30</v>
      </c>
      <c r="B36" s="234">
        <v>3.2627314814814817E-2</v>
      </c>
      <c r="C36" s="227">
        <f t="shared" si="1"/>
        <v>46.983333333333334</v>
      </c>
      <c r="D36" s="227">
        <f t="shared" si="0"/>
        <v>40.290498819399993</v>
      </c>
      <c r="E36" s="232">
        <f>'10K'!$E36*(1-$K$2)+H.Marathon!$E36*$K$2</f>
        <v>0.99899482953582863</v>
      </c>
      <c r="F36" s="274">
        <f t="shared" si="2"/>
        <v>85.754875103369983</v>
      </c>
      <c r="G36" s="220">
        <v>30</v>
      </c>
      <c r="H36" s="282" t="s">
        <v>1066</v>
      </c>
      <c r="I36" s="248" t="s">
        <v>285</v>
      </c>
      <c r="J36" s="248" t="s">
        <v>1145</v>
      </c>
      <c r="K36" s="248" t="s">
        <v>160</v>
      </c>
      <c r="L36" s="249">
        <v>30857</v>
      </c>
      <c r="M36" s="246"/>
      <c r="N36" s="248" t="s">
        <v>1130</v>
      </c>
      <c r="O36" s="302">
        <v>41959</v>
      </c>
      <c r="P36" s="246"/>
    </row>
    <row r="37" spans="1:16">
      <c r="A37" s="220">
        <v>31</v>
      </c>
      <c r="B37" s="234">
        <v>3.2835648148148149E-2</v>
      </c>
      <c r="C37" s="227">
        <f t="shared" si="1"/>
        <v>47.283333333333331</v>
      </c>
      <c r="D37" s="227">
        <f t="shared" si="0"/>
        <v>40.32369488564602</v>
      </c>
      <c r="E37" s="232">
        <f>'10K'!$E37*(1-$K$2)+H.Marathon!$E37*$K$2</f>
        <v>0.99817241733787021</v>
      </c>
      <c r="F37" s="274">
        <f t="shared" si="2"/>
        <v>85.280990241056088</v>
      </c>
      <c r="G37" s="220">
        <v>31</v>
      </c>
      <c r="H37" s="282" t="s">
        <v>1067</v>
      </c>
      <c r="I37" s="248" t="s">
        <v>274</v>
      </c>
      <c r="J37" s="248" t="s">
        <v>275</v>
      </c>
      <c r="K37" s="248" t="s">
        <v>256</v>
      </c>
      <c r="L37" s="249">
        <v>20535</v>
      </c>
      <c r="M37" s="246"/>
      <c r="N37" s="248" t="s">
        <v>1146</v>
      </c>
      <c r="O37" s="302">
        <v>32102</v>
      </c>
      <c r="P37" s="246"/>
    </row>
    <row r="38" spans="1:16">
      <c r="A38" s="220">
        <v>32</v>
      </c>
      <c r="B38" s="234">
        <v>3.2638888888888891E-2</v>
      </c>
      <c r="C38" s="227">
        <f t="shared" si="1"/>
        <v>47</v>
      </c>
      <c r="D38" s="227">
        <f t="shared" si="0"/>
        <v>40.368739560681838</v>
      </c>
      <c r="E38" s="232">
        <f>'10K'!$E38*(1-$K$2)+H.Marathon!$E38*$K$2</f>
        <v>0.99705862600680528</v>
      </c>
      <c r="F38" s="274">
        <f t="shared" si="2"/>
        <v>85.890935235493274</v>
      </c>
      <c r="G38" s="220">
        <v>32</v>
      </c>
      <c r="H38" s="282" t="s">
        <v>1068</v>
      </c>
      <c r="I38" s="248" t="s">
        <v>276</v>
      </c>
      <c r="J38" s="248" t="s">
        <v>277</v>
      </c>
      <c r="K38" s="248" t="s">
        <v>155</v>
      </c>
      <c r="L38" s="249">
        <v>29775</v>
      </c>
      <c r="M38" s="246" t="s">
        <v>1121</v>
      </c>
      <c r="N38" s="248" t="s">
        <v>1122</v>
      </c>
      <c r="O38" s="302">
        <v>41713</v>
      </c>
      <c r="P38" s="246"/>
    </row>
    <row r="39" spans="1:16">
      <c r="A39" s="220">
        <v>33</v>
      </c>
      <c r="B39" s="234">
        <v>3.3067129629629627E-2</v>
      </c>
      <c r="C39" s="227">
        <f t="shared" si="1"/>
        <v>47.61666666666666</v>
      </c>
      <c r="D39" s="227">
        <f t="shared" si="0"/>
        <v>40.44707461181595</v>
      </c>
      <c r="E39" s="232">
        <f>'10K'!$E39*(1-$K$2)+H.Marathon!$E39*$K$2</f>
        <v>0.99512759294195341</v>
      </c>
      <c r="F39" s="274">
        <f t="shared" si="2"/>
        <v>84.943103840005506</v>
      </c>
      <c r="G39" s="220">
        <v>33</v>
      </c>
      <c r="H39" s="282" t="s">
        <v>1069</v>
      </c>
      <c r="I39" s="248" t="s">
        <v>178</v>
      </c>
      <c r="J39" s="248" t="s">
        <v>272</v>
      </c>
      <c r="K39" s="248" t="s">
        <v>179</v>
      </c>
      <c r="L39" s="249">
        <v>27150</v>
      </c>
      <c r="M39" s="246"/>
      <c r="N39" s="248" t="s">
        <v>1130</v>
      </c>
      <c r="O39" s="302">
        <v>39404</v>
      </c>
      <c r="P39" s="246"/>
    </row>
    <row r="40" spans="1:16">
      <c r="A40" s="220">
        <v>34</v>
      </c>
      <c r="B40" s="234">
        <v>3.2870370370370369E-2</v>
      </c>
      <c r="C40" s="227">
        <f t="shared" si="1"/>
        <v>47.333333333333329</v>
      </c>
      <c r="D40" s="227">
        <f t="shared" si="0"/>
        <v>40.553134366732017</v>
      </c>
      <c r="E40" s="232">
        <f>'10K'!$E40*(1-$K$2)+H.Marathon!$E40*$K$2</f>
        <v>0.99252500770986773</v>
      </c>
      <c r="F40" s="274">
        <f t="shared" si="2"/>
        <v>85.675635986053564</v>
      </c>
      <c r="G40" s="220">
        <v>34</v>
      </c>
      <c r="H40" s="282" t="s">
        <v>1070</v>
      </c>
      <c r="I40" s="248" t="s">
        <v>193</v>
      </c>
      <c r="J40" s="248" t="s">
        <v>1147</v>
      </c>
      <c r="K40" s="248" t="s">
        <v>155</v>
      </c>
      <c r="L40" s="249">
        <v>26709</v>
      </c>
      <c r="M40" s="246" t="s">
        <v>1121</v>
      </c>
      <c r="N40" s="248" t="s">
        <v>1122</v>
      </c>
      <c r="O40" s="302">
        <v>39151</v>
      </c>
      <c r="P40" s="246"/>
    </row>
    <row r="41" spans="1:16">
      <c r="A41" s="220">
        <v>35</v>
      </c>
      <c r="B41" s="234">
        <v>3.4305555555555554E-2</v>
      </c>
      <c r="C41" s="227">
        <f t="shared" si="1"/>
        <v>49.4</v>
      </c>
      <c r="D41" s="227">
        <f t="shared" si="0"/>
        <v>40.691112362566109</v>
      </c>
      <c r="E41" s="232">
        <f>'10K'!$E41*(1-$K$2)+H.Marathon!$E41*$K$2</f>
        <v>0.98915949117744173</v>
      </c>
      <c r="F41" s="274">
        <f t="shared" si="2"/>
        <v>82.370672798716825</v>
      </c>
      <c r="G41" s="220">
        <v>35</v>
      </c>
      <c r="H41" s="282" t="s">
        <v>1071</v>
      </c>
      <c r="I41" s="248" t="s">
        <v>632</v>
      </c>
      <c r="J41" s="248" t="s">
        <v>787</v>
      </c>
      <c r="K41" s="248" t="s">
        <v>155</v>
      </c>
      <c r="L41" s="249">
        <v>28724</v>
      </c>
      <c r="M41" s="246" t="s">
        <v>1121</v>
      </c>
      <c r="N41" s="248" t="s">
        <v>1122</v>
      </c>
      <c r="O41" s="302">
        <v>41713</v>
      </c>
      <c r="P41" s="246"/>
    </row>
    <row r="42" spans="1:16">
      <c r="A42" s="220">
        <v>36</v>
      </c>
      <c r="B42" s="234">
        <v>3.4386574074074076E-2</v>
      </c>
      <c r="C42" s="227">
        <f t="shared" si="1"/>
        <v>49.516666666666673</v>
      </c>
      <c r="D42" s="227">
        <f t="shared" ref="D42:D73" si="3">E$4/E42</f>
        <v>40.860118714500075</v>
      </c>
      <c r="E42" s="232">
        <f>'10K'!$E42*(1-$K$2)+H.Marathon!$E42*$K$2</f>
        <v>0.9850681120443352</v>
      </c>
      <c r="F42" s="274">
        <f t="shared" si="2"/>
        <v>82.517910564456557</v>
      </c>
      <c r="G42" s="220">
        <v>36</v>
      </c>
      <c r="H42" s="282" t="s">
        <v>1072</v>
      </c>
      <c r="I42" s="248" t="s">
        <v>191</v>
      </c>
      <c r="J42" s="248" t="s">
        <v>1148</v>
      </c>
      <c r="K42" s="248" t="s">
        <v>155</v>
      </c>
      <c r="L42" s="249">
        <v>27211</v>
      </c>
      <c r="M42" s="246" t="s">
        <v>1121</v>
      </c>
      <c r="N42" s="248" t="s">
        <v>1122</v>
      </c>
      <c r="O42" s="302">
        <v>40614</v>
      </c>
      <c r="P42" s="246"/>
    </row>
    <row r="43" spans="1:16">
      <c r="A43" s="220">
        <v>37</v>
      </c>
      <c r="B43" s="234">
        <v>3.3958333333333333E-2</v>
      </c>
      <c r="C43" s="227">
        <f t="shared" si="1"/>
        <v>48.9</v>
      </c>
      <c r="D43" s="227">
        <f t="shared" si="3"/>
        <v>41.06247018135528</v>
      </c>
      <c r="E43" s="232">
        <f>'10K'!$E43*(1-$K$2)+H.Marathon!$E43*$K$2</f>
        <v>0.98021380161088834</v>
      </c>
      <c r="F43" s="274">
        <f t="shared" si="2"/>
        <v>83.972331659213253</v>
      </c>
      <c r="G43" s="220">
        <v>37</v>
      </c>
      <c r="H43" s="282" t="s">
        <v>523</v>
      </c>
      <c r="I43" s="248" t="s">
        <v>329</v>
      </c>
      <c r="J43" s="248" t="s">
        <v>330</v>
      </c>
      <c r="K43" s="248" t="s">
        <v>160</v>
      </c>
      <c r="L43" s="249">
        <v>29113</v>
      </c>
      <c r="M43" s="246"/>
      <c r="N43" s="248" t="s">
        <v>1149</v>
      </c>
      <c r="O43" s="302">
        <v>42708</v>
      </c>
      <c r="P43" s="246"/>
    </row>
    <row r="44" spans="1:16">
      <c r="A44" s="220">
        <v>38</v>
      </c>
      <c r="B44" s="234">
        <v>3.3831018518518517E-2</v>
      </c>
      <c r="C44" s="227">
        <f t="shared" si="1"/>
        <v>48.716666666666661</v>
      </c>
      <c r="D44" s="227">
        <f t="shared" si="3"/>
        <v>41.297569486470834</v>
      </c>
      <c r="E44" s="232">
        <f>'10K'!$E44*(1-$K$2)+H.Marathon!$E44*$K$2</f>
        <v>0.97463362857676117</v>
      </c>
      <c r="F44" s="274">
        <f t="shared" si="2"/>
        <v>84.770926075547393</v>
      </c>
      <c r="G44" s="220">
        <v>38</v>
      </c>
      <c r="H44" s="282" t="s">
        <v>1073</v>
      </c>
      <c r="I44" s="248" t="s">
        <v>1150</v>
      </c>
      <c r="J44" s="248" t="s">
        <v>1151</v>
      </c>
      <c r="K44" s="248" t="s">
        <v>155</v>
      </c>
      <c r="L44" s="249">
        <v>19321</v>
      </c>
      <c r="M44" s="246" t="s">
        <v>1121</v>
      </c>
      <c r="N44" s="248" t="s">
        <v>1122</v>
      </c>
      <c r="O44" s="302">
        <v>33306</v>
      </c>
      <c r="P44" s="246"/>
    </row>
    <row r="45" spans="1:16">
      <c r="A45" s="220">
        <v>39</v>
      </c>
      <c r="B45" s="234">
        <v>3.4050925925925929E-2</v>
      </c>
      <c r="C45" s="227">
        <f t="shared" si="1"/>
        <v>49.033333333333339</v>
      </c>
      <c r="D45" s="227">
        <f t="shared" si="3"/>
        <v>41.568102746328549</v>
      </c>
      <c r="E45" s="232">
        <f>'10K'!$E45*(1-$K$2)+H.Marathon!$E45*$K$2</f>
        <v>0.96829052424229367</v>
      </c>
      <c r="F45" s="274">
        <f t="shared" si="2"/>
        <v>84.775192548596621</v>
      </c>
      <c r="G45" s="220">
        <v>39</v>
      </c>
      <c r="H45" s="282" t="s">
        <v>1074</v>
      </c>
      <c r="I45" s="248" t="s">
        <v>189</v>
      </c>
      <c r="J45" s="248" t="s">
        <v>279</v>
      </c>
      <c r="K45" s="248" t="s">
        <v>160</v>
      </c>
      <c r="L45" s="249">
        <v>24566</v>
      </c>
      <c r="M45" s="246"/>
      <c r="N45" s="248" t="s">
        <v>1130</v>
      </c>
      <c r="O45" s="302">
        <v>39040</v>
      </c>
      <c r="P45" s="246"/>
    </row>
    <row r="46" spans="1:16">
      <c r="A46" s="220">
        <v>40</v>
      </c>
      <c r="B46" s="234">
        <v>3.4432870370370371E-2</v>
      </c>
      <c r="C46" s="227">
        <f t="shared" si="1"/>
        <v>49.583333333333336</v>
      </c>
      <c r="D46" s="227">
        <f t="shared" si="3"/>
        <v>41.871434986300699</v>
      </c>
      <c r="E46" s="232">
        <f>'10K'!$E46*(1-$K$2)+H.Marathon!$E46*$K$2</f>
        <v>0.96127586774059226</v>
      </c>
      <c r="F46" s="274">
        <f t="shared" si="2"/>
        <v>84.446591569009811</v>
      </c>
      <c r="G46" s="220">
        <v>40</v>
      </c>
      <c r="H46" s="282" t="s">
        <v>1075</v>
      </c>
      <c r="I46" s="248" t="s">
        <v>285</v>
      </c>
      <c r="J46" s="248" t="s">
        <v>286</v>
      </c>
      <c r="K46" s="248" t="s">
        <v>155</v>
      </c>
      <c r="L46" s="249">
        <v>16398</v>
      </c>
      <c r="M46" s="246" t="s">
        <v>1121</v>
      </c>
      <c r="N46" s="248" t="s">
        <v>1122</v>
      </c>
      <c r="O46" s="302">
        <v>31115</v>
      </c>
      <c r="P46" s="246"/>
    </row>
    <row r="47" spans="1:16">
      <c r="A47" s="220">
        <v>41</v>
      </c>
      <c r="B47" s="234">
        <v>3.5011574074074077E-2</v>
      </c>
      <c r="C47" s="227">
        <f t="shared" si="1"/>
        <v>50.416666666666671</v>
      </c>
      <c r="D47" s="227">
        <f t="shared" si="3"/>
        <v>42.193749438149943</v>
      </c>
      <c r="E47" s="232">
        <f>'10K'!$E47*(1-$K$2)+H.Marathon!$E47*$K$2</f>
        <v>0.95393276340612476</v>
      </c>
      <c r="F47" s="274">
        <f t="shared" si="2"/>
        <v>83.690081530214755</v>
      </c>
      <c r="G47" s="220">
        <v>41</v>
      </c>
      <c r="H47" s="282" t="s">
        <v>1076</v>
      </c>
      <c r="I47" s="248" t="s">
        <v>285</v>
      </c>
      <c r="J47" s="248" t="s">
        <v>286</v>
      </c>
      <c r="K47" s="248" t="s">
        <v>155</v>
      </c>
      <c r="L47" s="249">
        <v>16398</v>
      </c>
      <c r="M47" s="246" t="s">
        <v>1152</v>
      </c>
      <c r="N47" s="248" t="s">
        <v>1153</v>
      </c>
      <c r="O47" s="302">
        <v>31451</v>
      </c>
      <c r="P47" s="246"/>
    </row>
    <row r="48" spans="1:16">
      <c r="A48" s="220">
        <v>42</v>
      </c>
      <c r="B48" s="234">
        <v>3.5393518518518519E-2</v>
      </c>
      <c r="C48" s="227">
        <f t="shared" si="1"/>
        <v>50.966666666666669</v>
      </c>
      <c r="D48" s="227">
        <f t="shared" si="3"/>
        <v>42.526835249078921</v>
      </c>
      <c r="E48" s="232">
        <f>'10K'!$E48*(1-$K$2)+H.Marathon!$E48*$K$2</f>
        <v>0.94646121123889093</v>
      </c>
      <c r="F48" s="274">
        <f t="shared" si="2"/>
        <v>83.440487735275838</v>
      </c>
      <c r="G48" s="220">
        <v>42</v>
      </c>
      <c r="H48" s="282" t="s">
        <v>1077</v>
      </c>
      <c r="I48" s="248" t="s">
        <v>365</v>
      </c>
      <c r="J48" s="248" t="s">
        <v>366</v>
      </c>
      <c r="K48" s="248" t="s">
        <v>197</v>
      </c>
      <c r="L48" s="249">
        <v>22473</v>
      </c>
      <c r="M48" s="246" t="s">
        <v>1121</v>
      </c>
      <c r="N48" s="248" t="s">
        <v>1122</v>
      </c>
      <c r="O48" s="302">
        <v>38059</v>
      </c>
      <c r="P48" s="246"/>
    </row>
    <row r="49" spans="1:16">
      <c r="A49" s="220">
        <v>43</v>
      </c>
      <c r="B49" s="234">
        <v>3.4664351851851849E-2</v>
      </c>
      <c r="C49" s="227">
        <f t="shared" si="1"/>
        <v>49.916666666666664</v>
      </c>
      <c r="D49" s="227">
        <f t="shared" si="3"/>
        <v>42.873960104224494</v>
      </c>
      <c r="E49" s="232">
        <f>'10K'!$E49*(1-$K$2)+H.Marathon!$E49*$K$2</f>
        <v>0.93879827993855069</v>
      </c>
      <c r="F49" s="274">
        <f t="shared" si="2"/>
        <v>85.891071995107509</v>
      </c>
      <c r="G49" s="220">
        <v>43</v>
      </c>
      <c r="H49" s="282" t="s">
        <v>1078</v>
      </c>
      <c r="I49" s="248" t="s">
        <v>294</v>
      </c>
      <c r="J49" s="248" t="s">
        <v>295</v>
      </c>
      <c r="K49" s="248" t="s">
        <v>283</v>
      </c>
      <c r="L49" s="249">
        <v>18655</v>
      </c>
      <c r="M49" s="246"/>
      <c r="N49" s="248" t="s">
        <v>1154</v>
      </c>
      <c r="O49" s="302">
        <v>34483</v>
      </c>
      <c r="P49" s="246"/>
    </row>
    <row r="50" spans="1:16">
      <c r="A50" s="220">
        <v>44</v>
      </c>
      <c r="B50" s="234">
        <v>3.528935185185185E-2</v>
      </c>
      <c r="C50" s="227">
        <f t="shared" si="1"/>
        <v>50.816666666666663</v>
      </c>
      <c r="D50" s="227">
        <f t="shared" si="3"/>
        <v>43.226798401398682</v>
      </c>
      <c r="E50" s="232">
        <f>'10K'!$E50*(1-$K$2)+H.Marathon!$E50*$K$2</f>
        <v>0.93113534863821046</v>
      </c>
      <c r="F50" s="274">
        <f t="shared" si="2"/>
        <v>85.064214630499208</v>
      </c>
      <c r="G50" s="220">
        <v>44</v>
      </c>
      <c r="H50" s="282" t="s">
        <v>518</v>
      </c>
      <c r="I50" s="248" t="s">
        <v>294</v>
      </c>
      <c r="J50" s="248" t="s">
        <v>295</v>
      </c>
      <c r="K50" s="248" t="s">
        <v>283</v>
      </c>
      <c r="L50" s="249">
        <v>18655</v>
      </c>
      <c r="M50" s="246"/>
      <c r="N50" s="248" t="s">
        <v>1154</v>
      </c>
      <c r="O50" s="302">
        <v>34819</v>
      </c>
      <c r="P50" s="246"/>
    </row>
    <row r="51" spans="1:16">
      <c r="A51" s="220">
        <v>45</v>
      </c>
      <c r="B51" s="234">
        <v>3.4583333333333334E-2</v>
      </c>
      <c r="C51" s="227">
        <f t="shared" si="1"/>
        <v>49.800000000000004</v>
      </c>
      <c r="D51" s="227">
        <f t="shared" si="3"/>
        <v>43.5854923702326</v>
      </c>
      <c r="E51" s="232">
        <f>'10K'!$E51*(1-$K$2)+H.Marathon!$E51*$K$2</f>
        <v>0.92347241733787022</v>
      </c>
      <c r="F51" s="274">
        <f t="shared" ref="F51:F87" si="4">100*(D51/C51)</f>
        <v>87.521069016531314</v>
      </c>
      <c r="G51" s="220">
        <v>45</v>
      </c>
      <c r="H51" s="282" t="s">
        <v>1079</v>
      </c>
      <c r="I51" s="248" t="s">
        <v>290</v>
      </c>
      <c r="J51" s="248" t="s">
        <v>291</v>
      </c>
      <c r="K51" s="248" t="s">
        <v>292</v>
      </c>
      <c r="L51" s="249">
        <v>15372</v>
      </c>
      <c r="M51" s="246"/>
      <c r="N51" s="248" t="s">
        <v>1146</v>
      </c>
      <c r="O51" s="302">
        <v>32102</v>
      </c>
      <c r="P51" s="246"/>
    </row>
    <row r="52" spans="1:16">
      <c r="A52" s="220">
        <v>46</v>
      </c>
      <c r="B52" s="234">
        <v>3.650462962962963E-2</v>
      </c>
      <c r="C52" s="227">
        <f t="shared" si="1"/>
        <v>52.56666666666667</v>
      </c>
      <c r="D52" s="227">
        <f t="shared" si="3"/>
        <v>43.950189000718161</v>
      </c>
      <c r="E52" s="232">
        <f>'10K'!$E52*(1-$K$2)+H.Marathon!$E52*$K$2</f>
        <v>0.91580948603752987</v>
      </c>
      <c r="F52" s="274">
        <f t="shared" si="4"/>
        <v>83.608476222038348</v>
      </c>
      <c r="G52" s="220">
        <v>46</v>
      </c>
      <c r="H52" s="282" t="s">
        <v>1080</v>
      </c>
      <c r="I52" s="248" t="s">
        <v>285</v>
      </c>
      <c r="J52" s="248" t="s">
        <v>286</v>
      </c>
      <c r="K52" s="248" t="s">
        <v>155</v>
      </c>
      <c r="L52" s="249">
        <v>16398</v>
      </c>
      <c r="M52" s="246" t="s">
        <v>1152</v>
      </c>
      <c r="N52" s="248" t="s">
        <v>1153</v>
      </c>
      <c r="O52" s="302">
        <v>33278</v>
      </c>
      <c r="P52" s="246"/>
    </row>
    <row r="53" spans="1:16">
      <c r="A53" s="220">
        <v>47</v>
      </c>
      <c r="B53" s="234">
        <v>3.5949074074074071E-2</v>
      </c>
      <c r="C53" s="227">
        <f t="shared" si="1"/>
        <v>51.766666666666659</v>
      </c>
      <c r="D53" s="227">
        <f t="shared" si="3"/>
        <v>44.318389844781379</v>
      </c>
      <c r="E53" s="232">
        <f>'10K'!$E53*(1-$K$2)+H.Marathon!$E53*$K$2</f>
        <v>0.90820086517063647</v>
      </c>
      <c r="F53" s="274">
        <f t="shared" si="4"/>
        <v>85.611828418766351</v>
      </c>
      <c r="G53" s="220">
        <v>47</v>
      </c>
      <c r="H53" s="282" t="s">
        <v>1081</v>
      </c>
      <c r="I53" s="248" t="s">
        <v>199</v>
      </c>
      <c r="J53" s="248" t="s">
        <v>284</v>
      </c>
      <c r="K53" s="248" t="s">
        <v>201</v>
      </c>
      <c r="L53" s="249">
        <v>20152</v>
      </c>
      <c r="M53" s="246" t="s">
        <v>1121</v>
      </c>
      <c r="N53" s="248" t="s">
        <v>1122</v>
      </c>
      <c r="O53" s="302">
        <v>37324</v>
      </c>
      <c r="P53" s="246"/>
    </row>
    <row r="54" spans="1:16">
      <c r="A54" s="220">
        <v>48</v>
      </c>
      <c r="B54" s="234">
        <v>3.5706018518518519E-2</v>
      </c>
      <c r="C54" s="227">
        <f t="shared" si="1"/>
        <v>51.416666666666664</v>
      </c>
      <c r="D54" s="227">
        <f t="shared" si="3"/>
        <v>44.695507525169042</v>
      </c>
      <c r="E54" s="232">
        <f>'10K'!$E54*(1-$K$2)+H.Marathon!$E54*$K$2</f>
        <v>0.90053793387029613</v>
      </c>
      <c r="F54" s="274">
        <f t="shared" si="4"/>
        <v>86.928053533554049</v>
      </c>
      <c r="G54" s="220">
        <v>48</v>
      </c>
      <c r="H54" s="282" t="s">
        <v>1082</v>
      </c>
      <c r="I54" s="248" t="s">
        <v>290</v>
      </c>
      <c r="J54" s="248" t="s">
        <v>291</v>
      </c>
      <c r="K54" s="248" t="s">
        <v>292</v>
      </c>
      <c r="L54" s="249">
        <v>15372</v>
      </c>
      <c r="M54" s="246"/>
      <c r="N54" s="248" t="s">
        <v>198</v>
      </c>
      <c r="O54" s="302">
        <v>33160</v>
      </c>
      <c r="P54" s="246"/>
    </row>
    <row r="55" spans="1:16">
      <c r="A55" s="220">
        <v>49</v>
      </c>
      <c r="B55" s="234">
        <v>3.4907407407407408E-2</v>
      </c>
      <c r="C55" s="227">
        <f t="shared" si="1"/>
        <v>50.266666666666666</v>
      </c>
      <c r="D55" s="227">
        <f t="shared" si="3"/>
        <v>45.079098288280782</v>
      </c>
      <c r="E55" s="232">
        <f>'10K'!$E55*(1-$K$2)+H.Marathon!$E55*$K$2</f>
        <v>0.89287500256995589</v>
      </c>
      <c r="F55" s="274">
        <f t="shared" si="4"/>
        <v>89.679903756526755</v>
      </c>
      <c r="G55" s="220">
        <v>49</v>
      </c>
      <c r="H55" s="282" t="s">
        <v>1083</v>
      </c>
      <c r="I55" s="248" t="s">
        <v>199</v>
      </c>
      <c r="J55" s="248" t="s">
        <v>284</v>
      </c>
      <c r="K55" s="248" t="s">
        <v>201</v>
      </c>
      <c r="L55" s="249">
        <v>20152</v>
      </c>
      <c r="M55" s="246" t="s">
        <v>1121</v>
      </c>
      <c r="N55" s="248" t="s">
        <v>1122</v>
      </c>
      <c r="O55" s="302">
        <v>38059</v>
      </c>
      <c r="P55" s="246"/>
    </row>
    <row r="56" spans="1:16">
      <c r="A56" s="220">
        <v>50</v>
      </c>
      <c r="B56" s="234">
        <v>3.6550925925925924E-2</v>
      </c>
      <c r="C56" s="227">
        <f t="shared" si="1"/>
        <v>52.633333333333333</v>
      </c>
      <c r="D56" s="227">
        <f t="shared" si="3"/>
        <v>45.469330238878719</v>
      </c>
      <c r="E56" s="232">
        <f>'10K'!$E56*(1-$K$2)+H.Marathon!$E56*$K$2</f>
        <v>0.88521207126961565</v>
      </c>
      <c r="F56" s="274">
        <f t="shared" si="4"/>
        <v>86.388847825608721</v>
      </c>
      <c r="G56" s="220">
        <v>50</v>
      </c>
      <c r="H56" s="282" t="s">
        <v>1084</v>
      </c>
      <c r="I56" s="248" t="s">
        <v>203</v>
      </c>
      <c r="J56" s="248" t="s">
        <v>1155</v>
      </c>
      <c r="K56" s="248" t="s">
        <v>155</v>
      </c>
      <c r="L56" s="249">
        <v>21382</v>
      </c>
      <c r="M56" s="246" t="s">
        <v>1121</v>
      </c>
      <c r="N56" s="248" t="s">
        <v>1122</v>
      </c>
      <c r="O56" s="302">
        <v>39886</v>
      </c>
      <c r="P56" s="246"/>
    </row>
    <row r="57" spans="1:16">
      <c r="A57" s="220">
        <v>51</v>
      </c>
      <c r="B57" s="234">
        <v>3.9803240740740743E-2</v>
      </c>
      <c r="C57" s="227">
        <f t="shared" si="1"/>
        <v>57.31666666666667</v>
      </c>
      <c r="D57" s="227">
        <f t="shared" si="3"/>
        <v>45.866377353420035</v>
      </c>
      <c r="E57" s="232">
        <f>'10K'!$E57*(1-$K$2)+H.Marathon!$E57*$K$2</f>
        <v>0.87754913996927542</v>
      </c>
      <c r="F57" s="274">
        <f t="shared" si="4"/>
        <v>80.022757813469099</v>
      </c>
      <c r="G57" s="220">
        <v>51</v>
      </c>
      <c r="H57" s="282" t="s">
        <v>1085</v>
      </c>
      <c r="I57" s="248" t="s">
        <v>1156</v>
      </c>
      <c r="J57" s="248" t="s">
        <v>1157</v>
      </c>
      <c r="K57" s="248" t="s">
        <v>185</v>
      </c>
      <c r="L57" s="249">
        <v>21552</v>
      </c>
      <c r="M57" s="246"/>
      <c r="N57" s="248" t="s">
        <v>1158</v>
      </c>
      <c r="O57" s="302">
        <v>40311</v>
      </c>
      <c r="P57" s="246"/>
    </row>
    <row r="58" spans="1:16">
      <c r="A58" s="220">
        <v>52</v>
      </c>
      <c r="B58" s="234">
        <v>3.8761574074074073E-2</v>
      </c>
      <c r="C58" s="227">
        <f t="shared" si="1"/>
        <v>55.816666666666663</v>
      </c>
      <c r="D58" s="227">
        <f t="shared" si="3"/>
        <v>46.267531073883731</v>
      </c>
      <c r="E58" s="232">
        <f>'10K'!$E58*(1-$K$2)+H.Marathon!$E58*$K$2</f>
        <v>0.8699405191023819</v>
      </c>
      <c r="F58" s="274">
        <f t="shared" si="4"/>
        <v>82.891963703583883</v>
      </c>
      <c r="G58" s="220">
        <v>52</v>
      </c>
      <c r="H58" s="282" t="s">
        <v>1086</v>
      </c>
      <c r="I58" s="237" t="s">
        <v>503</v>
      </c>
      <c r="J58" s="237" t="s">
        <v>504</v>
      </c>
      <c r="K58" s="248" t="s">
        <v>155</v>
      </c>
      <c r="L58" s="249">
        <v>14922</v>
      </c>
      <c r="M58" s="237" t="s">
        <v>1159</v>
      </c>
      <c r="N58" s="237" t="s">
        <v>1160</v>
      </c>
      <c r="O58" s="305">
        <v>34147</v>
      </c>
      <c r="P58" s="246"/>
    </row>
    <row r="59" spans="1:16">
      <c r="A59" s="220">
        <v>53</v>
      </c>
      <c r="B59" s="234">
        <v>3.9687500000000001E-2</v>
      </c>
      <c r="C59" s="227">
        <f t="shared" si="1"/>
        <v>57.15</v>
      </c>
      <c r="D59" s="227">
        <f t="shared" si="3"/>
        <v>46.678703667339718</v>
      </c>
      <c r="E59" s="232">
        <f>'10K'!$E59*(1-$K$2)+H.Marathon!$E59*$K$2</f>
        <v>0.86227758780204156</v>
      </c>
      <c r="F59" s="274">
        <f t="shared" si="4"/>
        <v>81.677521727628559</v>
      </c>
      <c r="G59" s="220">
        <v>53</v>
      </c>
      <c r="H59" s="282" t="s">
        <v>1087</v>
      </c>
      <c r="I59" s="248" t="s">
        <v>987</v>
      </c>
      <c r="J59" s="248" t="s">
        <v>1161</v>
      </c>
      <c r="K59" s="248" t="s">
        <v>179</v>
      </c>
      <c r="L59" s="249">
        <v>16420</v>
      </c>
      <c r="M59" s="246"/>
      <c r="N59" s="248" t="s">
        <v>1149</v>
      </c>
      <c r="O59" s="302">
        <v>36107</v>
      </c>
      <c r="P59" s="246"/>
    </row>
    <row r="60" spans="1:16">
      <c r="A60" s="220">
        <v>54</v>
      </c>
      <c r="B60" s="234">
        <v>4.0185185185185185E-2</v>
      </c>
      <c r="C60" s="227">
        <f t="shared" si="1"/>
        <v>57.866666666666667</v>
      </c>
      <c r="D60" s="227">
        <f t="shared" si="3"/>
        <v>47.09724984680259</v>
      </c>
      <c r="E60" s="232">
        <f>'10K'!$E60*(1-$K$2)+H.Marathon!$E60*$K$2</f>
        <v>0.85461465650170132</v>
      </c>
      <c r="F60" s="274">
        <f t="shared" si="4"/>
        <v>81.389256647700321</v>
      </c>
      <c r="G60" s="220">
        <v>54</v>
      </c>
      <c r="H60" s="282" t="s">
        <v>1088</v>
      </c>
      <c r="I60" s="237" t="s">
        <v>1162</v>
      </c>
      <c r="J60" s="237" t="s">
        <v>1163</v>
      </c>
      <c r="K60" s="248" t="s">
        <v>155</v>
      </c>
      <c r="L60" s="249">
        <v>10885</v>
      </c>
      <c r="M60" s="237" t="s">
        <v>1164</v>
      </c>
      <c r="N60" s="237" t="s">
        <v>1165</v>
      </c>
      <c r="O60" s="305">
        <v>30780</v>
      </c>
      <c r="P60" s="246"/>
    </row>
    <row r="61" spans="1:16">
      <c r="A61" s="220">
        <v>55</v>
      </c>
      <c r="B61" s="234">
        <v>4.103009259259259E-2</v>
      </c>
      <c r="C61" s="227">
        <f t="shared" si="1"/>
        <v>59.083333333333329</v>
      </c>
      <c r="D61" s="227">
        <f t="shared" si="3"/>
        <v>47.523369753371298</v>
      </c>
      <c r="E61" s="232">
        <f>'10K'!$E61*(1-$K$2)+H.Marathon!$E61*$K$2</f>
        <v>0.84695172520136108</v>
      </c>
      <c r="F61" s="274">
        <f t="shared" si="4"/>
        <v>80.434476310360452</v>
      </c>
      <c r="G61" s="220">
        <v>55</v>
      </c>
      <c r="H61" s="282" t="s">
        <v>1089</v>
      </c>
      <c r="I61" s="248" t="s">
        <v>1166</v>
      </c>
      <c r="J61" s="248" t="s">
        <v>1167</v>
      </c>
      <c r="K61" s="248" t="s">
        <v>225</v>
      </c>
      <c r="L61" s="249">
        <v>18706</v>
      </c>
      <c r="M61" s="246" t="s">
        <v>1168</v>
      </c>
      <c r="N61" s="248" t="s">
        <v>1169</v>
      </c>
      <c r="O61" s="302">
        <v>39033</v>
      </c>
      <c r="P61" s="246"/>
    </row>
    <row r="62" spans="1:16">
      <c r="A62" s="220">
        <v>56</v>
      </c>
      <c r="B62" s="234">
        <v>4.1377314814814818E-2</v>
      </c>
      <c r="C62" s="227">
        <f t="shared" si="1"/>
        <v>59.583333333333336</v>
      </c>
      <c r="D62" s="227">
        <f t="shared" si="3"/>
        <v>47.957270837511949</v>
      </c>
      <c r="E62" s="232">
        <f>'10K'!$E62*(1-$K$2)+H.Marathon!$E62*$K$2</f>
        <v>0.83928879390102074</v>
      </c>
      <c r="F62" s="274">
        <f t="shared" si="4"/>
        <v>80.487727279740326</v>
      </c>
      <c r="G62" s="220">
        <v>56</v>
      </c>
      <c r="H62" s="282" t="s">
        <v>1090</v>
      </c>
      <c r="I62" s="237" t="s">
        <v>1170</v>
      </c>
      <c r="J62" s="237" t="s">
        <v>1171</v>
      </c>
      <c r="K62" s="248" t="s">
        <v>155</v>
      </c>
      <c r="L62" s="243"/>
      <c r="M62" s="237" t="s">
        <v>1172</v>
      </c>
      <c r="N62" s="237" t="s">
        <v>1173</v>
      </c>
      <c r="O62" s="305">
        <v>43015</v>
      </c>
      <c r="P62" s="246"/>
    </row>
    <row r="63" spans="1:16">
      <c r="A63" s="220">
        <v>57</v>
      </c>
      <c r="B63" s="234">
        <v>4.2557870370370371E-2</v>
      </c>
      <c r="C63" s="227">
        <f t="shared" si="1"/>
        <v>61.283333333333331</v>
      </c>
      <c r="D63" s="227">
        <f t="shared" si="3"/>
        <v>48.396007630145078</v>
      </c>
      <c r="E63" s="232">
        <f>'10K'!$E63*(1-$K$2)+H.Marathon!$E63*$K$2</f>
        <v>0.83168017303412722</v>
      </c>
      <c r="F63" s="274">
        <f t="shared" si="4"/>
        <v>78.970912640976465</v>
      </c>
      <c r="G63" s="220">
        <v>57</v>
      </c>
      <c r="H63" s="282" t="s">
        <v>1091</v>
      </c>
      <c r="I63" s="248" t="s">
        <v>1174</v>
      </c>
      <c r="J63" s="248" t="s">
        <v>1175</v>
      </c>
      <c r="K63" s="248" t="s">
        <v>1176</v>
      </c>
      <c r="L63" s="249">
        <v>19019</v>
      </c>
      <c r="M63" s="246"/>
      <c r="N63" s="248" t="s">
        <v>303</v>
      </c>
      <c r="O63" s="302">
        <v>40146</v>
      </c>
      <c r="P63" s="246"/>
    </row>
    <row r="64" spans="1:16">
      <c r="A64" s="220">
        <v>58</v>
      </c>
      <c r="B64" s="234">
        <v>4.238425925925926E-2</v>
      </c>
      <c r="C64" s="227">
        <f t="shared" si="1"/>
        <v>61.033333333333331</v>
      </c>
      <c r="D64" s="227">
        <f t="shared" si="3"/>
        <v>48.846065302361062</v>
      </c>
      <c r="E64" s="232">
        <f>'10K'!$E64*(1-$K$2)+H.Marathon!$E64*$K$2</f>
        <v>0.82401724173378699</v>
      </c>
      <c r="F64" s="274">
        <f t="shared" si="4"/>
        <v>80.031783673994099</v>
      </c>
      <c r="G64" s="220">
        <v>58</v>
      </c>
      <c r="H64" s="282" t="s">
        <v>1092</v>
      </c>
      <c r="I64" s="248" t="s">
        <v>214</v>
      </c>
      <c r="J64" s="248" t="s">
        <v>299</v>
      </c>
      <c r="K64" s="248" t="s">
        <v>155</v>
      </c>
      <c r="L64" s="249">
        <v>18901</v>
      </c>
      <c r="M64" s="246"/>
      <c r="N64" s="248" t="s">
        <v>1177</v>
      </c>
      <c r="O64" s="302">
        <v>40427</v>
      </c>
      <c r="P64" s="246"/>
    </row>
    <row r="65" spans="1:16">
      <c r="A65" s="220">
        <v>59</v>
      </c>
      <c r="B65" s="234">
        <v>4.0914351851851855E-2</v>
      </c>
      <c r="C65" s="227">
        <f t="shared" si="1"/>
        <v>58.916666666666671</v>
      </c>
      <c r="D65" s="227">
        <f t="shared" si="3"/>
        <v>49.304572151556464</v>
      </c>
      <c r="E65" s="232">
        <f>'10K'!$E65*(1-$K$2)+H.Marathon!$E65*$K$2</f>
        <v>0.81635431043344675</v>
      </c>
      <c r="F65" s="274">
        <f t="shared" si="4"/>
        <v>83.685270978596535</v>
      </c>
      <c r="G65" s="220">
        <v>59</v>
      </c>
      <c r="H65" s="282" t="s">
        <v>1093</v>
      </c>
      <c r="I65" s="248" t="s">
        <v>404</v>
      </c>
      <c r="J65" s="248" t="s">
        <v>405</v>
      </c>
      <c r="K65" s="248" t="s">
        <v>155</v>
      </c>
      <c r="L65" s="244">
        <v>23193</v>
      </c>
      <c r="M65" s="246" t="s">
        <v>1178</v>
      </c>
      <c r="N65" s="248" t="s">
        <v>173</v>
      </c>
      <c r="O65" s="302">
        <v>45039</v>
      </c>
      <c r="P65" s="246"/>
    </row>
    <row r="66" spans="1:16">
      <c r="A66" s="220">
        <v>60</v>
      </c>
      <c r="B66" s="234">
        <v>4.116898148148148E-2</v>
      </c>
      <c r="C66" s="227">
        <f t="shared" si="1"/>
        <v>59.283333333333331</v>
      </c>
      <c r="D66" s="227">
        <f t="shared" si="3"/>
        <v>49.771768363781526</v>
      </c>
      <c r="E66" s="232">
        <f>'10K'!$E66*(1-$K$2)+H.Marathon!$E66*$K$2</f>
        <v>0.80869137913310651</v>
      </c>
      <c r="F66" s="274">
        <f t="shared" si="4"/>
        <v>83.955752089594924</v>
      </c>
      <c r="G66" s="220">
        <v>60</v>
      </c>
      <c r="H66" s="282" t="s">
        <v>1094</v>
      </c>
      <c r="I66" s="248" t="s">
        <v>404</v>
      </c>
      <c r="J66" s="248" t="s">
        <v>405</v>
      </c>
      <c r="K66" s="248" t="s">
        <v>155</v>
      </c>
      <c r="L66" s="244">
        <v>23193</v>
      </c>
      <c r="M66" s="242" t="s">
        <v>1179</v>
      </c>
      <c r="N66" s="241" t="s">
        <v>392</v>
      </c>
      <c r="O66" s="302">
        <v>45207</v>
      </c>
      <c r="P66" s="246"/>
    </row>
    <row r="67" spans="1:16">
      <c r="A67" s="220">
        <v>61</v>
      </c>
      <c r="B67" s="234">
        <v>4.445601851851852E-2</v>
      </c>
      <c r="C67" s="227">
        <f t="shared" si="1"/>
        <v>64.016666666666666</v>
      </c>
      <c r="D67" s="227">
        <f t="shared" si="3"/>
        <v>50.247903315917121</v>
      </c>
      <c r="E67" s="232">
        <f>'10K'!$E67*(1-$K$2)+H.Marathon!$E67*$K$2</f>
        <v>0.80102844783276628</v>
      </c>
      <c r="F67" s="274">
        <f t="shared" si="4"/>
        <v>78.491908329992896</v>
      </c>
      <c r="G67" s="220">
        <v>61</v>
      </c>
      <c r="H67" s="282" t="s">
        <v>1095</v>
      </c>
      <c r="I67" s="248" t="s">
        <v>349</v>
      </c>
      <c r="J67" s="248" t="s">
        <v>1180</v>
      </c>
      <c r="K67" s="248" t="s">
        <v>176</v>
      </c>
      <c r="L67" s="249">
        <v>19618</v>
      </c>
      <c r="M67" s="246"/>
      <c r="N67" s="248" t="s">
        <v>1181</v>
      </c>
      <c r="O67" s="302">
        <v>42063</v>
      </c>
      <c r="P67" s="246"/>
    </row>
    <row r="68" spans="1:16">
      <c r="A68" s="220">
        <v>62</v>
      </c>
      <c r="B68" s="234">
        <v>4.2164351851851849E-2</v>
      </c>
      <c r="C68" s="227">
        <f t="shared" si="1"/>
        <v>60.716666666666661</v>
      </c>
      <c r="D68" s="227">
        <f t="shared" si="3"/>
        <v>50.729763275415685</v>
      </c>
      <c r="E68" s="232">
        <f>'10K'!$E68*(1-$K$2)+H.Marathon!$E68*$K$2</f>
        <v>0.79341982696587277</v>
      </c>
      <c r="F68" s="274">
        <f t="shared" si="4"/>
        <v>83.551627683912741</v>
      </c>
      <c r="G68" s="220">
        <v>62</v>
      </c>
      <c r="H68" s="282" t="s">
        <v>1096</v>
      </c>
      <c r="I68" s="248" t="s">
        <v>214</v>
      </c>
      <c r="J68" s="248" t="s">
        <v>299</v>
      </c>
      <c r="K68" s="248" t="s">
        <v>155</v>
      </c>
      <c r="L68" s="249">
        <v>18901</v>
      </c>
      <c r="M68" s="237" t="s">
        <v>1182</v>
      </c>
      <c r="N68" s="237" t="s">
        <v>1183</v>
      </c>
      <c r="O68" s="305">
        <v>41573</v>
      </c>
      <c r="P68" s="246"/>
    </row>
    <row r="69" spans="1:16">
      <c r="A69" s="220">
        <v>63</v>
      </c>
      <c r="B69" s="234">
        <v>4.4502314814814814E-2</v>
      </c>
      <c r="C69" s="227">
        <f t="shared" si="1"/>
        <v>64.083333333333329</v>
      </c>
      <c r="D69" s="227">
        <f t="shared" si="3"/>
        <v>51.224494779531575</v>
      </c>
      <c r="E69" s="232">
        <f>'10K'!$E69*(1-$K$2)+H.Marathon!$E69*$K$2</f>
        <v>0.78575689566553242</v>
      </c>
      <c r="F69" s="274">
        <f t="shared" si="4"/>
        <v>79.934192113703375</v>
      </c>
      <c r="G69" s="220">
        <v>63</v>
      </c>
      <c r="H69" s="282" t="s">
        <v>1097</v>
      </c>
      <c r="I69" s="248" t="s">
        <v>340</v>
      </c>
      <c r="J69" s="248" t="s">
        <v>1184</v>
      </c>
      <c r="K69" s="248" t="s">
        <v>250</v>
      </c>
      <c r="L69" s="249">
        <v>17849</v>
      </c>
      <c r="M69" s="246"/>
      <c r="N69" s="248" t="s">
        <v>1185</v>
      </c>
      <c r="O69" s="302">
        <v>40985</v>
      </c>
      <c r="P69" s="246"/>
    </row>
    <row r="70" spans="1:16">
      <c r="A70" s="220">
        <v>64</v>
      </c>
      <c r="B70" s="234">
        <v>4.5243055555555557E-2</v>
      </c>
      <c r="C70" s="227">
        <f t="shared" si="1"/>
        <v>65.150000000000006</v>
      </c>
      <c r="D70" s="227">
        <f t="shared" si="3"/>
        <v>51.728970848447531</v>
      </c>
      <c r="E70" s="232">
        <f>'10K'!$E70*(1-$K$2)+H.Marathon!$E70*$K$2</f>
        <v>0.77809396436519218</v>
      </c>
      <c r="F70" s="274">
        <f t="shared" si="4"/>
        <v>79.399801762774402</v>
      </c>
      <c r="G70" s="220">
        <v>64</v>
      </c>
      <c r="H70" s="282" t="s">
        <v>311</v>
      </c>
      <c r="I70" s="248" t="s">
        <v>217</v>
      </c>
      <c r="J70" s="248" t="s">
        <v>1186</v>
      </c>
      <c r="K70" s="248" t="s">
        <v>155</v>
      </c>
      <c r="L70" s="249">
        <v>17959</v>
      </c>
      <c r="M70" s="237" t="s">
        <v>1182</v>
      </c>
      <c r="N70" s="237" t="s">
        <v>1183</v>
      </c>
      <c r="O70" s="305">
        <v>41573</v>
      </c>
      <c r="P70" s="246"/>
    </row>
    <row r="71" spans="1:16">
      <c r="A71" s="220">
        <v>65</v>
      </c>
      <c r="B71" s="234">
        <v>4.5185185185185182E-2</v>
      </c>
      <c r="C71" s="227">
        <f t="shared" si="1"/>
        <v>65.066666666666663</v>
      </c>
      <c r="D71" s="227">
        <f t="shared" si="3"/>
        <v>52.243482248996983</v>
      </c>
      <c r="E71" s="232">
        <f>'10K'!$E71*(1-$K$2)+H.Marathon!$E71*$K$2</f>
        <v>0.77043103306485194</v>
      </c>
      <c r="F71" s="274">
        <f t="shared" si="4"/>
        <v>80.292237063007661</v>
      </c>
      <c r="G71" s="220">
        <v>65</v>
      </c>
      <c r="H71" s="282" t="s">
        <v>1098</v>
      </c>
      <c r="I71" s="248" t="s">
        <v>214</v>
      </c>
      <c r="J71" s="248" t="s">
        <v>299</v>
      </c>
      <c r="K71" s="248" t="s">
        <v>155</v>
      </c>
      <c r="L71" s="249">
        <v>18901</v>
      </c>
      <c r="M71" s="237" t="s">
        <v>1187</v>
      </c>
      <c r="N71" s="237" t="s">
        <v>692</v>
      </c>
      <c r="O71" s="305">
        <v>42799</v>
      </c>
      <c r="P71" s="246"/>
    </row>
    <row r="72" spans="1:16">
      <c r="A72" s="220">
        <v>66</v>
      </c>
      <c r="B72" s="234">
        <v>4.6666666666666669E-2</v>
      </c>
      <c r="C72" s="227">
        <f t="shared" si="1"/>
        <v>67.2</v>
      </c>
      <c r="D72" s="227">
        <f t="shared" si="3"/>
        <v>52.768331432436227</v>
      </c>
      <c r="E72" s="232">
        <f>'10K'!$E72*(1-$K$2)+H.Marathon!$E72*$K$2</f>
        <v>0.76276810176451171</v>
      </c>
      <c r="F72" s="274">
        <f t="shared" si="4"/>
        <v>78.524302726839622</v>
      </c>
      <c r="G72" s="220">
        <v>66</v>
      </c>
      <c r="H72" s="282" t="s">
        <v>624</v>
      </c>
      <c r="I72" s="248" t="s">
        <v>217</v>
      </c>
      <c r="J72" s="248" t="s">
        <v>1186</v>
      </c>
      <c r="K72" s="248" t="s">
        <v>155</v>
      </c>
      <c r="L72" s="249">
        <v>17959</v>
      </c>
      <c r="M72" s="246" t="s">
        <v>1188</v>
      </c>
      <c r="N72" s="248" t="s">
        <v>1189</v>
      </c>
      <c r="O72" s="302">
        <v>42308</v>
      </c>
      <c r="P72" s="246"/>
    </row>
    <row r="73" spans="1:16">
      <c r="A73" s="220">
        <v>67</v>
      </c>
      <c r="B73" s="234">
        <v>4.6331018518518521E-2</v>
      </c>
      <c r="C73" s="227">
        <f t="shared" si="1"/>
        <v>66.716666666666669</v>
      </c>
      <c r="D73" s="227">
        <f t="shared" si="3"/>
        <v>53.29999956056561</v>
      </c>
      <c r="E73" s="232">
        <f>'10K'!$E73*(1-$K$2)+H.Marathon!$E73*$K$2</f>
        <v>0.75515948089761809</v>
      </c>
      <c r="F73" s="274">
        <f t="shared" si="4"/>
        <v>79.890081779513778</v>
      </c>
      <c r="G73" s="220">
        <v>67</v>
      </c>
      <c r="H73" s="282" t="s">
        <v>1099</v>
      </c>
      <c r="I73" s="248" t="s">
        <v>346</v>
      </c>
      <c r="J73" s="248" t="s">
        <v>369</v>
      </c>
      <c r="K73" s="248" t="s">
        <v>155</v>
      </c>
      <c r="L73" s="249">
        <v>15914</v>
      </c>
      <c r="M73" s="246"/>
      <c r="N73" s="248" t="s">
        <v>269</v>
      </c>
      <c r="O73" s="302">
        <v>40531</v>
      </c>
      <c r="P73" s="246"/>
    </row>
    <row r="74" spans="1:16">
      <c r="A74" s="220">
        <v>68</v>
      </c>
      <c r="B74" s="234">
        <v>4.6805555555555559E-2</v>
      </c>
      <c r="C74" s="227">
        <f t="shared" si="1"/>
        <v>67.400000000000006</v>
      </c>
      <c r="D74" s="227">
        <f t="shared" ref="D74:D105" si="5">E$4/E74</f>
        <v>53.846402397021279</v>
      </c>
      <c r="E74" s="232">
        <f>'10K'!$E74*(1-$K$2)+H.Marathon!$E74*$K$2</f>
        <v>0.74749654959727785</v>
      </c>
      <c r="F74" s="274">
        <f t="shared" si="4"/>
        <v>79.890804743355005</v>
      </c>
      <c r="G74" s="220">
        <v>68</v>
      </c>
      <c r="H74" s="282" t="s">
        <v>1100</v>
      </c>
      <c r="I74" s="248" t="s">
        <v>217</v>
      </c>
      <c r="J74" s="248" t="s">
        <v>1186</v>
      </c>
      <c r="K74" s="248" t="s">
        <v>155</v>
      </c>
      <c r="L74" s="249">
        <v>17959</v>
      </c>
      <c r="M74" s="237" t="s">
        <v>1182</v>
      </c>
      <c r="N74" s="237" t="s">
        <v>1183</v>
      </c>
      <c r="O74" s="305">
        <v>43036</v>
      </c>
      <c r="P74" s="246"/>
    </row>
    <row r="75" spans="1:16">
      <c r="A75" s="220">
        <v>69</v>
      </c>
      <c r="B75" s="234">
        <v>4.8715277777777781E-2</v>
      </c>
      <c r="C75" s="227">
        <f t="shared" ref="C75:C89" si="6">B75*1440</f>
        <v>70.150000000000006</v>
      </c>
      <c r="D75" s="227">
        <f t="shared" si="5"/>
        <v>54.412112798454473</v>
      </c>
      <c r="E75" s="232">
        <f>'10K'!$E75*(1-$K$2)+H.Marathon!$E75*$K$2</f>
        <v>0.73972499743004405</v>
      </c>
      <c r="F75" s="274">
        <f t="shared" si="4"/>
        <v>77.56537818739055</v>
      </c>
      <c r="G75" s="220">
        <v>69</v>
      </c>
      <c r="H75" s="282" t="s">
        <v>1101</v>
      </c>
      <c r="I75" s="220" t="s">
        <v>221</v>
      </c>
      <c r="J75" s="220" t="s">
        <v>222</v>
      </c>
      <c r="K75" s="248" t="s">
        <v>155</v>
      </c>
      <c r="L75" s="249"/>
      <c r="M75" s="237" t="s">
        <v>1182</v>
      </c>
      <c r="N75" s="237" t="s">
        <v>1183</v>
      </c>
      <c r="O75" s="305">
        <v>43036</v>
      </c>
      <c r="P75" s="246"/>
    </row>
    <row r="76" spans="1:16">
      <c r="A76" s="220">
        <v>70</v>
      </c>
      <c r="B76" s="234">
        <v>5.0601851851851849E-2</v>
      </c>
      <c r="C76" s="227">
        <f t="shared" si="6"/>
        <v>72.86666666666666</v>
      </c>
      <c r="D76" s="227">
        <f t="shared" si="5"/>
        <v>55.017764080639424</v>
      </c>
      <c r="E76" s="232">
        <f>'10K'!$E76*(1-$K$2)+H.Marathon!$E76*$K$2</f>
        <v>0.73158189309557653</v>
      </c>
      <c r="F76" s="274">
        <f t="shared" si="4"/>
        <v>75.504708253393545</v>
      </c>
      <c r="G76" s="220">
        <v>70</v>
      </c>
      <c r="H76" s="282" t="s">
        <v>1102</v>
      </c>
      <c r="I76" s="248" t="s">
        <v>662</v>
      </c>
      <c r="J76" s="248" t="s">
        <v>1190</v>
      </c>
      <c r="K76" s="248" t="s">
        <v>179</v>
      </c>
      <c r="L76" s="249">
        <v>12540</v>
      </c>
      <c r="M76" s="246"/>
      <c r="N76" s="248" t="s">
        <v>1130</v>
      </c>
      <c r="O76" s="302">
        <v>38312</v>
      </c>
      <c r="P76" s="246"/>
    </row>
    <row r="77" spans="1:16">
      <c r="A77" s="220">
        <v>71</v>
      </c>
      <c r="B77" s="234">
        <v>5.3587962962962962E-2</v>
      </c>
      <c r="C77" s="227">
        <f t="shared" si="6"/>
        <v>77.166666666666671</v>
      </c>
      <c r="D77" s="227">
        <f t="shared" si="5"/>
        <v>55.673338932522498</v>
      </c>
      <c r="E77" s="232">
        <f>'10K'!$E77*(1-$K$2)+H.Marathon!$E77*$K$2</f>
        <v>0.7229672365938753</v>
      </c>
      <c r="F77" s="274">
        <f t="shared" si="4"/>
        <v>72.146875506508636</v>
      </c>
      <c r="G77" s="220">
        <v>71</v>
      </c>
      <c r="H77" s="282" t="s">
        <v>1103</v>
      </c>
      <c r="I77" s="248" t="s">
        <v>1191</v>
      </c>
      <c r="J77" s="248" t="s">
        <v>1192</v>
      </c>
      <c r="K77" s="248" t="s">
        <v>155</v>
      </c>
      <c r="L77" s="249">
        <v>15492</v>
      </c>
      <c r="M77" s="246"/>
      <c r="N77" s="248" t="s">
        <v>1128</v>
      </c>
      <c r="O77" s="302">
        <v>41459</v>
      </c>
      <c r="P77" s="246"/>
    </row>
    <row r="78" spans="1:16">
      <c r="A78" s="220">
        <v>72</v>
      </c>
      <c r="B78" s="234">
        <v>5.1747685185185188E-2</v>
      </c>
      <c r="C78" s="227">
        <f t="shared" si="6"/>
        <v>74.516666666666666</v>
      </c>
      <c r="D78" s="227">
        <f t="shared" si="5"/>
        <v>56.399310969840108</v>
      </c>
      <c r="E78" s="232">
        <f>'10K'!$E78*(1-$K$2)+H.Marathon!$E78*$K$2</f>
        <v>0.71366120095906749</v>
      </c>
      <c r="F78" s="274">
        <f t="shared" si="4"/>
        <v>75.686840934699319</v>
      </c>
      <c r="G78" s="220">
        <v>72</v>
      </c>
      <c r="H78" s="282" t="s">
        <v>1104</v>
      </c>
      <c r="I78" s="248" t="s">
        <v>662</v>
      </c>
      <c r="J78" s="248" t="s">
        <v>1190</v>
      </c>
      <c r="K78" s="248" t="s">
        <v>179</v>
      </c>
      <c r="L78" s="249">
        <v>12540</v>
      </c>
      <c r="M78" s="246"/>
      <c r="N78" s="248" t="s">
        <v>1130</v>
      </c>
      <c r="O78" s="302">
        <v>39040</v>
      </c>
      <c r="P78" s="246"/>
    </row>
    <row r="79" spans="1:16">
      <c r="A79" s="220">
        <v>73</v>
      </c>
      <c r="B79" s="234">
        <v>5.1840277777777777E-2</v>
      </c>
      <c r="C79" s="227">
        <f t="shared" si="6"/>
        <v>74.650000000000006</v>
      </c>
      <c r="D79" s="227">
        <f t="shared" si="5"/>
        <v>57.202014728914435</v>
      </c>
      <c r="E79" s="232">
        <f>'10K'!$E79*(1-$K$2)+H.Marathon!$E79*$K$2</f>
        <v>0.70364654445736607</v>
      </c>
      <c r="F79" s="274">
        <f t="shared" si="4"/>
        <v>76.626945383676386</v>
      </c>
      <c r="G79" s="220">
        <v>73</v>
      </c>
      <c r="H79" s="298" t="s">
        <v>1105</v>
      </c>
      <c r="I79" s="220" t="s">
        <v>1193</v>
      </c>
      <c r="J79" s="220" t="s">
        <v>1194</v>
      </c>
      <c r="K79" s="248" t="s">
        <v>155</v>
      </c>
      <c r="L79" s="243"/>
      <c r="M79" s="220" t="s">
        <v>1195</v>
      </c>
      <c r="N79" s="220" t="s">
        <v>1196</v>
      </c>
      <c r="O79" s="305">
        <v>42791</v>
      </c>
      <c r="P79" s="246"/>
    </row>
    <row r="80" spans="1:16">
      <c r="A80" s="220">
        <v>74</v>
      </c>
      <c r="B80" s="234">
        <v>5.3182870370370373E-2</v>
      </c>
      <c r="C80" s="227">
        <f t="shared" si="6"/>
        <v>76.583333333333343</v>
      </c>
      <c r="D80" s="227">
        <f t="shared" si="5"/>
        <v>58.078135652215344</v>
      </c>
      <c r="E80" s="232">
        <f>'10K'!$E80*(1-$K$2)+H.Marathon!$E80*$K$2</f>
        <v>0.69303188795566473</v>
      </c>
      <c r="F80" s="274">
        <f t="shared" si="4"/>
        <v>75.836520982218076</v>
      </c>
      <c r="G80" s="220">
        <v>74</v>
      </c>
      <c r="H80" s="282" t="s">
        <v>1106</v>
      </c>
      <c r="I80" s="220" t="s">
        <v>306</v>
      </c>
      <c r="J80" s="220" t="s">
        <v>307</v>
      </c>
      <c r="K80" s="248" t="s">
        <v>155</v>
      </c>
      <c r="L80" s="249">
        <v>6357</v>
      </c>
      <c r="M80" s="220" t="s">
        <v>1197</v>
      </c>
      <c r="N80" s="220" t="s">
        <v>1198</v>
      </c>
      <c r="O80" s="305">
        <v>33720</v>
      </c>
      <c r="P80" s="220"/>
    </row>
    <row r="81" spans="1:16">
      <c r="A81" s="220">
        <v>75</v>
      </c>
      <c r="B81" s="234">
        <v>5.0960648148148151E-2</v>
      </c>
      <c r="C81" s="227">
        <f t="shared" si="6"/>
        <v>73.38333333333334</v>
      </c>
      <c r="D81" s="227">
        <f t="shared" si="5"/>
        <v>59.046032475634696</v>
      </c>
      <c r="E81" s="232">
        <f>'10K'!$E81*(1-$K$2)+H.Marathon!$E81*$K$2</f>
        <v>0.68167154188741019</v>
      </c>
      <c r="F81" s="274">
        <f t="shared" si="4"/>
        <v>80.462456246606436</v>
      </c>
      <c r="G81" s="220">
        <v>75</v>
      </c>
      <c r="H81" s="282" t="s">
        <v>1107</v>
      </c>
      <c r="I81" s="241" t="s">
        <v>221</v>
      </c>
      <c r="J81" s="241" t="s">
        <v>222</v>
      </c>
      <c r="K81" s="248" t="s">
        <v>155</v>
      </c>
      <c r="L81" s="249">
        <v>17637</v>
      </c>
      <c r="M81" s="242" t="s">
        <v>1179</v>
      </c>
      <c r="N81" s="241" t="s">
        <v>392</v>
      </c>
      <c r="O81" s="302">
        <v>45207</v>
      </c>
      <c r="P81" s="220"/>
    </row>
    <row r="82" spans="1:16">
      <c r="A82" s="220">
        <v>76</v>
      </c>
      <c r="B82" s="234">
        <v>5.6678240740740737E-2</v>
      </c>
      <c r="C82" s="227">
        <f t="shared" si="6"/>
        <v>81.61666666666666</v>
      </c>
      <c r="D82" s="227">
        <f t="shared" si="5"/>
        <v>60.105407527941431</v>
      </c>
      <c r="E82" s="232">
        <f>'10K'!$E82*(1-$K$2)+H.Marathon!$E82*$K$2</f>
        <v>0.66965688538570889</v>
      </c>
      <c r="F82" s="274">
        <f t="shared" si="4"/>
        <v>73.643546082836139</v>
      </c>
      <c r="G82" s="220">
        <v>76</v>
      </c>
      <c r="H82" s="282" t="s">
        <v>1108</v>
      </c>
      <c r="I82" s="220" t="s">
        <v>306</v>
      </c>
      <c r="J82" s="220" t="s">
        <v>307</v>
      </c>
      <c r="K82" s="248" t="s">
        <v>155</v>
      </c>
      <c r="L82" s="249">
        <v>6357</v>
      </c>
      <c r="M82" s="220" t="s">
        <v>1197</v>
      </c>
      <c r="N82" s="220" t="s">
        <v>1198</v>
      </c>
      <c r="O82" s="305">
        <v>34448</v>
      </c>
      <c r="P82" s="220"/>
    </row>
    <row r="83" spans="1:16">
      <c r="A83" s="220">
        <v>77</v>
      </c>
      <c r="B83" s="234">
        <v>5.5370370370370368E-2</v>
      </c>
      <c r="C83" s="227">
        <f t="shared" si="6"/>
        <v>79.733333333333334</v>
      </c>
      <c r="D83" s="227">
        <f t="shared" si="5"/>
        <v>61.268705573053836</v>
      </c>
      <c r="E83" s="232">
        <f>'10K'!$E83*(1-$K$2)+H.Marathon!$E83*$K$2</f>
        <v>0.65694222888400755</v>
      </c>
      <c r="F83" s="274">
        <f t="shared" si="4"/>
        <v>76.842022039783245</v>
      </c>
      <c r="G83" s="220">
        <v>77</v>
      </c>
      <c r="H83" s="282" t="s">
        <v>1109</v>
      </c>
      <c r="I83" s="220" t="s">
        <v>306</v>
      </c>
      <c r="J83" s="220" t="s">
        <v>307</v>
      </c>
      <c r="K83" s="248" t="s">
        <v>155</v>
      </c>
      <c r="L83" s="249">
        <v>6357</v>
      </c>
      <c r="M83" s="220" t="s">
        <v>1197</v>
      </c>
      <c r="N83" s="220" t="s">
        <v>1198</v>
      </c>
      <c r="O83" s="305">
        <v>34812</v>
      </c>
      <c r="P83" s="220"/>
    </row>
    <row r="84" spans="1:16">
      <c r="A84" s="220">
        <v>78</v>
      </c>
      <c r="B84" s="234">
        <v>6.204861111111111E-2</v>
      </c>
      <c r="C84" s="227">
        <f t="shared" si="6"/>
        <v>89.35</v>
      </c>
      <c r="D84" s="227">
        <f t="shared" si="5"/>
        <v>62.540604505367853</v>
      </c>
      <c r="E84" s="232">
        <f>'10K'!$E84*(1-$K$2)+H.Marathon!$E84*$K$2</f>
        <v>0.6435818828157529</v>
      </c>
      <c r="F84" s="274">
        <f t="shared" si="4"/>
        <v>69.995080587988639</v>
      </c>
      <c r="G84" s="220">
        <v>78</v>
      </c>
      <c r="H84" s="282" t="s">
        <v>1110</v>
      </c>
      <c r="I84" s="220" t="s">
        <v>306</v>
      </c>
      <c r="J84" s="220" t="s">
        <v>307</v>
      </c>
      <c r="K84" s="248" t="s">
        <v>155</v>
      </c>
      <c r="L84" s="249">
        <v>6357</v>
      </c>
      <c r="M84" s="220" t="s">
        <v>1197</v>
      </c>
      <c r="N84" s="220" t="s">
        <v>1198</v>
      </c>
      <c r="O84" s="305">
        <v>35176</v>
      </c>
      <c r="P84" s="220"/>
    </row>
    <row r="85" spans="1:16">
      <c r="A85" s="220">
        <v>79</v>
      </c>
      <c r="B85" s="234">
        <v>5.9085648148148151E-2</v>
      </c>
      <c r="C85" s="227">
        <f t="shared" si="6"/>
        <v>85.083333333333343</v>
      </c>
      <c r="D85" s="227">
        <f t="shared" si="5"/>
        <v>63.932807042153421</v>
      </c>
      <c r="E85" s="232">
        <f>'10K'!$E85*(1-$K$2)+H.Marathon!$E85*$K$2</f>
        <v>0.62956722631405171</v>
      </c>
      <c r="F85" s="274">
        <f t="shared" si="4"/>
        <v>75.141399070111746</v>
      </c>
      <c r="G85" s="220">
        <v>79</v>
      </c>
      <c r="H85" s="282" t="s">
        <v>1111</v>
      </c>
      <c r="I85" s="220" t="s">
        <v>306</v>
      </c>
      <c r="J85" s="220" t="s">
        <v>307</v>
      </c>
      <c r="K85" s="248" t="s">
        <v>155</v>
      </c>
      <c r="L85" s="249">
        <v>6357</v>
      </c>
      <c r="M85" s="220" t="s">
        <v>1197</v>
      </c>
      <c r="N85" s="220" t="s">
        <v>1198</v>
      </c>
      <c r="O85" s="305">
        <v>35540</v>
      </c>
      <c r="P85" s="220"/>
    </row>
    <row r="86" spans="1:16">
      <c r="A86" s="220">
        <v>80</v>
      </c>
      <c r="B86" s="234">
        <v>5.9131944444444445E-2</v>
      </c>
      <c r="C86" s="227">
        <f t="shared" si="6"/>
        <v>85.15</v>
      </c>
      <c r="D86" s="227">
        <f t="shared" si="5"/>
        <v>65.468630377487287</v>
      </c>
      <c r="E86" s="232">
        <f>'10K'!$E86*(1-$K$2)+H.Marathon!$E86*$K$2</f>
        <v>0.61479825937890364</v>
      </c>
      <c r="F86" s="274">
        <f t="shared" si="4"/>
        <v>76.886236497342665</v>
      </c>
      <c r="G86" s="220">
        <v>80</v>
      </c>
      <c r="H86" s="282" t="s">
        <v>1112</v>
      </c>
      <c r="I86" s="248" t="s">
        <v>223</v>
      </c>
      <c r="J86" s="248" t="s">
        <v>1199</v>
      </c>
      <c r="K86" s="248" t="s">
        <v>155</v>
      </c>
      <c r="L86" s="249">
        <v>13343</v>
      </c>
      <c r="M86" s="246" t="s">
        <v>1188</v>
      </c>
      <c r="N86" s="248" t="s">
        <v>1189</v>
      </c>
      <c r="O86" s="302">
        <v>42672</v>
      </c>
      <c r="P86" s="220"/>
    </row>
    <row r="87" spans="1:16">
      <c r="A87" s="220">
        <v>81</v>
      </c>
      <c r="B87" s="234">
        <v>6.0763888888888888E-2</v>
      </c>
      <c r="C87" s="227">
        <f t="shared" si="6"/>
        <v>87.5</v>
      </c>
      <c r="D87" s="227">
        <f t="shared" si="5"/>
        <v>67.15232082891356</v>
      </c>
      <c r="E87" s="232">
        <f>'10K'!$E87*(1-$K$2)+H.Marathon!$E87*$K$2</f>
        <v>0.59938360287720216</v>
      </c>
      <c r="F87" s="274">
        <f t="shared" si="4"/>
        <v>76.745509518758354</v>
      </c>
      <c r="G87" s="220">
        <v>81</v>
      </c>
      <c r="H87" s="282" t="s">
        <v>566</v>
      </c>
      <c r="I87" s="220" t="s">
        <v>306</v>
      </c>
      <c r="J87" s="220" t="s">
        <v>307</v>
      </c>
      <c r="K87" s="248" t="s">
        <v>155</v>
      </c>
      <c r="L87" s="249">
        <v>6357</v>
      </c>
      <c r="M87" s="220" t="s">
        <v>1197</v>
      </c>
      <c r="N87" s="220" t="s">
        <v>1198</v>
      </c>
      <c r="O87" s="305">
        <v>36268</v>
      </c>
      <c r="P87" s="220"/>
    </row>
    <row r="88" spans="1:16">
      <c r="A88" s="220">
        <v>82</v>
      </c>
      <c r="B88" s="234">
        <v>7.0775462962962957E-2</v>
      </c>
      <c r="C88" s="227">
        <f t="shared" si="6"/>
        <v>101.91666666666666</v>
      </c>
      <c r="D88" s="227">
        <f t="shared" si="5"/>
        <v>69.002211705173778</v>
      </c>
      <c r="E88" s="232">
        <f>'10K'!$E88*(1-$K$2)+H.Marathon!$E88*$K$2</f>
        <v>0.58331463594205424</v>
      </c>
      <c r="F88" s="274"/>
      <c r="G88" s="220">
        <v>82</v>
      </c>
      <c r="H88" s="282" t="s">
        <v>1113</v>
      </c>
      <c r="I88" s="220" t="s">
        <v>306</v>
      </c>
      <c r="J88" s="220" t="s">
        <v>307</v>
      </c>
      <c r="K88" s="248" t="s">
        <v>155</v>
      </c>
      <c r="L88" s="249">
        <v>6357</v>
      </c>
      <c r="M88" s="220" t="s">
        <v>1197</v>
      </c>
      <c r="N88" s="220" t="s">
        <v>1198</v>
      </c>
      <c r="O88" s="305">
        <v>36632</v>
      </c>
      <c r="P88" s="220"/>
    </row>
    <row r="89" spans="1:16">
      <c r="A89" s="220">
        <v>83</v>
      </c>
      <c r="B89" s="234">
        <v>7.677083333333333E-2</v>
      </c>
      <c r="C89" s="227">
        <f t="shared" si="6"/>
        <v>110.55</v>
      </c>
      <c r="D89" s="227">
        <f t="shared" si="5"/>
        <v>71.037771726988211</v>
      </c>
      <c r="E89" s="232">
        <f>'10K'!$E89*(1-$K$2)+H.Marathon!$E89*$K$2</f>
        <v>0.5665999794403529</v>
      </c>
      <c r="F89" s="274">
        <f>100*(D89/C89)</f>
        <v>64.258499979184265</v>
      </c>
      <c r="G89" s="220">
        <v>83</v>
      </c>
      <c r="H89" s="282" t="s">
        <v>1114</v>
      </c>
      <c r="I89" s="220" t="s">
        <v>306</v>
      </c>
      <c r="J89" s="220" t="s">
        <v>307</v>
      </c>
      <c r="K89" s="248" t="s">
        <v>155</v>
      </c>
      <c r="L89" s="249">
        <v>6357</v>
      </c>
      <c r="M89" s="220" t="s">
        <v>1197</v>
      </c>
      <c r="N89" s="220" t="s">
        <v>1198</v>
      </c>
      <c r="O89" s="302">
        <v>37003</v>
      </c>
      <c r="P89" s="220"/>
    </row>
    <row r="90" spans="1:16">
      <c r="A90" s="220">
        <v>84</v>
      </c>
      <c r="B90" s="234">
        <v>7.2523148148148142E-2</v>
      </c>
      <c r="C90" s="227"/>
      <c r="D90" s="227">
        <f t="shared" si="5"/>
        <v>73.297626765558988</v>
      </c>
      <c r="E90" s="232">
        <f>'10K'!$E90*(1-$K$2)+H.Marathon!$E90*$K$2</f>
        <v>0.54913101250520469</v>
      </c>
      <c r="F90" s="274"/>
      <c r="G90" s="220">
        <v>84</v>
      </c>
      <c r="H90" s="298" t="s">
        <v>1115</v>
      </c>
      <c r="I90" s="220" t="s">
        <v>1200</v>
      </c>
      <c r="J90" s="220" t="s">
        <v>1201</v>
      </c>
      <c r="K90" s="248" t="s">
        <v>155</v>
      </c>
      <c r="L90" s="249"/>
      <c r="M90" s="246"/>
      <c r="N90" s="248" t="s">
        <v>1202</v>
      </c>
      <c r="O90" s="305">
        <v>35595</v>
      </c>
      <c r="P90" s="220"/>
    </row>
    <row r="91" spans="1:16">
      <c r="A91" s="220">
        <v>85</v>
      </c>
      <c r="B91" s="234"/>
      <c r="C91" s="227"/>
      <c r="D91" s="227">
        <f t="shared" si="5"/>
        <v>75.791520662702467</v>
      </c>
      <c r="E91" s="232">
        <f>'10K'!$E91*(1-$K$2)+H.Marathon!$E91*$K$2</f>
        <v>0.53106204557005676</v>
      </c>
      <c r="F91" s="274"/>
      <c r="G91" s="220">
        <v>85</v>
      </c>
      <c r="H91" s="282"/>
      <c r="I91" s="220"/>
      <c r="J91" s="220"/>
      <c r="K91" s="220"/>
      <c r="L91" s="220"/>
      <c r="M91" s="220"/>
      <c r="N91" s="220"/>
      <c r="O91" s="303"/>
      <c r="P91" s="220"/>
    </row>
    <row r="92" spans="1:16">
      <c r="A92" s="220">
        <v>86</v>
      </c>
      <c r="B92" s="234"/>
      <c r="C92" s="227"/>
      <c r="D92" s="227">
        <f t="shared" si="5"/>
        <v>78.568307241731475</v>
      </c>
      <c r="E92" s="232">
        <f>'10K'!$E92*(1-$K$2)+H.Marathon!$E92*$K$2</f>
        <v>0.51229307863490858</v>
      </c>
      <c r="F92" s="274"/>
      <c r="G92" s="220">
        <v>86</v>
      </c>
      <c r="H92" s="282"/>
      <c r="I92" s="220"/>
      <c r="J92" s="220"/>
      <c r="K92" s="220"/>
      <c r="L92" s="220"/>
      <c r="M92" s="220"/>
      <c r="N92" s="220"/>
      <c r="O92" s="303"/>
      <c r="P92" s="220"/>
    </row>
    <row r="93" spans="1:16">
      <c r="A93" s="220">
        <v>87</v>
      </c>
      <c r="B93" s="234">
        <v>7.0775462962962957E-2</v>
      </c>
      <c r="C93" s="227"/>
      <c r="D93" s="227">
        <f t="shared" si="5"/>
        <v>81.672140312244295</v>
      </c>
      <c r="E93" s="232">
        <f>'10K'!$E93*(1-$K$2)+H.Marathon!$E93*$K$2</f>
        <v>0.49282411169976059</v>
      </c>
      <c r="F93" s="274"/>
      <c r="G93" s="220">
        <v>87</v>
      </c>
      <c r="H93" s="282" t="s">
        <v>1113</v>
      </c>
      <c r="I93" s="248" t="s">
        <v>1203</v>
      </c>
      <c r="J93" s="248" t="s">
        <v>1204</v>
      </c>
      <c r="K93" s="248" t="s">
        <v>155</v>
      </c>
      <c r="L93" s="249">
        <v>10540</v>
      </c>
      <c r="M93" s="246"/>
      <c r="N93" s="248" t="s">
        <v>1122</v>
      </c>
      <c r="O93" s="302">
        <v>42441</v>
      </c>
      <c r="P93" s="220"/>
    </row>
    <row r="94" spans="1:16">
      <c r="A94" s="220">
        <v>88</v>
      </c>
      <c r="B94" s="234"/>
      <c r="C94" s="227"/>
      <c r="D94" s="227">
        <f t="shared" si="5"/>
        <v>85.15722392071909</v>
      </c>
      <c r="E94" s="232">
        <f>'10K'!$E94*(1-$K$2)+H.Marathon!$E94*$K$2</f>
        <v>0.47265514476461246</v>
      </c>
      <c r="F94" s="274"/>
      <c r="G94" s="220">
        <v>88</v>
      </c>
      <c r="H94" s="298"/>
      <c r="I94" s="220"/>
      <c r="J94" s="220"/>
      <c r="K94" s="220"/>
      <c r="L94" s="220"/>
      <c r="M94" s="220"/>
      <c r="N94" s="220"/>
      <c r="O94" s="303"/>
      <c r="P94" s="220"/>
    </row>
    <row r="95" spans="1:16">
      <c r="A95" s="220">
        <v>89</v>
      </c>
      <c r="B95" s="234"/>
      <c r="C95" s="227"/>
      <c r="D95" s="227">
        <f t="shared" si="5"/>
        <v>89.071102358855057</v>
      </c>
      <c r="E95" s="232">
        <f>'10K'!$E95*(1-$K$2)+H.Marathon!$E95*$K$2</f>
        <v>0.45188617782946439</v>
      </c>
      <c r="F95" s="274"/>
      <c r="G95" s="220">
        <v>89</v>
      </c>
      <c r="H95" s="250"/>
      <c r="I95" s="220"/>
      <c r="J95" s="220"/>
      <c r="K95" s="220"/>
      <c r="L95" s="220"/>
      <c r="M95" s="220"/>
      <c r="N95" s="220"/>
      <c r="O95" s="303"/>
      <c r="P95" s="220"/>
    </row>
    <row r="96" spans="1:16">
      <c r="A96" s="220">
        <v>90</v>
      </c>
      <c r="B96" s="234">
        <v>7.677083333333333E-2</v>
      </c>
      <c r="C96" s="227"/>
      <c r="D96" s="227">
        <f t="shared" si="5"/>
        <v>93.525719705153122</v>
      </c>
      <c r="E96" s="232">
        <f>'10K'!$E96*(1-$K$2)+H.Marathon!$E96*$K$2</f>
        <v>0.43036290046086956</v>
      </c>
      <c r="F96" s="274"/>
      <c r="G96" s="220">
        <v>90</v>
      </c>
      <c r="H96" s="282" t="s">
        <v>1114</v>
      </c>
      <c r="I96" s="248" t="s">
        <v>1205</v>
      </c>
      <c r="J96" s="248" t="s">
        <v>1206</v>
      </c>
      <c r="K96" s="248" t="s">
        <v>155</v>
      </c>
      <c r="L96" s="249">
        <v>9212</v>
      </c>
      <c r="M96" s="246"/>
      <c r="N96" s="248" t="s">
        <v>1153</v>
      </c>
      <c r="O96" s="302">
        <v>42420</v>
      </c>
      <c r="P96" s="220"/>
    </row>
    <row r="97" spans="1:16">
      <c r="A97" s="220">
        <v>91</v>
      </c>
      <c r="B97" s="234">
        <v>7.2523148148148142E-2</v>
      </c>
      <c r="C97" s="227"/>
      <c r="D97" s="227">
        <f t="shared" si="5"/>
        <v>98.605091095661095</v>
      </c>
      <c r="E97" s="232">
        <f>'10K'!$E97*(1-$K$2)+H.Marathon!$E97*$K$2</f>
        <v>0.40819393352572153</v>
      </c>
      <c r="F97" s="274"/>
      <c r="G97" s="220">
        <v>91</v>
      </c>
      <c r="H97" s="298" t="s">
        <v>1115</v>
      </c>
      <c r="I97" s="248" t="s">
        <v>1205</v>
      </c>
      <c r="J97" s="248" t="s">
        <v>1206</v>
      </c>
      <c r="K97" s="248" t="s">
        <v>155</v>
      </c>
      <c r="L97" s="249">
        <v>9212</v>
      </c>
      <c r="M97" s="246"/>
      <c r="N97" s="248" t="s">
        <v>1153</v>
      </c>
      <c r="O97" s="302">
        <v>42791</v>
      </c>
      <c r="P97" s="220"/>
    </row>
    <row r="98" spans="1:16">
      <c r="A98" s="220">
        <v>92</v>
      </c>
      <c r="B98" s="234">
        <v>0.11039351851851852</v>
      </c>
      <c r="C98" s="227"/>
      <c r="D98" s="227">
        <f t="shared" si="5"/>
        <v>104.44490092050216</v>
      </c>
      <c r="E98" s="232">
        <f>'10K'!$E98*(1-$K$2)+H.Marathon!$E98*$K$2</f>
        <v>0.38537065615712662</v>
      </c>
      <c r="F98" s="274"/>
      <c r="G98" s="220">
        <v>92</v>
      </c>
      <c r="H98" s="298" t="s">
        <v>1116</v>
      </c>
      <c r="I98" s="248" t="s">
        <v>1205</v>
      </c>
      <c r="J98" s="248" t="s">
        <v>1206</v>
      </c>
      <c r="K98" s="248" t="s">
        <v>155</v>
      </c>
      <c r="L98" s="249">
        <v>9212</v>
      </c>
      <c r="M98" s="220" t="s">
        <v>1195</v>
      </c>
      <c r="N98" s="220" t="s">
        <v>1196</v>
      </c>
      <c r="O98" s="305">
        <v>43155</v>
      </c>
      <c r="P98" s="220"/>
    </row>
    <row r="99" spans="1:16">
      <c r="A99" s="220">
        <v>93</v>
      </c>
      <c r="B99" s="234"/>
      <c r="C99" s="227"/>
      <c r="D99" s="227">
        <f t="shared" si="5"/>
        <v>111.23474248938145</v>
      </c>
      <c r="E99" s="232">
        <f>'10K'!$E99*(1-$K$2)+H.Marathon!$E99*$K$2</f>
        <v>0.36184737878853179</v>
      </c>
      <c r="F99" s="274"/>
      <c r="G99" s="220">
        <v>93</v>
      </c>
      <c r="H99" s="250"/>
      <c r="I99" s="220"/>
      <c r="J99" s="220"/>
      <c r="K99" s="220"/>
      <c r="L99" s="220"/>
      <c r="M99" s="220"/>
      <c r="N99" s="220"/>
      <c r="O99" s="220"/>
      <c r="P99" s="220"/>
    </row>
    <row r="100" spans="1:16">
      <c r="A100" s="220">
        <v>94</v>
      </c>
      <c r="B100" s="234"/>
      <c r="C100" s="227"/>
      <c r="D100" s="227">
        <f t="shared" si="5"/>
        <v>119.19624881876105</v>
      </c>
      <c r="E100" s="232">
        <f>'10K'!$E100*(1-$K$2)+H.Marathon!$E100*$K$2</f>
        <v>0.33767841185338376</v>
      </c>
      <c r="F100" s="274"/>
      <c r="G100" s="220">
        <v>94</v>
      </c>
      <c r="H100" s="250"/>
      <c r="I100" s="220"/>
      <c r="J100" s="220"/>
      <c r="K100" s="220"/>
      <c r="L100" s="220"/>
      <c r="M100" s="220"/>
      <c r="N100" s="220"/>
      <c r="O100" s="220"/>
      <c r="P100" s="220"/>
    </row>
    <row r="101" spans="1:16">
      <c r="A101" s="220">
        <v>95</v>
      </c>
      <c r="B101" s="234"/>
      <c r="C101" s="227"/>
      <c r="D101" s="227">
        <f t="shared" si="5"/>
        <v>128.69492955345098</v>
      </c>
      <c r="E101" s="232">
        <f>'10K'!$E101*(1-$K$2)+H.Marathon!$E101*$K$2</f>
        <v>0.31275513448478898</v>
      </c>
      <c r="F101" s="274"/>
      <c r="G101" s="220">
        <v>95</v>
      </c>
      <c r="H101" s="250"/>
      <c r="I101" s="220"/>
      <c r="J101" s="220"/>
      <c r="K101" s="220"/>
      <c r="L101" s="220"/>
      <c r="M101" s="220"/>
      <c r="N101" s="220"/>
      <c r="O101" s="220"/>
      <c r="P101" s="220"/>
    </row>
    <row r="102" spans="1:16">
      <c r="A102" s="220">
        <v>96</v>
      </c>
      <c r="B102" s="220"/>
      <c r="C102" s="227"/>
      <c r="D102" s="227">
        <f t="shared" si="5"/>
        <v>140.13069582221738</v>
      </c>
      <c r="E102" s="232">
        <f>'10K'!$E102*(1-$K$2)+H.Marathon!$E102*$K$2</f>
        <v>0.28723185711619409</v>
      </c>
      <c r="F102" s="274"/>
      <c r="G102" s="220">
        <v>96</v>
      </c>
      <c r="H102" s="250"/>
      <c r="I102" s="220"/>
      <c r="J102" s="220"/>
      <c r="K102" s="220"/>
      <c r="L102" s="220"/>
      <c r="M102" s="220"/>
      <c r="N102" s="220"/>
      <c r="O102" s="220"/>
      <c r="P102" s="220"/>
    </row>
    <row r="103" spans="1:16">
      <c r="A103" s="220">
        <v>97</v>
      </c>
      <c r="B103" s="220" t="s">
        <v>78</v>
      </c>
      <c r="C103" s="227"/>
      <c r="D103" s="227">
        <f t="shared" si="5"/>
        <v>154.2094901206795</v>
      </c>
      <c r="E103" s="232">
        <f>'10K'!$E103*(1-$K$2)+H.Marathon!$E103*$K$2</f>
        <v>0.26100857974759928</v>
      </c>
      <c r="F103" s="220"/>
      <c r="G103" s="220">
        <v>97</v>
      </c>
      <c r="H103" s="250"/>
      <c r="I103" s="220"/>
      <c r="J103" s="220"/>
      <c r="K103" s="220"/>
      <c r="L103" s="220"/>
      <c r="M103" s="220"/>
      <c r="N103" s="220"/>
      <c r="O103" s="220"/>
      <c r="P103" s="220"/>
    </row>
    <row r="104" spans="1:16">
      <c r="A104" s="220">
        <v>98</v>
      </c>
      <c r="B104" s="220" t="s">
        <v>78</v>
      </c>
      <c r="C104" s="227"/>
      <c r="D104" s="227">
        <f t="shared" si="5"/>
        <v>171.91231141821373</v>
      </c>
      <c r="E104" s="232">
        <f>'10K'!$E104*(1-$K$2)+H.Marathon!$E104*$K$2</f>
        <v>0.23413099194555767</v>
      </c>
      <c r="F104" s="220"/>
      <c r="G104" s="220">
        <v>98</v>
      </c>
      <c r="H104" s="250"/>
      <c r="I104" s="220"/>
      <c r="J104" s="220"/>
      <c r="K104" s="220"/>
      <c r="L104" s="220"/>
      <c r="M104" s="220"/>
      <c r="N104" s="220"/>
      <c r="O104" s="220"/>
      <c r="P104" s="220"/>
    </row>
    <row r="105" spans="1:16">
      <c r="A105" s="220">
        <v>99</v>
      </c>
      <c r="B105" s="220" t="s">
        <v>78</v>
      </c>
      <c r="C105" s="227"/>
      <c r="D105" s="227">
        <f t="shared" si="5"/>
        <v>194.90797272369855</v>
      </c>
      <c r="E105" s="232">
        <f>'10K'!$E105*(1-$K$2)+H.Marathon!$E105*$K$2</f>
        <v>0.20650771457696285</v>
      </c>
      <c r="F105" s="220"/>
      <c r="G105" s="220">
        <v>99</v>
      </c>
      <c r="H105" s="250"/>
      <c r="I105" s="220"/>
      <c r="J105" s="220"/>
      <c r="K105" s="220"/>
      <c r="L105" s="220"/>
      <c r="M105" s="220"/>
      <c r="N105" s="220"/>
      <c r="O105" s="220"/>
      <c r="P105" s="220"/>
    </row>
    <row r="106" spans="1:16">
      <c r="A106" s="220">
        <v>100</v>
      </c>
      <c r="B106" s="220"/>
      <c r="C106" s="220"/>
      <c r="D106" s="227">
        <f>E$4/E106</f>
        <v>225.83162974927296</v>
      </c>
      <c r="E106" s="232">
        <f>'10K'!$E106*(1-$K$2)+H.Marathon!$E106*$K$2</f>
        <v>0.17823012677492125</v>
      </c>
      <c r="F106" s="220"/>
      <c r="G106" s="220">
        <v>100</v>
      </c>
      <c r="H106" s="220"/>
      <c r="I106" s="220"/>
      <c r="J106" s="220"/>
      <c r="K106" s="220"/>
      <c r="L106" s="220"/>
      <c r="M106" s="220"/>
      <c r="N106" s="220"/>
      <c r="O106" s="220"/>
      <c r="P106" s="220"/>
    </row>
  </sheetData>
  <pageMargins left="0.5" right="0.5" top="0.5" bottom="0.5" header="0" footer="0"/>
  <pageSetup orientation="portrait" verticalDpi="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06"/>
  <sheetViews>
    <sheetView zoomScale="87" zoomScaleNormal="87" workbookViewId="0">
      <selection activeCell="A6" sqref="A6:P6"/>
    </sheetView>
  </sheetViews>
  <sheetFormatPr defaultColWidth="9.6640625" defaultRowHeight="15"/>
  <cols>
    <col min="1" max="5" width="9.6640625" style="1" customWidth="1"/>
    <col min="6" max="6" width="10.6640625" style="1" customWidth="1"/>
    <col min="7" max="7" width="11.6640625" style="1" customWidth="1"/>
    <col min="8" max="9" width="10.6640625" style="1" customWidth="1"/>
    <col min="10" max="10" width="9.6640625" style="1"/>
    <col min="11" max="11" width="15.88671875" style="1" customWidth="1"/>
    <col min="12" max="12" width="7.88671875" style="1" customWidth="1"/>
    <col min="13" max="13" width="10.109375" style="1" bestFit="1" customWidth="1"/>
    <col min="14" max="14" width="21.5546875" style="1" customWidth="1"/>
    <col min="15" max="15" width="21.21875" style="1" customWidth="1"/>
    <col min="16" max="16" width="14.6640625" style="1" customWidth="1"/>
    <col min="17" max="16384" width="9.6640625" style="1"/>
  </cols>
  <sheetData>
    <row r="1" spans="1:17" ht="29.1" customHeight="1">
      <c r="A1" s="216" t="s">
        <v>82</v>
      </c>
      <c r="B1" s="217"/>
      <c r="C1" s="218"/>
      <c r="D1" s="219" t="s">
        <v>32</v>
      </c>
      <c r="E1" s="219" t="s">
        <v>71</v>
      </c>
      <c r="F1" s="219" t="s">
        <v>72</v>
      </c>
      <c r="G1" s="219" t="s">
        <v>73</v>
      </c>
      <c r="H1" s="219" t="s">
        <v>74</v>
      </c>
      <c r="I1" s="219" t="s">
        <v>75</v>
      </c>
      <c r="J1" s="220"/>
      <c r="K1" s="218" t="s">
        <v>1355</v>
      </c>
      <c r="L1" s="220"/>
      <c r="M1" s="220"/>
      <c r="N1" s="220"/>
      <c r="O1" s="220"/>
      <c r="P1" s="220"/>
      <c r="Q1" s="220"/>
    </row>
    <row r="2" spans="1:17" ht="15.95" customHeight="1">
      <c r="A2" s="216"/>
      <c r="B2" s="217"/>
      <c r="C2" s="218"/>
      <c r="D2" s="219"/>
      <c r="E2" s="219"/>
      <c r="F2" s="268">
        <f>(+H$3-H$4)*F$4/2</f>
        <v>4.725E-2</v>
      </c>
      <c r="G2" s="269">
        <f>(+I$4-I$3)*G$4/2</f>
        <v>0.17219999999999999</v>
      </c>
      <c r="H2" s="221"/>
      <c r="I2" s="221"/>
      <c r="J2" s="220"/>
      <c r="K2" s="225">
        <f>Parameters!Z21</f>
        <v>0.63735080246240494</v>
      </c>
      <c r="L2" s="220"/>
      <c r="M2" s="220"/>
      <c r="N2" s="220"/>
      <c r="O2" s="220"/>
      <c r="P2" s="220"/>
      <c r="Q2" s="220"/>
    </row>
    <row r="3" spans="1:17" ht="15.95" customHeight="1">
      <c r="A3" s="216"/>
      <c r="B3" s="217"/>
      <c r="C3" s="218"/>
      <c r="D3" s="219"/>
      <c r="E3" s="219"/>
      <c r="F3" s="268">
        <f>F4/(2*(+H3-H4))</f>
        <v>1.89E-3</v>
      </c>
      <c r="G3" s="269">
        <f>G4/(2*(+I4-I3))</f>
        <v>1.6006097560975613E-4</v>
      </c>
      <c r="H3" s="222">
        <v>22</v>
      </c>
      <c r="I3" s="223">
        <v>24</v>
      </c>
      <c r="J3" s="220"/>
      <c r="K3" s="220"/>
      <c r="L3" s="220"/>
      <c r="M3" s="220"/>
      <c r="N3" s="220"/>
      <c r="O3" s="220"/>
      <c r="P3" s="220"/>
      <c r="Q3" s="220"/>
    </row>
    <row r="4" spans="1:17" ht="15.75">
      <c r="A4" s="217"/>
      <c r="B4" s="217"/>
      <c r="C4" s="217"/>
      <c r="D4" s="224">
        <f>Parameters!G21</f>
        <v>3.0034722222222223E-2</v>
      </c>
      <c r="E4" s="225">
        <f>D4*1440</f>
        <v>43.25</v>
      </c>
      <c r="F4" s="226">
        <v>1.89E-2</v>
      </c>
      <c r="G4" s="215">
        <v>1.0500000000000001E-2</v>
      </c>
      <c r="H4" s="222">
        <v>17</v>
      </c>
      <c r="I4" s="223">
        <v>56.8</v>
      </c>
      <c r="J4" s="227"/>
      <c r="K4" s="220"/>
      <c r="L4" s="220"/>
      <c r="M4" s="220"/>
      <c r="N4" s="220"/>
      <c r="O4" s="220"/>
      <c r="P4" s="220"/>
      <c r="Q4" s="220"/>
    </row>
    <row r="5" spans="1:17" ht="15.75" customHeight="1">
      <c r="A5" s="217"/>
      <c r="B5" s="217"/>
      <c r="C5" s="217"/>
      <c r="D5" s="224"/>
      <c r="E5" s="217">
        <f>E4*60</f>
        <v>2595</v>
      </c>
      <c r="F5" s="226">
        <v>9.1E-4</v>
      </c>
      <c r="G5" s="215">
        <v>5.1000000000000004E-4</v>
      </c>
      <c r="H5" s="222">
        <v>15</v>
      </c>
      <c r="I5" s="223">
        <v>76.7</v>
      </c>
      <c r="J5" s="227"/>
      <c r="K5" s="220"/>
      <c r="L5" s="220"/>
      <c r="M5" s="220"/>
      <c r="N5" s="220"/>
      <c r="O5" s="220"/>
      <c r="P5" s="220"/>
      <c r="Q5" s="220"/>
    </row>
    <row r="6" spans="1:17" ht="48.75" customHeight="1">
      <c r="A6" s="228" t="s">
        <v>69</v>
      </c>
      <c r="B6" s="228" t="s">
        <v>1351</v>
      </c>
      <c r="C6" s="228" t="s">
        <v>1351</v>
      </c>
      <c r="D6" s="228" t="s">
        <v>1208</v>
      </c>
      <c r="E6" s="228" t="s">
        <v>147</v>
      </c>
      <c r="F6" s="228" t="s">
        <v>142</v>
      </c>
      <c r="G6" s="228" t="s">
        <v>69</v>
      </c>
      <c r="H6" s="424" t="s">
        <v>316</v>
      </c>
      <c r="I6" s="427" t="s">
        <v>423</v>
      </c>
      <c r="J6" s="424" t="s">
        <v>237</v>
      </c>
      <c r="K6" s="424" t="s">
        <v>238</v>
      </c>
      <c r="L6" s="424" t="s">
        <v>239</v>
      </c>
      <c r="M6" s="229" t="s">
        <v>240</v>
      </c>
      <c r="N6" s="426" t="s">
        <v>241</v>
      </c>
      <c r="O6" s="427" t="s">
        <v>242</v>
      </c>
      <c r="P6" s="229" t="s">
        <v>243</v>
      </c>
      <c r="Q6" s="289"/>
    </row>
    <row r="7" spans="1:17">
      <c r="A7" s="220">
        <v>1</v>
      </c>
      <c r="B7" s="220" t="s">
        <v>78</v>
      </c>
      <c r="C7" s="220"/>
      <c r="D7" s="220"/>
      <c r="E7" s="220"/>
      <c r="F7" s="220"/>
      <c r="G7" s="220">
        <v>1</v>
      </c>
      <c r="H7" s="220"/>
      <c r="I7" s="220"/>
      <c r="J7" s="220"/>
      <c r="K7" s="220"/>
      <c r="L7" s="220"/>
      <c r="M7" s="220"/>
      <c r="N7" s="220"/>
      <c r="O7" s="220"/>
      <c r="P7" s="220"/>
      <c r="Q7" s="220"/>
    </row>
    <row r="8" spans="1:17">
      <c r="A8" s="220">
        <v>2</v>
      </c>
      <c r="B8" s="220" t="s">
        <v>78</v>
      </c>
      <c r="C8" s="220"/>
      <c r="D8" s="220"/>
      <c r="E8" s="220"/>
      <c r="F8" s="220"/>
      <c r="G8" s="220">
        <v>2</v>
      </c>
      <c r="H8" s="220"/>
      <c r="I8" s="220"/>
      <c r="J8" s="220"/>
      <c r="K8" s="220"/>
      <c r="L8" s="220"/>
      <c r="M8" s="220"/>
      <c r="N8" s="220"/>
      <c r="O8" s="220"/>
      <c r="P8" s="220"/>
      <c r="Q8" s="220"/>
    </row>
    <row r="9" spans="1:17">
      <c r="A9" s="220">
        <v>3</v>
      </c>
      <c r="B9" s="231" t="s">
        <v>78</v>
      </c>
      <c r="C9" s="227"/>
      <c r="D9" s="227"/>
      <c r="E9" s="232">
        <f>'10K'!$E9*(1-$K$2)+H.Marathon!$E9*$K$2</f>
        <v>0.32458663740793242</v>
      </c>
      <c r="F9" s="274"/>
      <c r="G9" s="220">
        <v>3</v>
      </c>
      <c r="H9" s="220"/>
      <c r="I9" s="220"/>
      <c r="J9" s="220"/>
      <c r="K9" s="220"/>
      <c r="L9" s="220"/>
      <c r="M9" s="220"/>
      <c r="N9" s="220"/>
      <c r="O9" s="220"/>
      <c r="P9" s="220"/>
      <c r="Q9" s="273"/>
    </row>
    <row r="10" spans="1:17">
      <c r="A10" s="220">
        <v>4</v>
      </c>
      <c r="B10" s="234"/>
      <c r="C10" s="227"/>
      <c r="D10" s="227"/>
      <c r="E10" s="232">
        <f>'10K'!$E10*(1-$K$2)+H.Marathon!$E10*$K$2</f>
        <v>0.40411280629053203</v>
      </c>
      <c r="F10" s="274"/>
      <c r="G10" s="220">
        <v>4</v>
      </c>
      <c r="H10" s="220"/>
      <c r="I10" s="220"/>
      <c r="J10" s="220"/>
      <c r="K10" s="220"/>
      <c r="L10" s="220"/>
      <c r="M10" s="220"/>
      <c r="N10" s="220"/>
      <c r="O10" s="220"/>
      <c r="P10" s="220"/>
      <c r="Q10" s="273"/>
    </row>
    <row r="11" spans="1:17">
      <c r="A11" s="220">
        <v>5</v>
      </c>
      <c r="B11" s="234"/>
      <c r="C11" s="227"/>
      <c r="D11" s="227">
        <f t="shared" ref="D11:D42" si="0">E$4/E11</f>
        <v>90.388184470999732</v>
      </c>
      <c r="E11" s="232">
        <f>'10K'!$E11*(1-$K$2)+H.Marathon!$E11*$K$2</f>
        <v>0.47849174372869929</v>
      </c>
      <c r="F11" s="274"/>
      <c r="G11" s="220">
        <v>5</v>
      </c>
      <c r="H11" s="275"/>
      <c r="I11" s="220"/>
      <c r="J11" s="220"/>
      <c r="K11" s="220"/>
      <c r="L11" s="220"/>
      <c r="M11" s="220"/>
      <c r="N11" s="220"/>
      <c r="O11" s="220"/>
      <c r="P11" s="220"/>
      <c r="Q11" s="273"/>
    </row>
    <row r="12" spans="1:17">
      <c r="A12" s="220">
        <v>6</v>
      </c>
      <c r="B12" s="234"/>
      <c r="C12" s="227"/>
      <c r="D12" s="227">
        <f t="shared" si="0"/>
        <v>78.954019370824042</v>
      </c>
      <c r="E12" s="232">
        <f>'10K'!$E12*(1-$K$2)+H.Marathon!$E12*$K$2</f>
        <v>0.5477871848026804</v>
      </c>
      <c r="F12" s="274"/>
      <c r="G12" s="220">
        <v>6</v>
      </c>
      <c r="H12" s="275"/>
      <c r="I12" s="220"/>
      <c r="J12" s="220"/>
      <c r="K12" s="220"/>
      <c r="L12" s="220"/>
      <c r="M12" s="220"/>
      <c r="N12" s="220"/>
      <c r="O12" s="220"/>
      <c r="P12" s="220"/>
      <c r="Q12" s="273"/>
    </row>
    <row r="13" spans="1:17">
      <c r="A13" s="220">
        <v>7</v>
      </c>
      <c r="B13" s="234">
        <v>6.1377314814814815E-2</v>
      </c>
      <c r="C13" s="227">
        <f t="shared" ref="C13:C75" si="1">B13*1440</f>
        <v>88.38333333333334</v>
      </c>
      <c r="D13" s="227">
        <f t="shared" si="0"/>
        <v>70.670035159124112</v>
      </c>
      <c r="E13" s="232">
        <f>'10K'!$E13*(1-$K$2)+H.Marathon!$E13*$K$2</f>
        <v>0.61199912951247559</v>
      </c>
      <c r="F13" s="274">
        <f t="shared" ref="F13:F72" si="2">100*(D13/C13)</f>
        <v>79.958553828916578</v>
      </c>
      <c r="G13" s="220">
        <v>7</v>
      </c>
      <c r="H13" s="282" t="s">
        <v>1210</v>
      </c>
      <c r="I13" s="246">
        <v>5303</v>
      </c>
      <c r="J13" s="248" t="s">
        <v>420</v>
      </c>
      <c r="K13" s="248" t="s">
        <v>1117</v>
      </c>
      <c r="L13" s="248" t="s">
        <v>155</v>
      </c>
      <c r="M13" s="244">
        <v>39841</v>
      </c>
      <c r="N13" s="246"/>
      <c r="O13" s="248" t="s">
        <v>1211</v>
      </c>
      <c r="P13" s="302">
        <v>42714</v>
      </c>
      <c r="Q13" s="246"/>
    </row>
    <row r="14" spans="1:17">
      <c r="A14" s="220">
        <v>8</v>
      </c>
      <c r="B14" s="234">
        <v>5.9745370370370372E-2</v>
      </c>
      <c r="C14" s="227">
        <f t="shared" si="1"/>
        <v>86.033333333333331</v>
      </c>
      <c r="D14" s="227">
        <f t="shared" si="0"/>
        <v>64.449903635052948</v>
      </c>
      <c r="E14" s="232">
        <f>'10K'!$E14*(1-$K$2)+H.Marathon!$E14*$K$2</f>
        <v>0.67106384277783826</v>
      </c>
      <c r="F14" s="274">
        <f t="shared" si="2"/>
        <v>74.912712477783359</v>
      </c>
      <c r="G14" s="220">
        <v>8</v>
      </c>
      <c r="H14" s="282" t="s">
        <v>1212</v>
      </c>
      <c r="I14" s="246">
        <v>5162</v>
      </c>
      <c r="J14" s="248" t="s">
        <v>247</v>
      </c>
      <c r="K14" s="248" t="s">
        <v>248</v>
      </c>
      <c r="L14" s="248" t="s">
        <v>155</v>
      </c>
      <c r="M14" s="244">
        <v>38897</v>
      </c>
      <c r="N14" s="246"/>
      <c r="O14" s="248" t="s">
        <v>1213</v>
      </c>
      <c r="P14" s="302">
        <v>42056</v>
      </c>
      <c r="Q14" s="246"/>
    </row>
    <row r="15" spans="1:17">
      <c r="A15" s="220">
        <v>9</v>
      </c>
      <c r="B15" s="234">
        <v>4.8414351851851854E-2</v>
      </c>
      <c r="C15" s="227">
        <f t="shared" si="1"/>
        <v>69.716666666666669</v>
      </c>
      <c r="D15" s="227">
        <f t="shared" si="0"/>
        <v>59.656709121350303</v>
      </c>
      <c r="E15" s="232">
        <f>'10K'!$E15*(1-$K$2)+H.Marathon!$E15*$K$2</f>
        <v>0.72498132459876885</v>
      </c>
      <c r="F15" s="274">
        <f t="shared" si="2"/>
        <v>85.570225849414726</v>
      </c>
      <c r="G15" s="220">
        <v>9</v>
      </c>
      <c r="H15" s="282" t="s">
        <v>1214</v>
      </c>
      <c r="I15" s="246">
        <v>4183</v>
      </c>
      <c r="J15" s="248" t="s">
        <v>610</v>
      </c>
      <c r="K15" s="248" t="s">
        <v>1215</v>
      </c>
      <c r="L15" s="248" t="s">
        <v>155</v>
      </c>
      <c r="M15" s="244">
        <v>26666</v>
      </c>
      <c r="N15" s="246"/>
      <c r="O15" s="248" t="s">
        <v>1216</v>
      </c>
      <c r="P15" s="302">
        <v>30031</v>
      </c>
      <c r="Q15" s="246"/>
    </row>
    <row r="16" spans="1:17">
      <c r="A16" s="220">
        <v>10</v>
      </c>
      <c r="B16" s="234"/>
      <c r="C16" s="227"/>
      <c r="D16" s="227">
        <f t="shared" si="0"/>
        <v>55.887286613908479</v>
      </c>
      <c r="E16" s="232">
        <f>'10K'!$E16*(1-$K$2)+H.Marathon!$E16*$K$2</f>
        <v>0.77387904513575934</v>
      </c>
      <c r="F16" s="274"/>
      <c r="G16" s="220">
        <v>10</v>
      </c>
      <c r="H16" s="282"/>
      <c r="I16" s="246"/>
      <c r="J16" s="248"/>
      <c r="K16" s="248"/>
      <c r="L16" s="248"/>
      <c r="M16" s="244"/>
      <c r="N16" s="246"/>
      <c r="O16" s="248"/>
      <c r="P16" s="302"/>
      <c r="Q16" s="246"/>
    </row>
    <row r="17" spans="1:17">
      <c r="A17" s="220">
        <v>11</v>
      </c>
      <c r="B17" s="234"/>
      <c r="C17" s="227"/>
      <c r="D17" s="227">
        <f t="shared" si="0"/>
        <v>52.896817188507669</v>
      </c>
      <c r="E17" s="232">
        <f>'10K'!$E17*(1-$K$2)+H.Marathon!$E17*$K$2</f>
        <v>0.81762953422831774</v>
      </c>
      <c r="F17" s="274"/>
      <c r="G17" s="220">
        <v>11</v>
      </c>
      <c r="H17" s="282"/>
      <c r="I17" s="246"/>
      <c r="J17" s="248"/>
      <c r="K17" s="248"/>
      <c r="L17" s="248"/>
      <c r="M17" s="244"/>
      <c r="N17" s="246"/>
      <c r="O17" s="248"/>
      <c r="P17" s="302"/>
      <c r="Q17" s="246"/>
    </row>
    <row r="18" spans="1:17">
      <c r="A18" s="220">
        <v>12</v>
      </c>
      <c r="B18" s="234">
        <v>4.0729166666666664E-2</v>
      </c>
      <c r="C18" s="227">
        <f t="shared" si="1"/>
        <v>58.65</v>
      </c>
      <c r="D18" s="227">
        <f t="shared" si="0"/>
        <v>50.511964048021504</v>
      </c>
      <c r="E18" s="232">
        <f>'10K'!$E18*(1-$K$2)+H.Marathon!$E18*$K$2</f>
        <v>0.85623279187644363</v>
      </c>
      <c r="F18" s="274">
        <f t="shared" si="2"/>
        <v>86.124405878979545</v>
      </c>
      <c r="G18" s="220">
        <v>12</v>
      </c>
      <c r="H18" s="282" t="s">
        <v>1217</v>
      </c>
      <c r="I18" s="246">
        <v>3519</v>
      </c>
      <c r="J18" s="248" t="s">
        <v>730</v>
      </c>
      <c r="K18" s="248" t="s">
        <v>248</v>
      </c>
      <c r="L18" s="248" t="s">
        <v>155</v>
      </c>
      <c r="M18" s="244">
        <v>24921</v>
      </c>
      <c r="N18" s="246"/>
      <c r="O18" s="248" t="s">
        <v>731</v>
      </c>
      <c r="P18" s="302">
        <v>29645</v>
      </c>
      <c r="Q18" s="246"/>
    </row>
    <row r="19" spans="1:17">
      <c r="A19" s="220">
        <v>13</v>
      </c>
      <c r="B19" s="234">
        <v>4.1342592592592591E-2</v>
      </c>
      <c r="C19" s="227">
        <f t="shared" si="1"/>
        <v>59.533333333333331</v>
      </c>
      <c r="D19" s="227">
        <f t="shared" si="0"/>
        <v>48.609020391542415</v>
      </c>
      <c r="E19" s="232">
        <f>'10K'!$E19*(1-$K$2)+H.Marathon!$E19*$K$2</f>
        <v>0.88975255316038337</v>
      </c>
      <c r="F19" s="274">
        <f t="shared" si="2"/>
        <v>81.650090243352324</v>
      </c>
      <c r="G19" s="220">
        <v>13</v>
      </c>
      <c r="H19" s="282" t="s">
        <v>1218</v>
      </c>
      <c r="I19" s="246">
        <v>3572</v>
      </c>
      <c r="J19" s="248" t="s">
        <v>730</v>
      </c>
      <c r="K19" s="248" t="s">
        <v>248</v>
      </c>
      <c r="L19" s="248" t="s">
        <v>155</v>
      </c>
      <c r="M19" s="244">
        <v>24921</v>
      </c>
      <c r="N19" s="246"/>
      <c r="O19" s="248" t="s">
        <v>731</v>
      </c>
      <c r="P19" s="302">
        <v>30009</v>
      </c>
      <c r="Q19" s="246"/>
    </row>
    <row r="20" spans="1:17">
      <c r="A20" s="220">
        <v>14</v>
      </c>
      <c r="B20" s="234">
        <v>4.1840277777777775E-2</v>
      </c>
      <c r="C20" s="227">
        <f t="shared" si="1"/>
        <v>60.249999999999993</v>
      </c>
      <c r="D20" s="227">
        <f t="shared" si="0"/>
        <v>47.1036012945926</v>
      </c>
      <c r="E20" s="232">
        <f>'10K'!$E20*(1-$K$2)+H.Marathon!$E20*$K$2</f>
        <v>0.91818881808013719</v>
      </c>
      <c r="F20" s="274">
        <f t="shared" si="2"/>
        <v>78.180251111357023</v>
      </c>
      <c r="G20" s="220">
        <v>14</v>
      </c>
      <c r="H20" s="282" t="s">
        <v>1219</v>
      </c>
      <c r="I20" s="246">
        <v>3615</v>
      </c>
      <c r="J20" s="248" t="s">
        <v>730</v>
      </c>
      <c r="K20" s="248" t="s">
        <v>248</v>
      </c>
      <c r="L20" s="248" t="s">
        <v>155</v>
      </c>
      <c r="M20" s="244">
        <v>24921</v>
      </c>
      <c r="N20" s="246"/>
      <c r="O20" s="248" t="s">
        <v>1220</v>
      </c>
      <c r="P20" s="302">
        <v>30163</v>
      </c>
      <c r="Q20" s="246"/>
    </row>
    <row r="21" spans="1:17">
      <c r="A21" s="220">
        <v>15</v>
      </c>
      <c r="B21" s="234">
        <v>3.7534722222222219E-2</v>
      </c>
      <c r="C21" s="227">
        <f t="shared" si="1"/>
        <v>54.05</v>
      </c>
      <c r="D21" s="227">
        <f t="shared" si="0"/>
        <v>45.938414725895782</v>
      </c>
      <c r="E21" s="232">
        <f>'10K'!$E21*(1-$K$2)+H.Marathon!$E21*$K$2</f>
        <v>0.9414778515554586</v>
      </c>
      <c r="F21" s="274">
        <f t="shared" si="2"/>
        <v>84.992441676032911</v>
      </c>
      <c r="G21" s="220">
        <v>15</v>
      </c>
      <c r="H21" s="282" t="s">
        <v>1221</v>
      </c>
      <c r="I21" s="246">
        <v>3243</v>
      </c>
      <c r="J21" s="248" t="s">
        <v>167</v>
      </c>
      <c r="K21" s="248" t="s">
        <v>168</v>
      </c>
      <c r="L21" s="248" t="s">
        <v>160</v>
      </c>
      <c r="M21" s="244">
        <v>28256</v>
      </c>
      <c r="N21" s="246" t="s">
        <v>1222</v>
      </c>
      <c r="O21" s="248" t="s">
        <v>246</v>
      </c>
      <c r="P21" s="302">
        <v>34063</v>
      </c>
      <c r="Q21" s="246"/>
    </row>
    <row r="22" spans="1:17">
      <c r="A22" s="220">
        <v>16</v>
      </c>
      <c r="B22" s="234">
        <v>3.9108796296296294E-2</v>
      </c>
      <c r="C22" s="227">
        <f t="shared" si="1"/>
        <v>56.316666666666663</v>
      </c>
      <c r="D22" s="227">
        <f t="shared" si="0"/>
        <v>45.06694656879759</v>
      </c>
      <c r="E22" s="232">
        <f>'10K'!$E22*(1-$K$2)+H.Marathon!$E22*$K$2</f>
        <v>0.95968338866659397</v>
      </c>
      <c r="F22" s="274">
        <f t="shared" si="2"/>
        <v>80.024172658415381</v>
      </c>
      <c r="G22" s="220">
        <v>16</v>
      </c>
      <c r="H22" s="282" t="s">
        <v>1223</v>
      </c>
      <c r="I22" s="246">
        <v>3379</v>
      </c>
      <c r="J22" s="248" t="s">
        <v>188</v>
      </c>
      <c r="K22" s="248" t="s">
        <v>1224</v>
      </c>
      <c r="L22" s="248" t="s">
        <v>738</v>
      </c>
      <c r="M22" s="244">
        <v>33967</v>
      </c>
      <c r="N22" s="246"/>
      <c r="O22" s="248" t="s">
        <v>1225</v>
      </c>
      <c r="P22" s="302">
        <v>40040</v>
      </c>
      <c r="Q22" s="246"/>
    </row>
    <row r="23" spans="1:17">
      <c r="A23" s="220">
        <v>17</v>
      </c>
      <c r="B23" s="234">
        <v>3.7337962962962962E-2</v>
      </c>
      <c r="C23" s="227">
        <f t="shared" si="1"/>
        <v>53.766666666666666</v>
      </c>
      <c r="D23" s="227">
        <f t="shared" si="0"/>
        <v>44.453219763598796</v>
      </c>
      <c r="E23" s="232">
        <f>'10K'!$E23*(1-$K$2)+H.Marathon!$E23*$K$2</f>
        <v>0.97293289957403561</v>
      </c>
      <c r="F23" s="274">
        <f t="shared" si="2"/>
        <v>82.678028078609046</v>
      </c>
      <c r="G23" s="220">
        <v>17</v>
      </c>
      <c r="H23" s="282" t="s">
        <v>1226</v>
      </c>
      <c r="I23" s="246">
        <v>3226</v>
      </c>
      <c r="J23" s="248" t="s">
        <v>1227</v>
      </c>
      <c r="K23" s="248" t="s">
        <v>1228</v>
      </c>
      <c r="L23" s="248" t="s">
        <v>160</v>
      </c>
      <c r="M23" s="244">
        <v>32348</v>
      </c>
      <c r="N23" s="246"/>
      <c r="O23" s="248" t="s">
        <v>1229</v>
      </c>
      <c r="P23" s="302">
        <v>38634</v>
      </c>
      <c r="Q23" s="246"/>
    </row>
    <row r="24" spans="1:17">
      <c r="A24" s="220">
        <v>18</v>
      </c>
      <c r="B24" s="234">
        <v>3.5879629629629629E-2</v>
      </c>
      <c r="C24" s="227">
        <f t="shared" si="1"/>
        <v>51.666666666666664</v>
      </c>
      <c r="D24" s="227">
        <f t="shared" si="0"/>
        <v>43.960421397907375</v>
      </c>
      <c r="E24" s="232">
        <f>'10K'!$E24*(1-$K$2)+H.Marathon!$E24*$K$2</f>
        <v>0.98383952256787977</v>
      </c>
      <c r="F24" s="274">
        <f t="shared" si="2"/>
        <v>85.084686576594919</v>
      </c>
      <c r="G24" s="220">
        <v>18</v>
      </c>
      <c r="H24" s="282" t="s">
        <v>1230</v>
      </c>
      <c r="I24" s="246">
        <v>3100</v>
      </c>
      <c r="J24" s="248" t="s">
        <v>166</v>
      </c>
      <c r="K24" s="248" t="s">
        <v>1144</v>
      </c>
      <c r="L24" s="248" t="s">
        <v>160</v>
      </c>
      <c r="M24" s="244">
        <v>27962</v>
      </c>
      <c r="N24" s="246" t="s">
        <v>1222</v>
      </c>
      <c r="O24" s="248" t="s">
        <v>246</v>
      </c>
      <c r="P24" s="302">
        <v>34798</v>
      </c>
      <c r="Q24" s="246"/>
    </row>
    <row r="25" spans="1:17">
      <c r="A25" s="220">
        <v>19</v>
      </c>
      <c r="B25" s="234">
        <v>3.6747685185185182E-2</v>
      </c>
      <c r="C25" s="227">
        <f t="shared" si="1"/>
        <v>52.916666666666664</v>
      </c>
      <c r="D25" s="227">
        <f t="shared" si="0"/>
        <v>43.54192471061414</v>
      </c>
      <c r="E25" s="232">
        <f>'10K'!$E25*(1-$K$2)+H.Marathon!$E25*$K$2</f>
        <v>0.99329554877157333</v>
      </c>
      <c r="F25" s="274">
        <f t="shared" si="2"/>
        <v>82.283952209034595</v>
      </c>
      <c r="G25" s="220">
        <v>19</v>
      </c>
      <c r="H25" s="282" t="s">
        <v>1231</v>
      </c>
      <c r="I25" s="246">
        <v>3175</v>
      </c>
      <c r="J25" s="248" t="s">
        <v>1232</v>
      </c>
      <c r="K25" s="248" t="s">
        <v>1233</v>
      </c>
      <c r="L25" s="248" t="s">
        <v>163</v>
      </c>
      <c r="M25" s="244">
        <v>30222</v>
      </c>
      <c r="N25" s="246" t="s">
        <v>1222</v>
      </c>
      <c r="O25" s="248" t="s">
        <v>246</v>
      </c>
      <c r="P25" s="302">
        <v>37353</v>
      </c>
      <c r="Q25" s="246"/>
    </row>
    <row r="26" spans="1:17">
      <c r="A26" s="220">
        <v>20</v>
      </c>
      <c r="B26" s="234">
        <v>3.574074074074074E-2</v>
      </c>
      <c r="C26" s="227">
        <f t="shared" si="1"/>
        <v>51.466666666666669</v>
      </c>
      <c r="D26" s="227">
        <f t="shared" si="0"/>
        <v>43.300248961725273</v>
      </c>
      <c r="E26" s="232">
        <f>'10K'!$E26*(1-$K$2)+H.Marathon!$E26*$K$2</f>
        <v>0.99883952256787967</v>
      </c>
      <c r="F26" s="274">
        <f t="shared" si="2"/>
        <v>84.132608086253768</v>
      </c>
      <c r="G26" s="220">
        <v>20</v>
      </c>
      <c r="H26" s="282" t="s">
        <v>1234</v>
      </c>
      <c r="I26" s="246">
        <v>3088</v>
      </c>
      <c r="J26" s="248" t="s">
        <v>582</v>
      </c>
      <c r="K26" s="248" t="s">
        <v>583</v>
      </c>
      <c r="L26" s="248" t="s">
        <v>163</v>
      </c>
      <c r="M26" s="244">
        <v>35364</v>
      </c>
      <c r="N26" s="246"/>
      <c r="O26" s="248" t="s">
        <v>218</v>
      </c>
      <c r="P26" s="302">
        <v>42750</v>
      </c>
      <c r="Q26" s="246"/>
    </row>
    <row r="27" spans="1:17">
      <c r="A27" s="220">
        <v>21</v>
      </c>
      <c r="B27" s="234">
        <v>3.6620370370370373E-2</v>
      </c>
      <c r="C27" s="227">
        <f t="shared" si="1"/>
        <v>52.733333333333334</v>
      </c>
      <c r="D27" s="227">
        <f t="shared" si="0"/>
        <v>43.25</v>
      </c>
      <c r="E27" s="232">
        <f>'10K'!$E27*(1-$K$2)+H.Marathon!$E27*$K$2</f>
        <v>1</v>
      </c>
      <c r="F27" s="274">
        <f t="shared" si="2"/>
        <v>82.016434892541085</v>
      </c>
      <c r="G27" s="220">
        <v>21</v>
      </c>
      <c r="H27" s="282" t="s">
        <v>1235</v>
      </c>
      <c r="I27" s="246">
        <v>3164</v>
      </c>
      <c r="J27" s="248" t="s">
        <v>1236</v>
      </c>
      <c r="K27" s="248" t="s">
        <v>1237</v>
      </c>
      <c r="L27" s="248" t="s">
        <v>155</v>
      </c>
      <c r="M27" s="244">
        <v>24672</v>
      </c>
      <c r="N27" s="246" t="s">
        <v>1222</v>
      </c>
      <c r="O27" s="248" t="s">
        <v>246</v>
      </c>
      <c r="P27" s="302">
        <v>32600</v>
      </c>
      <c r="Q27" s="246"/>
    </row>
    <row r="28" spans="1:17">
      <c r="A28" s="220">
        <v>22</v>
      </c>
      <c r="B28" s="234">
        <v>3.5856481481481482E-2</v>
      </c>
      <c r="C28" s="227">
        <f t="shared" si="1"/>
        <v>51.633333333333333</v>
      </c>
      <c r="D28" s="227">
        <f t="shared" si="0"/>
        <v>43.25</v>
      </c>
      <c r="E28" s="232">
        <f>'10K'!$E28*(1-$K$2)+H.Marathon!$E28*$K$2</f>
        <v>1</v>
      </c>
      <c r="F28" s="274">
        <f t="shared" si="2"/>
        <v>83.763718528082634</v>
      </c>
      <c r="G28" s="220">
        <v>22</v>
      </c>
      <c r="H28" s="282" t="s">
        <v>1238</v>
      </c>
      <c r="I28" s="246">
        <v>3098</v>
      </c>
      <c r="J28" s="248" t="s">
        <v>1239</v>
      </c>
      <c r="K28" s="248" t="s">
        <v>1240</v>
      </c>
      <c r="L28" s="248" t="s">
        <v>163</v>
      </c>
      <c r="M28" s="244">
        <v>34374</v>
      </c>
      <c r="N28" s="246"/>
      <c r="O28" s="248" t="s">
        <v>1241</v>
      </c>
      <c r="P28" s="302">
        <v>42680</v>
      </c>
      <c r="Q28" s="246"/>
    </row>
    <row r="29" spans="1:17" ht="15.75">
      <c r="A29" s="220">
        <v>23</v>
      </c>
      <c r="B29" s="234">
        <v>3.4363425925925929E-2</v>
      </c>
      <c r="C29" s="227">
        <f t="shared" si="1"/>
        <v>49.483333333333341</v>
      </c>
      <c r="D29" s="227">
        <f t="shared" si="0"/>
        <v>43.25</v>
      </c>
      <c r="E29" s="232">
        <f>'10K'!$E29*(1-$K$2)+H.Marathon!$E29*$K$2</f>
        <v>1</v>
      </c>
      <c r="F29" s="274">
        <f t="shared" si="2"/>
        <v>87.4031660491748</v>
      </c>
      <c r="G29" s="220">
        <v>23</v>
      </c>
      <c r="H29" s="294" t="s">
        <v>1242</v>
      </c>
      <c r="I29" s="257">
        <v>2969</v>
      </c>
      <c r="J29" s="309" t="s">
        <v>1243</v>
      </c>
      <c r="K29" s="309" t="s">
        <v>1244</v>
      </c>
      <c r="L29" s="309" t="s">
        <v>160</v>
      </c>
      <c r="M29" s="312"/>
      <c r="N29" s="257" t="s">
        <v>1245</v>
      </c>
      <c r="O29" s="309" t="s">
        <v>1246</v>
      </c>
      <c r="P29" s="304">
        <v>43140</v>
      </c>
      <c r="Q29" s="295" t="s">
        <v>597</v>
      </c>
    </row>
    <row r="30" spans="1:17">
      <c r="A30" s="220">
        <v>24</v>
      </c>
      <c r="B30" s="234">
        <v>3.5891203703703703E-2</v>
      </c>
      <c r="C30" s="227">
        <f t="shared" si="1"/>
        <v>51.68333333333333</v>
      </c>
      <c r="D30" s="227">
        <f t="shared" si="0"/>
        <v>43.25</v>
      </c>
      <c r="E30" s="232">
        <f>'10K'!$E30*(1-$K$2)+H.Marathon!$E30*$K$2</f>
        <v>1</v>
      </c>
      <c r="F30" s="274">
        <f t="shared" si="2"/>
        <v>83.682683005482104</v>
      </c>
      <c r="G30" s="220">
        <v>24</v>
      </c>
      <c r="H30" s="282" t="s">
        <v>1247</v>
      </c>
      <c r="I30" s="246">
        <v>3101</v>
      </c>
      <c r="J30" s="248" t="s">
        <v>1248</v>
      </c>
      <c r="K30" s="248" t="s">
        <v>1249</v>
      </c>
      <c r="L30" s="248" t="s">
        <v>172</v>
      </c>
      <c r="M30" s="244">
        <v>24394</v>
      </c>
      <c r="N30" s="246"/>
      <c r="O30" s="248" t="s">
        <v>269</v>
      </c>
      <c r="P30" s="302">
        <v>33348</v>
      </c>
      <c r="Q30" s="246"/>
    </row>
    <row r="31" spans="1:17">
      <c r="A31" s="220">
        <v>25</v>
      </c>
      <c r="B31" s="234">
        <v>3.6145833333333335E-2</v>
      </c>
      <c r="C31" s="227">
        <f t="shared" si="1"/>
        <v>52.050000000000004</v>
      </c>
      <c r="D31" s="227">
        <f t="shared" si="0"/>
        <v>43.25</v>
      </c>
      <c r="E31" s="232">
        <f>'10K'!$E31*(1-$K$2)+H.Marathon!$E31*$K$2</f>
        <v>1</v>
      </c>
      <c r="F31" s="274">
        <f t="shared" si="2"/>
        <v>83.093179634966376</v>
      </c>
      <c r="G31" s="220">
        <v>25</v>
      </c>
      <c r="H31" s="282" t="s">
        <v>1250</v>
      </c>
      <c r="I31" s="246">
        <v>3123</v>
      </c>
      <c r="J31" s="248" t="s">
        <v>448</v>
      </c>
      <c r="K31" s="248" t="s">
        <v>1251</v>
      </c>
      <c r="L31" s="248" t="s">
        <v>155</v>
      </c>
      <c r="M31" s="244">
        <v>33523</v>
      </c>
      <c r="N31" s="246"/>
      <c r="O31" s="248" t="s">
        <v>1241</v>
      </c>
      <c r="P31" s="302">
        <v>42680</v>
      </c>
      <c r="Q31" s="246"/>
    </row>
    <row r="32" spans="1:17">
      <c r="A32" s="220">
        <v>26</v>
      </c>
      <c r="B32" s="234">
        <v>3.6377314814814814E-2</v>
      </c>
      <c r="C32" s="227">
        <f t="shared" si="1"/>
        <v>52.383333333333333</v>
      </c>
      <c r="D32" s="227">
        <f t="shared" si="0"/>
        <v>43.25</v>
      </c>
      <c r="E32" s="232">
        <f>'10K'!$E32*(1-$K$2)+H.Marathon!$E32*$K$2</f>
        <v>1</v>
      </c>
      <c r="F32" s="274">
        <f t="shared" si="2"/>
        <v>82.564428889595931</v>
      </c>
      <c r="G32" s="220">
        <v>26</v>
      </c>
      <c r="H32" s="282" t="s">
        <v>1252</v>
      </c>
      <c r="I32" s="246">
        <v>3143</v>
      </c>
      <c r="J32" s="248" t="s">
        <v>1253</v>
      </c>
      <c r="K32" s="248" t="s">
        <v>1254</v>
      </c>
      <c r="L32" s="248" t="s">
        <v>302</v>
      </c>
      <c r="M32" s="244">
        <v>22048</v>
      </c>
      <c r="N32" s="246" t="s">
        <v>1222</v>
      </c>
      <c r="O32" s="248" t="s">
        <v>246</v>
      </c>
      <c r="P32" s="302">
        <v>31872</v>
      </c>
      <c r="Q32" s="246"/>
    </row>
    <row r="33" spans="1:17">
      <c r="A33" s="220">
        <v>27</v>
      </c>
      <c r="B33" s="234">
        <v>3.560185185185185E-2</v>
      </c>
      <c r="C33" s="227">
        <f t="shared" si="1"/>
        <v>51.266666666666666</v>
      </c>
      <c r="D33" s="227">
        <f t="shared" si="0"/>
        <v>43.25</v>
      </c>
      <c r="E33" s="232">
        <f>'10K'!$E33*(1-$K$2)+H.Marathon!$E33*$K$2</f>
        <v>1</v>
      </c>
      <c r="F33" s="274">
        <f t="shared" si="2"/>
        <v>84.362808842652797</v>
      </c>
      <c r="G33" s="220">
        <v>27</v>
      </c>
      <c r="H33" s="282" t="s">
        <v>1255</v>
      </c>
      <c r="I33" s="246">
        <v>3076</v>
      </c>
      <c r="J33" s="248" t="s">
        <v>1256</v>
      </c>
      <c r="K33" s="248" t="s">
        <v>1257</v>
      </c>
      <c r="L33" s="248" t="s">
        <v>160</v>
      </c>
      <c r="M33" s="244">
        <v>32810</v>
      </c>
      <c r="N33" s="246"/>
      <c r="O33" s="248" t="s">
        <v>218</v>
      </c>
      <c r="P33" s="302">
        <v>42750</v>
      </c>
      <c r="Q33" s="246"/>
    </row>
    <row r="34" spans="1:17">
      <c r="A34" s="220">
        <v>28</v>
      </c>
      <c r="B34" s="234">
        <v>3.6273148148148152E-2</v>
      </c>
      <c r="C34" s="227">
        <f t="shared" si="1"/>
        <v>52.233333333333341</v>
      </c>
      <c r="D34" s="227">
        <f t="shared" si="0"/>
        <v>43.253137143095181</v>
      </c>
      <c r="E34" s="232">
        <f>'10K'!$E34*(1-$K$2)+H.Marathon!$E34*$K$2</f>
        <v>0.99992747016049255</v>
      </c>
      <c r="F34" s="274">
        <f t="shared" si="2"/>
        <v>82.807537606436199</v>
      </c>
      <c r="G34" s="220">
        <v>28</v>
      </c>
      <c r="H34" s="282" t="s">
        <v>1258</v>
      </c>
      <c r="I34" s="246">
        <v>3134</v>
      </c>
      <c r="J34" s="248" t="s">
        <v>265</v>
      </c>
      <c r="K34" s="248" t="s">
        <v>266</v>
      </c>
      <c r="L34" s="248" t="s">
        <v>206</v>
      </c>
      <c r="M34" s="244">
        <v>23521</v>
      </c>
      <c r="N34" s="246"/>
      <c r="O34" s="248" t="s">
        <v>1259</v>
      </c>
      <c r="P34" s="302">
        <v>33853</v>
      </c>
      <c r="Q34" s="246"/>
    </row>
    <row r="35" spans="1:17">
      <c r="A35" s="220">
        <v>29</v>
      </c>
      <c r="B35" s="234">
        <v>3.6018518518518519E-2</v>
      </c>
      <c r="C35" s="227">
        <f t="shared" si="1"/>
        <v>51.866666666666667</v>
      </c>
      <c r="D35" s="227">
        <f t="shared" si="0"/>
        <v>43.265690267856549</v>
      </c>
      <c r="E35" s="232">
        <f>'10K'!$E35*(1-$K$2)+H.Marathon!$E35*$K$2</f>
        <v>0.99963735080246241</v>
      </c>
      <c r="F35" s="274">
        <f t="shared" si="2"/>
        <v>83.417140619260692</v>
      </c>
      <c r="G35" s="220">
        <v>29</v>
      </c>
      <c r="H35" s="282" t="s">
        <v>1260</v>
      </c>
      <c r="I35" s="246">
        <v>3112</v>
      </c>
      <c r="J35" s="248" t="s">
        <v>1261</v>
      </c>
      <c r="K35" s="248" t="s">
        <v>1262</v>
      </c>
      <c r="L35" s="248" t="s">
        <v>197</v>
      </c>
      <c r="M35" s="244">
        <v>27235</v>
      </c>
      <c r="N35" s="246" t="s">
        <v>1263</v>
      </c>
      <c r="O35" s="248" t="s">
        <v>1264</v>
      </c>
      <c r="P35" s="302">
        <v>37856</v>
      </c>
      <c r="Q35" s="246"/>
    </row>
    <row r="36" spans="1:17">
      <c r="A36" s="220">
        <v>30</v>
      </c>
      <c r="B36" s="234">
        <v>3.6168981481481483E-2</v>
      </c>
      <c r="C36" s="227">
        <f t="shared" si="1"/>
        <v>52.083333333333336</v>
      </c>
      <c r="D36" s="227">
        <f t="shared" si="0"/>
        <v>43.284533623045206</v>
      </c>
      <c r="E36" s="232">
        <f>'10K'!$E36*(1-$K$2)+H.Marathon!$E36*$K$2</f>
        <v>0.99920217176541737</v>
      </c>
      <c r="F36" s="274">
        <f t="shared" si="2"/>
        <v>83.106304556246783</v>
      </c>
      <c r="G36" s="220">
        <v>30</v>
      </c>
      <c r="H36" s="282" t="s">
        <v>1265</v>
      </c>
      <c r="I36" s="246">
        <v>3125</v>
      </c>
      <c r="J36" s="248" t="s">
        <v>182</v>
      </c>
      <c r="K36" s="248" t="s">
        <v>183</v>
      </c>
      <c r="L36" s="248" t="s">
        <v>163</v>
      </c>
      <c r="M36" s="244">
        <v>30605</v>
      </c>
      <c r="N36" s="246" t="s">
        <v>1222</v>
      </c>
      <c r="O36" s="248" t="s">
        <v>246</v>
      </c>
      <c r="P36" s="302">
        <v>41735</v>
      </c>
      <c r="Q36" s="246"/>
    </row>
    <row r="37" spans="1:17">
      <c r="A37" s="220">
        <v>31</v>
      </c>
      <c r="B37" s="234">
        <v>3.5983796296296298E-2</v>
      </c>
      <c r="C37" s="227">
        <f t="shared" si="1"/>
        <v>51.81666666666667</v>
      </c>
      <c r="D37" s="227">
        <f t="shared" si="0"/>
        <v>43.31282945137449</v>
      </c>
      <c r="E37" s="232">
        <f>'10K'!$E37*(1-$K$2)+H.Marathon!$E37*$K$2</f>
        <v>0.99854940320984964</v>
      </c>
      <c r="F37" s="274">
        <f t="shared" si="2"/>
        <v>83.588606210436453</v>
      </c>
      <c r="G37" s="220">
        <v>31</v>
      </c>
      <c r="H37" s="282" t="s">
        <v>1266</v>
      </c>
      <c r="I37" s="246">
        <v>3109</v>
      </c>
      <c r="J37" s="248" t="s">
        <v>162</v>
      </c>
      <c r="K37" s="248" t="s">
        <v>270</v>
      </c>
      <c r="L37" s="248" t="s">
        <v>163</v>
      </c>
      <c r="M37" s="244">
        <v>31199</v>
      </c>
      <c r="N37" s="246"/>
      <c r="O37" s="248" t="s">
        <v>1229</v>
      </c>
      <c r="P37" s="302">
        <v>42666</v>
      </c>
      <c r="Q37" s="246"/>
    </row>
    <row r="38" spans="1:17">
      <c r="A38" s="220">
        <v>32</v>
      </c>
      <c r="B38" s="234">
        <v>3.5416666666666666E-2</v>
      </c>
      <c r="C38" s="227">
        <f t="shared" si="1"/>
        <v>51</v>
      </c>
      <c r="D38" s="227">
        <f t="shared" si="0"/>
        <v>43.353002189166311</v>
      </c>
      <c r="E38" s="232">
        <f>'10K'!$E38*(1-$K$2)+H.Marathon!$E38*$K$2</f>
        <v>0.99762410481477448</v>
      </c>
      <c r="F38" s="274">
        <f t="shared" si="2"/>
        <v>85.005886645424141</v>
      </c>
      <c r="G38" s="220">
        <v>32</v>
      </c>
      <c r="H38" s="282" t="s">
        <v>1267</v>
      </c>
      <c r="I38" s="246">
        <v>3060</v>
      </c>
      <c r="J38" s="248" t="s">
        <v>184</v>
      </c>
      <c r="K38" s="248" t="s">
        <v>1268</v>
      </c>
      <c r="L38" s="248" t="s">
        <v>185</v>
      </c>
      <c r="M38" s="244">
        <v>25535</v>
      </c>
      <c r="N38" s="246"/>
      <c r="O38" s="248" t="s">
        <v>1229</v>
      </c>
      <c r="P38" s="302">
        <v>37507</v>
      </c>
      <c r="Q38" s="246"/>
    </row>
    <row r="39" spans="1:17">
      <c r="A39" s="220">
        <v>33</v>
      </c>
      <c r="B39" s="234">
        <v>3.560185185185185E-2</v>
      </c>
      <c r="C39" s="227">
        <f t="shared" si="1"/>
        <v>51.266666666666666</v>
      </c>
      <c r="D39" s="227">
        <f t="shared" si="0"/>
        <v>43.430502985809213</v>
      </c>
      <c r="E39" s="232">
        <f>'10K'!$E39*(1-$K$2)+H.Marathon!$E39*$K$2</f>
        <v>0.99584386609871434</v>
      </c>
      <c r="F39" s="274">
        <f t="shared" si="2"/>
        <v>84.714895290915237</v>
      </c>
      <c r="G39" s="220">
        <v>33</v>
      </c>
      <c r="H39" s="282" t="s">
        <v>1255</v>
      </c>
      <c r="I39" s="246">
        <v>3076</v>
      </c>
      <c r="J39" s="248" t="s">
        <v>186</v>
      </c>
      <c r="K39" s="248" t="s">
        <v>187</v>
      </c>
      <c r="L39" s="248" t="s">
        <v>155</v>
      </c>
      <c r="M39" s="244">
        <v>23483</v>
      </c>
      <c r="N39" s="246" t="s">
        <v>1222</v>
      </c>
      <c r="O39" s="248" t="s">
        <v>246</v>
      </c>
      <c r="P39" s="302">
        <v>35890</v>
      </c>
      <c r="Q39" s="246"/>
    </row>
    <row r="40" spans="1:17">
      <c r="A40" s="220">
        <v>34</v>
      </c>
      <c r="B40" s="234">
        <v>3.5543981481481482E-2</v>
      </c>
      <c r="C40" s="227">
        <f t="shared" si="1"/>
        <v>51.183333333333337</v>
      </c>
      <c r="D40" s="227">
        <f t="shared" si="0"/>
        <v>43.539759188114182</v>
      </c>
      <c r="E40" s="232">
        <f>'10K'!$E40*(1-$K$2)+H.Marathon!$E40*$K$2</f>
        <v>0.99334495198142292</v>
      </c>
      <c r="F40" s="274">
        <f t="shared" si="2"/>
        <v>85.066283011620015</v>
      </c>
      <c r="G40" s="220">
        <v>34</v>
      </c>
      <c r="H40" s="282" t="s">
        <v>1269</v>
      </c>
      <c r="I40" s="246">
        <v>3071</v>
      </c>
      <c r="J40" s="248" t="s">
        <v>171</v>
      </c>
      <c r="K40" s="248" t="s">
        <v>268</v>
      </c>
      <c r="L40" s="248" t="s">
        <v>172</v>
      </c>
      <c r="M40" s="244">
        <v>27015</v>
      </c>
      <c r="N40" s="246"/>
      <c r="O40" s="248" t="s">
        <v>1229</v>
      </c>
      <c r="P40" s="302">
        <v>39747</v>
      </c>
      <c r="Q40" s="246"/>
    </row>
    <row r="41" spans="1:17">
      <c r="A41" s="220">
        <v>35</v>
      </c>
      <c r="B41" s="234">
        <v>3.6249999999999998E-2</v>
      </c>
      <c r="C41" s="227">
        <f t="shared" si="1"/>
        <v>52.199999999999996</v>
      </c>
      <c r="D41" s="227">
        <f t="shared" si="0"/>
        <v>43.684449158637534</v>
      </c>
      <c r="E41" s="232">
        <f>'10K'!$E41*(1-$K$2)+H.Marathon!$E41*$K$2</f>
        <v>0.99005483262339289</v>
      </c>
      <c r="F41" s="274">
        <f t="shared" si="2"/>
        <v>83.686684211949299</v>
      </c>
      <c r="G41" s="220">
        <v>35</v>
      </c>
      <c r="H41" s="282" t="s">
        <v>1270</v>
      </c>
      <c r="I41" s="246">
        <v>3132</v>
      </c>
      <c r="J41" s="248" t="s">
        <v>632</v>
      </c>
      <c r="K41" s="248" t="s">
        <v>787</v>
      </c>
      <c r="L41" s="248" t="s">
        <v>155</v>
      </c>
      <c r="M41" s="244">
        <v>28724</v>
      </c>
      <c r="N41" s="246" t="s">
        <v>1222</v>
      </c>
      <c r="O41" s="248" t="s">
        <v>246</v>
      </c>
      <c r="P41" s="302">
        <v>41735</v>
      </c>
      <c r="Q41" s="246"/>
    </row>
    <row r="42" spans="1:17">
      <c r="A42" s="220">
        <v>36</v>
      </c>
      <c r="B42" s="234">
        <v>3.6712962962962961E-2</v>
      </c>
      <c r="C42" s="227">
        <f t="shared" si="1"/>
        <v>52.866666666666667</v>
      </c>
      <c r="D42" s="227">
        <f t="shared" si="0"/>
        <v>43.864884671748356</v>
      </c>
      <c r="E42" s="232">
        <f>'10K'!$E42*(1-$K$2)+H.Marathon!$E42*$K$2</f>
        <v>0.98598230278388543</v>
      </c>
      <c r="F42" s="274">
        <f t="shared" si="2"/>
        <v>82.972669618691725</v>
      </c>
      <c r="G42" s="220">
        <v>36</v>
      </c>
      <c r="H42" s="282" t="s">
        <v>1271</v>
      </c>
      <c r="I42" s="246">
        <v>3172</v>
      </c>
      <c r="J42" s="248" t="s">
        <v>649</v>
      </c>
      <c r="K42" s="248" t="s">
        <v>789</v>
      </c>
      <c r="L42" s="248" t="s">
        <v>179</v>
      </c>
      <c r="M42" s="244">
        <v>19039</v>
      </c>
      <c r="N42" s="246"/>
      <c r="O42" s="248" t="s">
        <v>339</v>
      </c>
      <c r="P42" s="302">
        <v>32453</v>
      </c>
      <c r="Q42" s="246"/>
    </row>
    <row r="43" spans="1:17">
      <c r="A43" s="220">
        <v>37</v>
      </c>
      <c r="B43" s="234">
        <v>3.7303240740740741E-2</v>
      </c>
      <c r="C43" s="227">
        <f t="shared" si="1"/>
        <v>53.716666666666669</v>
      </c>
      <c r="D43" s="227">
        <f t="shared" ref="D43:D74" si="3">E$4/E43</f>
        <v>44.082337674261893</v>
      </c>
      <c r="E43" s="232">
        <f>'10K'!$E43*(1-$K$2)+H.Marathon!$E43*$K$2</f>
        <v>0.98111856770363914</v>
      </c>
      <c r="F43" s="274">
        <f t="shared" si="2"/>
        <v>82.06454422760514</v>
      </c>
      <c r="G43" s="220">
        <v>37</v>
      </c>
      <c r="H43" s="282" t="s">
        <v>1272</v>
      </c>
      <c r="I43" s="246">
        <v>3223</v>
      </c>
      <c r="J43" s="248" t="s">
        <v>1273</v>
      </c>
      <c r="K43" s="248" t="s">
        <v>1274</v>
      </c>
      <c r="L43" s="248" t="s">
        <v>160</v>
      </c>
      <c r="M43" s="244">
        <v>27280</v>
      </c>
      <c r="N43" s="246"/>
      <c r="O43" s="248" t="s">
        <v>1229</v>
      </c>
      <c r="P43" s="302">
        <v>40846</v>
      </c>
      <c r="Q43" s="246"/>
    </row>
    <row r="44" spans="1:17">
      <c r="A44" s="220">
        <v>38</v>
      </c>
      <c r="B44" s="234">
        <v>3.7835648148148146E-2</v>
      </c>
      <c r="C44" s="227">
        <f t="shared" si="1"/>
        <v>54.483333333333327</v>
      </c>
      <c r="D44" s="227">
        <f t="shared" si="3"/>
        <v>44.337491269135874</v>
      </c>
      <c r="E44" s="232">
        <f>'10K'!$E44*(1-$K$2)+H.Marathon!$E44*$K$2</f>
        <v>0.97547242214191543</v>
      </c>
      <c r="F44" s="274">
        <f t="shared" si="2"/>
        <v>81.378081252620149</v>
      </c>
      <c r="G44" s="220">
        <v>38</v>
      </c>
      <c r="H44" s="282" t="s">
        <v>1275</v>
      </c>
      <c r="I44" s="246">
        <v>3269</v>
      </c>
      <c r="J44" s="248" t="s">
        <v>1276</v>
      </c>
      <c r="K44" s="248" t="s">
        <v>1277</v>
      </c>
      <c r="L44" s="248" t="s">
        <v>201</v>
      </c>
      <c r="M44" s="244">
        <v>22024</v>
      </c>
      <c r="N44" s="246" t="s">
        <v>1222</v>
      </c>
      <c r="O44" s="248" t="s">
        <v>246</v>
      </c>
      <c r="P44" s="302">
        <v>36261</v>
      </c>
      <c r="Q44" s="246"/>
    </row>
    <row r="45" spans="1:17">
      <c r="A45" s="220">
        <v>39</v>
      </c>
      <c r="B45" s="234">
        <v>3.6805555555555557E-2</v>
      </c>
      <c r="C45" s="227">
        <f t="shared" si="1"/>
        <v>53</v>
      </c>
      <c r="D45" s="227">
        <f t="shared" si="3"/>
        <v>44.632027549031321</v>
      </c>
      <c r="E45" s="232">
        <f>'10K'!$E45*(1-$K$2)+H.Marathon!$E45*$K$2</f>
        <v>0.9690350713394531</v>
      </c>
      <c r="F45" s="274">
        <f t="shared" si="2"/>
        <v>84.211372734021367</v>
      </c>
      <c r="G45" s="220">
        <v>39</v>
      </c>
      <c r="H45" s="282" t="s">
        <v>1278</v>
      </c>
      <c r="I45" s="246">
        <v>3180</v>
      </c>
      <c r="J45" s="248" t="s">
        <v>332</v>
      </c>
      <c r="K45" s="248" t="s">
        <v>1279</v>
      </c>
      <c r="L45" s="248" t="s">
        <v>172</v>
      </c>
      <c r="M45" s="244">
        <v>26927</v>
      </c>
      <c r="N45" s="246"/>
      <c r="O45" s="248" t="s">
        <v>1229</v>
      </c>
      <c r="P45" s="302">
        <v>41210</v>
      </c>
      <c r="Q45" s="246"/>
    </row>
    <row r="46" spans="1:17">
      <c r="A46" s="220">
        <v>40</v>
      </c>
      <c r="B46" s="234">
        <v>3.7858796296296293E-2</v>
      </c>
      <c r="C46" s="227">
        <f t="shared" si="1"/>
        <v>54.516666666666666</v>
      </c>
      <c r="D46" s="227">
        <f t="shared" si="3"/>
        <v>44.964073413092919</v>
      </c>
      <c r="E46" s="232">
        <f>'10K'!$E46*(1-$K$2)+H.Marathon!$E46*$K$2</f>
        <v>0.96187904513575928</v>
      </c>
      <c r="F46" s="274">
        <f t="shared" si="2"/>
        <v>82.47766446914018</v>
      </c>
      <c r="G46" s="220">
        <v>40</v>
      </c>
      <c r="H46" s="282" t="s">
        <v>1280</v>
      </c>
      <c r="I46" s="246">
        <v>3271</v>
      </c>
      <c r="J46" s="248" t="s">
        <v>199</v>
      </c>
      <c r="K46" s="248" t="s">
        <v>284</v>
      </c>
      <c r="L46" s="248" t="s">
        <v>201</v>
      </c>
      <c r="M46" s="244">
        <v>20152</v>
      </c>
      <c r="N46" s="246" t="s">
        <v>1263</v>
      </c>
      <c r="O46" s="248" t="s">
        <v>1264</v>
      </c>
      <c r="P46" s="302">
        <v>34937</v>
      </c>
      <c r="Q46" s="246"/>
    </row>
    <row r="47" spans="1:17">
      <c r="A47" s="220">
        <v>41</v>
      </c>
      <c r="B47" s="234">
        <v>3.7870370370370374E-2</v>
      </c>
      <c r="C47" s="227">
        <f t="shared" si="1"/>
        <v>54.533333333333339</v>
      </c>
      <c r="D47" s="227">
        <f t="shared" si="3"/>
        <v>45.314449543417403</v>
      </c>
      <c r="E47" s="232">
        <f>'10K'!$E47*(1-$K$2)+H.Marathon!$E47*$K$2</f>
        <v>0.95444169433329695</v>
      </c>
      <c r="F47" s="274">
        <f t="shared" si="2"/>
        <v>83.094956375459788</v>
      </c>
      <c r="G47" s="220">
        <v>41</v>
      </c>
      <c r="H47" s="282" t="s">
        <v>1281</v>
      </c>
      <c r="I47" s="246">
        <v>3272</v>
      </c>
      <c r="J47" s="248" t="s">
        <v>649</v>
      </c>
      <c r="K47" s="248" t="s">
        <v>789</v>
      </c>
      <c r="L47" s="248" t="s">
        <v>179</v>
      </c>
      <c r="M47" s="244">
        <v>19039</v>
      </c>
      <c r="N47" s="246"/>
      <c r="O47" s="248" t="s">
        <v>1282</v>
      </c>
      <c r="P47" s="302">
        <v>34210</v>
      </c>
      <c r="Q47" s="246"/>
    </row>
    <row r="48" spans="1:17">
      <c r="A48" s="220">
        <v>42</v>
      </c>
      <c r="B48" s="234">
        <v>3.6620370370370373E-2</v>
      </c>
      <c r="C48" s="227">
        <f t="shared" si="1"/>
        <v>52.733333333333334</v>
      </c>
      <c r="D48" s="227">
        <f t="shared" si="3"/>
        <v>45.674251375552259</v>
      </c>
      <c r="E48" s="232">
        <f>'10K'!$E48*(1-$K$2)+H.Marathon!$E48*$K$2</f>
        <v>0.94692301893206576</v>
      </c>
      <c r="F48" s="274">
        <f t="shared" si="2"/>
        <v>86.613624605977733</v>
      </c>
      <c r="G48" s="220">
        <v>42</v>
      </c>
      <c r="H48" s="282" t="s">
        <v>1235</v>
      </c>
      <c r="I48" s="246">
        <v>3164</v>
      </c>
      <c r="J48" s="248" t="s">
        <v>332</v>
      </c>
      <c r="K48" s="248" t="s">
        <v>1279</v>
      </c>
      <c r="L48" s="248" t="s">
        <v>172</v>
      </c>
      <c r="M48" s="244">
        <v>26927</v>
      </c>
      <c r="N48" s="246"/>
      <c r="O48" s="248" t="s">
        <v>1229</v>
      </c>
      <c r="P48" s="302">
        <v>42302</v>
      </c>
      <c r="Q48" s="246"/>
    </row>
    <row r="49" spans="1:17">
      <c r="A49" s="220">
        <v>43</v>
      </c>
      <c r="B49" s="234">
        <v>3.8576388888888889E-2</v>
      </c>
      <c r="C49" s="227">
        <f t="shared" si="1"/>
        <v>55.55</v>
      </c>
      <c r="D49" s="227">
        <f t="shared" si="3"/>
        <v>46.048269840882817</v>
      </c>
      <c r="E49" s="232">
        <f>'10K'!$E49*(1-$K$2)+H.Marathon!$E49*$K$2</f>
        <v>0.93923181369132702</v>
      </c>
      <c r="F49" s="274">
        <f t="shared" si="2"/>
        <v>82.895175231112177</v>
      </c>
      <c r="G49" s="220">
        <v>43</v>
      </c>
      <c r="H49" s="282" t="s">
        <v>1283</v>
      </c>
      <c r="I49" s="246">
        <v>3333</v>
      </c>
      <c r="J49" s="248" t="s">
        <v>204</v>
      </c>
      <c r="K49" s="248" t="s">
        <v>364</v>
      </c>
      <c r="L49" s="248" t="s">
        <v>172</v>
      </c>
      <c r="M49" s="244">
        <v>13814</v>
      </c>
      <c r="N49" s="246"/>
      <c r="O49" s="248" t="s">
        <v>1284</v>
      </c>
      <c r="P49" s="302">
        <v>29575</v>
      </c>
      <c r="Q49" s="246"/>
    </row>
    <row r="50" spans="1:17">
      <c r="A50" s="220">
        <v>44</v>
      </c>
      <c r="B50" s="234">
        <v>3.8402777777777779E-2</v>
      </c>
      <c r="C50" s="227">
        <f t="shared" si="1"/>
        <v>55.300000000000004</v>
      </c>
      <c r="D50" s="227">
        <f t="shared" si="3"/>
        <v>46.428464425117014</v>
      </c>
      <c r="E50" s="232">
        <f>'10K'!$E50*(1-$K$2)+H.Marathon!$E50*$K$2</f>
        <v>0.93154060845058839</v>
      </c>
      <c r="F50" s="274">
        <f t="shared" si="2"/>
        <v>83.957440190085009</v>
      </c>
      <c r="G50" s="220">
        <v>44</v>
      </c>
      <c r="H50" s="282" t="s">
        <v>1285</v>
      </c>
      <c r="I50" s="246">
        <v>3318</v>
      </c>
      <c r="J50" s="248" t="s">
        <v>285</v>
      </c>
      <c r="K50" s="248" t="s">
        <v>286</v>
      </c>
      <c r="L50" s="248" t="s">
        <v>155</v>
      </c>
      <c r="M50" s="244">
        <v>16398</v>
      </c>
      <c r="N50" s="246" t="s">
        <v>1263</v>
      </c>
      <c r="O50" s="248" t="s">
        <v>1264</v>
      </c>
      <c r="P50" s="302">
        <v>32746</v>
      </c>
      <c r="Q50" s="246"/>
    </row>
    <row r="51" spans="1:17">
      <c r="A51" s="220">
        <v>45</v>
      </c>
      <c r="B51" s="234">
        <v>3.8842592592592595E-2</v>
      </c>
      <c r="C51" s="227">
        <f t="shared" si="1"/>
        <v>55.933333333333337</v>
      </c>
      <c r="D51" s="227">
        <f t="shared" si="3"/>
        <v>46.814989380012506</v>
      </c>
      <c r="E51" s="232">
        <f>'10K'!$E51*(1-$K$2)+H.Marathon!$E51*$K$2</f>
        <v>0.92384940320984965</v>
      </c>
      <c r="F51" s="274">
        <f t="shared" si="2"/>
        <v>83.697835601929384</v>
      </c>
      <c r="G51" s="220">
        <v>45</v>
      </c>
      <c r="H51" s="282" t="s">
        <v>1286</v>
      </c>
      <c r="I51" s="246">
        <v>3356</v>
      </c>
      <c r="J51" s="248" t="s">
        <v>199</v>
      </c>
      <c r="K51" s="248" t="s">
        <v>284</v>
      </c>
      <c r="L51" s="248" t="s">
        <v>201</v>
      </c>
      <c r="M51" s="244">
        <v>20152</v>
      </c>
      <c r="N51" s="246" t="s">
        <v>1263</v>
      </c>
      <c r="O51" s="248" t="s">
        <v>1264</v>
      </c>
      <c r="P51" s="302">
        <v>36764</v>
      </c>
      <c r="Q51" s="246"/>
    </row>
    <row r="52" spans="1:17">
      <c r="A52" s="220">
        <v>46</v>
      </c>
      <c r="B52" s="234">
        <v>3.9270833333333331E-2</v>
      </c>
      <c r="C52" s="227">
        <f t="shared" si="1"/>
        <v>56.55</v>
      </c>
      <c r="D52" s="227">
        <f t="shared" si="3"/>
        <v>47.20800413713944</v>
      </c>
      <c r="E52" s="232">
        <f>'10K'!$E52*(1-$K$2)+H.Marathon!$E52*$K$2</f>
        <v>0.91615819796911091</v>
      </c>
      <c r="F52" s="274">
        <f t="shared" si="2"/>
        <v>83.480113416692205</v>
      </c>
      <c r="G52" s="220">
        <v>46</v>
      </c>
      <c r="H52" s="282" t="s">
        <v>1287</v>
      </c>
      <c r="I52" s="246">
        <v>3393</v>
      </c>
      <c r="J52" s="248" t="s">
        <v>285</v>
      </c>
      <c r="K52" s="248" t="s">
        <v>286</v>
      </c>
      <c r="L52" s="248" t="s">
        <v>155</v>
      </c>
      <c r="M52" s="244">
        <v>16398</v>
      </c>
      <c r="N52" s="246" t="s">
        <v>1222</v>
      </c>
      <c r="O52" s="248" t="s">
        <v>246</v>
      </c>
      <c r="P52" s="302">
        <v>33335</v>
      </c>
      <c r="Q52" s="246"/>
    </row>
    <row r="53" spans="1:17">
      <c r="A53" s="220">
        <v>47</v>
      </c>
      <c r="B53" s="234">
        <v>3.9328703703703706E-2</v>
      </c>
      <c r="C53" s="227">
        <f t="shared" si="1"/>
        <v>56.63333333333334</v>
      </c>
      <c r="D53" s="227">
        <f t="shared" si="3"/>
        <v>47.604333762402582</v>
      </c>
      <c r="E53" s="232">
        <f>'10K'!$E53*(1-$K$2)+H.Marathon!$E53*$K$2</f>
        <v>0.90853072780861832</v>
      </c>
      <c r="F53" s="274">
        <f t="shared" si="2"/>
        <v>84.057093164925092</v>
      </c>
      <c r="G53" s="220">
        <v>47</v>
      </c>
      <c r="H53" s="282" t="s">
        <v>1288</v>
      </c>
      <c r="I53" s="246">
        <v>3398</v>
      </c>
      <c r="J53" s="248" t="s">
        <v>199</v>
      </c>
      <c r="K53" s="248" t="s">
        <v>284</v>
      </c>
      <c r="L53" s="248" t="s">
        <v>201</v>
      </c>
      <c r="M53" s="244">
        <v>20152</v>
      </c>
      <c r="N53" s="246"/>
      <c r="O53" s="248" t="s">
        <v>1122</v>
      </c>
      <c r="P53" s="302">
        <v>37556</v>
      </c>
      <c r="Q53" s="246"/>
    </row>
    <row r="54" spans="1:17">
      <c r="A54" s="220">
        <v>48</v>
      </c>
      <c r="B54" s="234">
        <v>3.8576388888888889E-2</v>
      </c>
      <c r="C54" s="227">
        <f t="shared" si="1"/>
        <v>55.55</v>
      </c>
      <c r="D54" s="227">
        <f t="shared" si="3"/>
        <v>48.010770971409109</v>
      </c>
      <c r="E54" s="232">
        <f>'10K'!$E54*(1-$K$2)+H.Marathon!$E54*$K$2</f>
        <v>0.90083952256787969</v>
      </c>
      <c r="F54" s="274">
        <f t="shared" si="2"/>
        <v>86.428030551591561</v>
      </c>
      <c r="G54" s="220">
        <v>48</v>
      </c>
      <c r="H54" s="282" t="s">
        <v>1283</v>
      </c>
      <c r="I54" s="246">
        <v>3333</v>
      </c>
      <c r="J54" s="248" t="s">
        <v>204</v>
      </c>
      <c r="K54" s="248" t="s">
        <v>364</v>
      </c>
      <c r="L54" s="248" t="s">
        <v>172</v>
      </c>
      <c r="M54" s="244">
        <v>13814</v>
      </c>
      <c r="N54" s="246"/>
      <c r="O54" s="248" t="s">
        <v>1289</v>
      </c>
      <c r="P54" s="302">
        <v>31690</v>
      </c>
      <c r="Q54" s="246"/>
    </row>
    <row r="55" spans="1:17">
      <c r="A55" s="220">
        <v>49</v>
      </c>
      <c r="B55" s="234">
        <v>3.9247685185185184E-2</v>
      </c>
      <c r="C55" s="227">
        <f t="shared" si="1"/>
        <v>56.516666666666666</v>
      </c>
      <c r="D55" s="227">
        <f t="shared" si="3"/>
        <v>48.424208119689553</v>
      </c>
      <c r="E55" s="232">
        <f>'10K'!$E55*(1-$K$2)+H.Marathon!$E55*$K$2</f>
        <v>0.89314831732714095</v>
      </c>
      <c r="F55" s="274">
        <f t="shared" si="2"/>
        <v>85.681288327377573</v>
      </c>
      <c r="G55" s="220">
        <v>49</v>
      </c>
      <c r="H55" s="282" t="s">
        <v>1290</v>
      </c>
      <c r="I55" s="246">
        <v>3391</v>
      </c>
      <c r="J55" s="248" t="s">
        <v>199</v>
      </c>
      <c r="K55" s="248" t="s">
        <v>284</v>
      </c>
      <c r="L55" s="248" t="s">
        <v>201</v>
      </c>
      <c r="M55" s="244">
        <v>20152</v>
      </c>
      <c r="N55" s="246" t="s">
        <v>1263</v>
      </c>
      <c r="O55" s="248" t="s">
        <v>1264</v>
      </c>
      <c r="P55" s="302">
        <v>38227</v>
      </c>
      <c r="Q55" s="246"/>
    </row>
    <row r="56" spans="1:17">
      <c r="A56" s="220">
        <v>50</v>
      </c>
      <c r="B56" s="234">
        <v>4.0428240740740744E-2</v>
      </c>
      <c r="C56" s="227">
        <f t="shared" si="1"/>
        <v>58.216666666666669</v>
      </c>
      <c r="D56" s="227">
        <f t="shared" si="3"/>
        <v>48.844827614620471</v>
      </c>
      <c r="E56" s="232">
        <f>'10K'!$E56*(1-$K$2)+H.Marathon!$E56*$K$2</f>
        <v>0.88545711208640232</v>
      </c>
      <c r="F56" s="274">
        <f t="shared" si="2"/>
        <v>83.901793784060345</v>
      </c>
      <c r="G56" s="220">
        <v>50</v>
      </c>
      <c r="H56" s="282" t="s">
        <v>1291</v>
      </c>
      <c r="I56" s="246">
        <v>3493</v>
      </c>
      <c r="J56" s="248" t="s">
        <v>199</v>
      </c>
      <c r="K56" s="248" t="s">
        <v>284</v>
      </c>
      <c r="L56" s="248" t="s">
        <v>201</v>
      </c>
      <c r="M56" s="244">
        <v>20152</v>
      </c>
      <c r="N56" s="246" t="s">
        <v>1263</v>
      </c>
      <c r="O56" s="248" t="s">
        <v>1264</v>
      </c>
      <c r="P56" s="302">
        <v>38591</v>
      </c>
      <c r="Q56" s="246"/>
    </row>
    <row r="57" spans="1:17">
      <c r="A57" s="220">
        <v>51</v>
      </c>
      <c r="B57" s="234">
        <v>4.0972222222222222E-2</v>
      </c>
      <c r="C57" s="227">
        <f t="shared" si="1"/>
        <v>59</v>
      </c>
      <c r="D57" s="227">
        <f t="shared" si="3"/>
        <v>49.272818256775366</v>
      </c>
      <c r="E57" s="232">
        <f>'10K'!$E57*(1-$K$2)+H.Marathon!$E57*$K$2</f>
        <v>0.87776590684566358</v>
      </c>
      <c r="F57" s="274">
        <f t="shared" si="2"/>
        <v>83.513251282670112</v>
      </c>
      <c r="G57" s="220">
        <v>51</v>
      </c>
      <c r="H57" s="282" t="s">
        <v>1292</v>
      </c>
      <c r="I57" s="246">
        <v>3540</v>
      </c>
      <c r="J57" s="248" t="s">
        <v>199</v>
      </c>
      <c r="K57" s="248" t="s">
        <v>284</v>
      </c>
      <c r="L57" s="248" t="s">
        <v>201</v>
      </c>
      <c r="M57" s="244">
        <v>20152</v>
      </c>
      <c r="N57" s="246" t="s">
        <v>1263</v>
      </c>
      <c r="O57" s="248" t="s">
        <v>1264</v>
      </c>
      <c r="P57" s="302">
        <v>38955</v>
      </c>
      <c r="Q57" s="246"/>
    </row>
    <row r="58" spans="1:17">
      <c r="A58" s="220">
        <v>52</v>
      </c>
      <c r="B58" s="234">
        <v>4.116898148148148E-2</v>
      </c>
      <c r="C58" s="227">
        <f t="shared" si="1"/>
        <v>59.283333333333331</v>
      </c>
      <c r="D58" s="227">
        <f t="shared" si="3"/>
        <v>49.704734530246355</v>
      </c>
      <c r="E58" s="232">
        <f>'10K'!$E58*(1-$K$2)+H.Marathon!$E58*$K$2</f>
        <v>0.87013843668517099</v>
      </c>
      <c r="F58" s="274">
        <f t="shared" si="2"/>
        <v>83.842678431677868</v>
      </c>
      <c r="G58" s="220">
        <v>52</v>
      </c>
      <c r="H58" s="282" t="s">
        <v>1094</v>
      </c>
      <c r="I58" s="246">
        <v>3557</v>
      </c>
      <c r="J58" s="248" t="s">
        <v>205</v>
      </c>
      <c r="K58" s="248" t="s">
        <v>296</v>
      </c>
      <c r="L58" s="248" t="s">
        <v>206</v>
      </c>
      <c r="M58" s="244">
        <v>22396</v>
      </c>
      <c r="N58" s="246"/>
      <c r="O58" s="248" t="s">
        <v>198</v>
      </c>
      <c r="P58" s="302">
        <v>41510</v>
      </c>
      <c r="Q58" s="246"/>
    </row>
    <row r="59" spans="1:17">
      <c r="A59" s="220">
        <v>53</v>
      </c>
      <c r="B59" s="234">
        <v>4.2615740740740739E-2</v>
      </c>
      <c r="C59" s="227">
        <f t="shared" si="1"/>
        <v>61.366666666666667</v>
      </c>
      <c r="D59" s="227">
        <f t="shared" si="3"/>
        <v>50.14799563744279</v>
      </c>
      <c r="E59" s="232">
        <f>'10K'!$E59*(1-$K$2)+H.Marathon!$E59*$K$2</f>
        <v>0.86244723144443225</v>
      </c>
      <c r="F59" s="274">
        <f t="shared" si="2"/>
        <v>81.718624069705797</v>
      </c>
      <c r="G59" s="220">
        <v>53</v>
      </c>
      <c r="H59" s="282" t="s">
        <v>1293</v>
      </c>
      <c r="I59" s="246">
        <v>3682</v>
      </c>
      <c r="J59" s="248" t="s">
        <v>226</v>
      </c>
      <c r="K59" s="248" t="s">
        <v>1294</v>
      </c>
      <c r="L59" s="248" t="s">
        <v>172</v>
      </c>
      <c r="M59" s="244">
        <v>17084</v>
      </c>
      <c r="N59" s="246"/>
      <c r="O59" s="248" t="s">
        <v>1295</v>
      </c>
      <c r="P59" s="302">
        <v>36590</v>
      </c>
      <c r="Q59" s="246"/>
    </row>
    <row r="60" spans="1:17">
      <c r="A60" s="220">
        <v>54</v>
      </c>
      <c r="B60" s="234">
        <v>4.3368055555555556E-2</v>
      </c>
      <c r="C60" s="227">
        <f t="shared" si="1"/>
        <v>62.45</v>
      </c>
      <c r="D60" s="227">
        <f t="shared" si="3"/>
        <v>50.599233786148538</v>
      </c>
      <c r="E60" s="232">
        <f>'10K'!$E60*(1-$K$2)+H.Marathon!$E60*$K$2</f>
        <v>0.85475602620369362</v>
      </c>
      <c r="F60" s="274">
        <f t="shared" si="2"/>
        <v>81.023592932183405</v>
      </c>
      <c r="G60" s="220">
        <v>54</v>
      </c>
      <c r="H60" s="282" t="s">
        <v>1296</v>
      </c>
      <c r="I60" s="246">
        <v>7347</v>
      </c>
      <c r="J60" s="248" t="s">
        <v>207</v>
      </c>
      <c r="K60" s="248" t="s">
        <v>368</v>
      </c>
      <c r="L60" s="248" t="s">
        <v>155</v>
      </c>
      <c r="M60" s="244">
        <v>20956</v>
      </c>
      <c r="N60" s="246" t="s">
        <v>1222</v>
      </c>
      <c r="O60" s="248" t="s">
        <v>246</v>
      </c>
      <c r="P60" s="302">
        <v>41000</v>
      </c>
      <c r="Q60" s="246"/>
    </row>
    <row r="61" spans="1:17">
      <c r="A61" s="220">
        <v>55</v>
      </c>
      <c r="B61" s="234">
        <v>4.2592592592592592E-2</v>
      </c>
      <c r="C61" s="227">
        <f t="shared" si="1"/>
        <v>61.333333333333329</v>
      </c>
      <c r="D61" s="227">
        <f t="shared" si="3"/>
        <v>51.058666266924895</v>
      </c>
      <c r="E61" s="232">
        <f>'10K'!$E61*(1-$K$2)+H.Marathon!$E61*$K$2</f>
        <v>0.84706482096295488</v>
      </c>
      <c r="F61" s="274">
        <f t="shared" si="2"/>
        <v>83.247825435203637</v>
      </c>
      <c r="G61" s="220">
        <v>55</v>
      </c>
      <c r="H61" s="282" t="s">
        <v>1297</v>
      </c>
      <c r="I61" s="246">
        <v>3680</v>
      </c>
      <c r="J61" s="248" t="s">
        <v>404</v>
      </c>
      <c r="K61" s="248" t="s">
        <v>405</v>
      </c>
      <c r="L61" s="248" t="s">
        <v>155</v>
      </c>
      <c r="M61" s="244">
        <v>23193</v>
      </c>
      <c r="N61" s="220" t="s">
        <v>1298</v>
      </c>
      <c r="O61" s="220" t="s">
        <v>406</v>
      </c>
      <c r="P61" s="302">
        <v>43352</v>
      </c>
      <c r="Q61" s="246"/>
    </row>
    <row r="62" spans="1:17">
      <c r="A62" s="220">
        <v>56</v>
      </c>
      <c r="B62" s="234">
        <v>4.4374999999999998E-2</v>
      </c>
      <c r="C62" s="227">
        <f t="shared" si="1"/>
        <v>63.9</v>
      </c>
      <c r="D62" s="227">
        <f t="shared" si="3"/>
        <v>51.526518334492465</v>
      </c>
      <c r="E62" s="232">
        <f>'10K'!$E62*(1-$K$2)+H.Marathon!$E62*$K$2</f>
        <v>0.83937361572221614</v>
      </c>
      <c r="F62" s="274">
        <f t="shared" si="2"/>
        <v>80.636178927218253</v>
      </c>
      <c r="G62" s="220">
        <v>56</v>
      </c>
      <c r="H62" s="282" t="s">
        <v>602</v>
      </c>
      <c r="I62" s="246">
        <v>3834</v>
      </c>
      <c r="J62" s="248" t="s">
        <v>211</v>
      </c>
      <c r="K62" s="248" t="s">
        <v>1299</v>
      </c>
      <c r="L62" s="248" t="s">
        <v>155</v>
      </c>
      <c r="M62" s="244">
        <v>20087</v>
      </c>
      <c r="N62" s="246" t="s">
        <v>1300</v>
      </c>
      <c r="O62" s="248" t="s">
        <v>1301</v>
      </c>
      <c r="P62" s="302">
        <v>40607</v>
      </c>
      <c r="Q62" s="246"/>
    </row>
    <row r="63" spans="1:17">
      <c r="A63" s="220">
        <v>57</v>
      </c>
      <c r="B63" s="234">
        <v>4.4930555555555557E-2</v>
      </c>
      <c r="C63" s="227">
        <f t="shared" si="1"/>
        <v>64.7</v>
      </c>
      <c r="D63" s="227">
        <f t="shared" si="3"/>
        <v>51.999038686005463</v>
      </c>
      <c r="E63" s="232">
        <f>'10K'!$E63*(1-$K$2)+H.Marathon!$E63*$K$2</f>
        <v>0.83174614556172366</v>
      </c>
      <c r="F63" s="274">
        <f t="shared" si="2"/>
        <v>80.369457010827603</v>
      </c>
      <c r="G63" s="220">
        <v>57</v>
      </c>
      <c r="H63" s="282" t="s">
        <v>1302</v>
      </c>
      <c r="I63" s="246">
        <v>3882</v>
      </c>
      <c r="J63" s="248" t="s">
        <v>1162</v>
      </c>
      <c r="K63" s="248" t="s">
        <v>1163</v>
      </c>
      <c r="L63" s="248" t="s">
        <v>155</v>
      </c>
      <c r="M63" s="244">
        <v>10885</v>
      </c>
      <c r="N63" s="246" t="s">
        <v>1303</v>
      </c>
      <c r="O63" s="248" t="s">
        <v>1304</v>
      </c>
      <c r="P63" s="302">
        <v>31795</v>
      </c>
      <c r="Q63" s="246"/>
    </row>
    <row r="64" spans="1:17" ht="12" customHeight="1">
      <c r="A64" s="220">
        <v>58</v>
      </c>
      <c r="B64" s="234">
        <v>4.2106481481481481E-2</v>
      </c>
      <c r="C64" s="227">
        <f t="shared" si="1"/>
        <v>60.633333333333333</v>
      </c>
      <c r="D64" s="227">
        <f t="shared" si="3"/>
        <v>52.484364674949113</v>
      </c>
      <c r="E64" s="232">
        <f>'10K'!$E64*(1-$K$2)+H.Marathon!$E64*$K$2</f>
        <v>0.82405494032098492</v>
      </c>
      <c r="F64" s="274">
        <f t="shared" si="2"/>
        <v>86.560249601345433</v>
      </c>
      <c r="G64" s="220">
        <v>58</v>
      </c>
      <c r="H64" s="282" t="s">
        <v>1305</v>
      </c>
      <c r="I64" s="246">
        <v>3638</v>
      </c>
      <c r="J64" s="241" t="s">
        <v>404</v>
      </c>
      <c r="K64" s="241" t="s">
        <v>405</v>
      </c>
      <c r="L64" s="248" t="s">
        <v>155</v>
      </c>
      <c r="M64" s="244">
        <v>23193</v>
      </c>
      <c r="N64" s="259" t="s">
        <v>1306</v>
      </c>
      <c r="O64" s="241" t="s">
        <v>406</v>
      </c>
      <c r="P64" s="302">
        <v>44654</v>
      </c>
      <c r="Q64" s="246"/>
    </row>
    <row r="65" spans="1:17" ht="11.25" customHeight="1">
      <c r="A65" s="220">
        <v>59</v>
      </c>
      <c r="B65" s="234">
        <v>4.4386574074074071E-2</v>
      </c>
      <c r="C65" s="227">
        <f t="shared" si="1"/>
        <v>63.916666666666664</v>
      </c>
      <c r="D65" s="227">
        <f t="shared" si="3"/>
        <v>52.978835464498736</v>
      </c>
      <c r="E65" s="232">
        <f>'10K'!$E65*(1-$K$2)+H.Marathon!$E65*$K$2</f>
        <v>0.81636373508024618</v>
      </c>
      <c r="F65" s="274">
        <f t="shared" si="2"/>
        <v>82.887356658928923</v>
      </c>
      <c r="G65" s="220">
        <v>59</v>
      </c>
      <c r="H65" s="282" t="s">
        <v>1307</v>
      </c>
      <c r="I65" s="246">
        <v>3841</v>
      </c>
      <c r="J65" s="248" t="s">
        <v>207</v>
      </c>
      <c r="K65" s="248" t="s">
        <v>368</v>
      </c>
      <c r="L65" s="248" t="s">
        <v>155</v>
      </c>
      <c r="M65" s="244">
        <v>20956</v>
      </c>
      <c r="N65" s="246" t="s">
        <v>1222</v>
      </c>
      <c r="O65" s="248" t="s">
        <v>246</v>
      </c>
      <c r="P65" s="302">
        <v>42827</v>
      </c>
      <c r="Q65" s="220"/>
    </row>
    <row r="66" spans="1:17">
      <c r="A66" s="220">
        <v>60</v>
      </c>
      <c r="B66" s="234">
        <v>4.372685185185185E-2</v>
      </c>
      <c r="C66" s="227">
        <f t="shared" si="1"/>
        <v>62.966666666666661</v>
      </c>
      <c r="D66" s="227">
        <f t="shared" si="3"/>
        <v>53.482711980563479</v>
      </c>
      <c r="E66" s="232">
        <f>'10K'!$E66*(1-$K$2)+H.Marathon!$E66*$K$2</f>
        <v>0.80867252983950744</v>
      </c>
      <c r="F66" s="274">
        <f t="shared" si="2"/>
        <v>84.938134431810724</v>
      </c>
      <c r="G66" s="220">
        <v>60</v>
      </c>
      <c r="H66" s="282" t="s">
        <v>1308</v>
      </c>
      <c r="I66" s="246">
        <v>3778</v>
      </c>
      <c r="J66" s="241" t="s">
        <v>404</v>
      </c>
      <c r="K66" s="241" t="s">
        <v>405</v>
      </c>
      <c r="L66" s="248" t="s">
        <v>155</v>
      </c>
      <c r="M66" s="244">
        <v>23193</v>
      </c>
      <c r="N66" s="246" t="s">
        <v>1298</v>
      </c>
      <c r="O66" s="241" t="s">
        <v>406</v>
      </c>
      <c r="P66" s="302">
        <v>45179</v>
      </c>
      <c r="Q66" s="220"/>
    </row>
    <row r="67" spans="1:17">
      <c r="A67" s="220">
        <v>61</v>
      </c>
      <c r="B67" s="234">
        <v>4.5034722222222219E-2</v>
      </c>
      <c r="C67" s="227">
        <f t="shared" si="1"/>
        <v>64.849999999999994</v>
      </c>
      <c r="D67" s="227">
        <f t="shared" si="3"/>
        <v>53.996265170932652</v>
      </c>
      <c r="E67" s="232">
        <f>'10K'!$E67*(1-$K$2)+H.Marathon!$E67*$K$2</f>
        <v>0.80098132459876881</v>
      </c>
      <c r="F67" s="274">
        <f t="shared" si="2"/>
        <v>83.263323316781282</v>
      </c>
      <c r="G67" s="220">
        <v>61</v>
      </c>
      <c r="H67" s="282" t="s">
        <v>1309</v>
      </c>
      <c r="I67" s="246">
        <v>3891</v>
      </c>
      <c r="J67" s="248" t="s">
        <v>340</v>
      </c>
      <c r="K67" s="248" t="s">
        <v>1184</v>
      </c>
      <c r="L67" s="248" t="s">
        <v>250</v>
      </c>
      <c r="M67" s="244">
        <v>17849</v>
      </c>
      <c r="N67" s="246"/>
      <c r="O67" s="248" t="s">
        <v>1310</v>
      </c>
      <c r="P67" s="302">
        <v>40293</v>
      </c>
      <c r="Q67" s="220"/>
    </row>
    <row r="68" spans="1:17">
      <c r="A68" s="220">
        <v>62</v>
      </c>
      <c r="B68" s="234">
        <v>4.5057870370370373E-2</v>
      </c>
      <c r="C68" s="227">
        <f t="shared" si="1"/>
        <v>64.88333333333334</v>
      </c>
      <c r="D68" s="227">
        <f t="shared" si="3"/>
        <v>54.515396576251071</v>
      </c>
      <c r="E68" s="232">
        <f>'10K'!$E68*(1-$K$2)+H.Marathon!$E68*$K$2</f>
        <v>0.79335385443827633</v>
      </c>
      <c r="F68" s="274">
        <f t="shared" si="2"/>
        <v>84.0206471763438</v>
      </c>
      <c r="G68" s="220">
        <v>62</v>
      </c>
      <c r="H68" s="282" t="s">
        <v>1311</v>
      </c>
      <c r="I68" s="246">
        <v>3893</v>
      </c>
      <c r="J68" s="248" t="s">
        <v>340</v>
      </c>
      <c r="K68" s="248" t="s">
        <v>1184</v>
      </c>
      <c r="L68" s="248" t="s">
        <v>250</v>
      </c>
      <c r="M68" s="244">
        <v>17849</v>
      </c>
      <c r="N68" s="246"/>
      <c r="O68" s="248" t="s">
        <v>1310</v>
      </c>
      <c r="P68" s="302">
        <v>40664</v>
      </c>
      <c r="Q68" s="220"/>
    </row>
    <row r="69" spans="1:17">
      <c r="A69" s="220">
        <v>63</v>
      </c>
      <c r="B69" s="234">
        <v>4.6886574074074074E-2</v>
      </c>
      <c r="C69" s="227">
        <f t="shared" si="1"/>
        <v>67.516666666666666</v>
      </c>
      <c r="D69" s="227">
        <f t="shared" si="3"/>
        <v>55.049072326621115</v>
      </c>
      <c r="E69" s="232">
        <f>'10K'!$E69*(1-$K$2)+H.Marathon!$E69*$K$2</f>
        <v>0.78566264919753759</v>
      </c>
      <c r="F69" s="274">
        <f t="shared" si="2"/>
        <v>81.53404936058422</v>
      </c>
      <c r="G69" s="220">
        <v>63</v>
      </c>
      <c r="H69" s="282" t="s">
        <v>1312</v>
      </c>
      <c r="I69" s="246">
        <v>4051</v>
      </c>
      <c r="J69" s="248" t="s">
        <v>340</v>
      </c>
      <c r="K69" s="248" t="s">
        <v>1184</v>
      </c>
      <c r="L69" s="248" t="s">
        <v>250</v>
      </c>
      <c r="M69" s="244">
        <v>17849</v>
      </c>
      <c r="N69" s="246"/>
      <c r="O69" s="248" t="s">
        <v>169</v>
      </c>
      <c r="P69" s="302">
        <v>41041</v>
      </c>
      <c r="Q69" s="220"/>
    </row>
    <row r="70" spans="1:17">
      <c r="A70" s="220">
        <v>64</v>
      </c>
      <c r="B70" s="234">
        <v>4.372685185185185E-2</v>
      </c>
      <c r="C70" s="227">
        <f t="shared" si="1"/>
        <v>62.966666666666661</v>
      </c>
      <c r="D70" s="227">
        <f t="shared" si="3"/>
        <v>55.593300160258444</v>
      </c>
      <c r="E70" s="232">
        <f>'10K'!$E70*(1-$K$2)+H.Marathon!$E70*$K$2</f>
        <v>0.77797144395679885</v>
      </c>
      <c r="F70" s="274">
        <f t="shared" si="2"/>
        <v>88.290047898769373</v>
      </c>
      <c r="G70" s="220">
        <v>64</v>
      </c>
      <c r="H70" s="282" t="s">
        <v>1308</v>
      </c>
      <c r="I70" s="246">
        <v>4120</v>
      </c>
      <c r="J70" s="248" t="s">
        <v>340</v>
      </c>
      <c r="K70" s="248" t="s">
        <v>1184</v>
      </c>
      <c r="L70" s="248" t="s">
        <v>250</v>
      </c>
      <c r="M70" s="244">
        <v>17849</v>
      </c>
      <c r="N70" s="246"/>
      <c r="O70" s="248" t="s">
        <v>1310</v>
      </c>
      <c r="P70" s="302">
        <v>41392</v>
      </c>
      <c r="Q70" s="220"/>
    </row>
    <row r="71" spans="1:17">
      <c r="A71" s="220">
        <v>65</v>
      </c>
      <c r="B71" s="234">
        <v>4.7847222222222222E-2</v>
      </c>
      <c r="C71" s="227">
        <f t="shared" si="1"/>
        <v>68.900000000000006</v>
      </c>
      <c r="D71" s="227">
        <f t="shared" si="3"/>
        <v>56.14839616305251</v>
      </c>
      <c r="E71" s="232">
        <f>'10K'!$E71*(1-$K$2)+H.Marathon!$E71*$K$2</f>
        <v>0.77028023871606011</v>
      </c>
      <c r="F71" s="274">
        <f t="shared" si="2"/>
        <v>81.492592399205378</v>
      </c>
      <c r="G71" s="220">
        <v>65</v>
      </c>
      <c r="H71" s="282" t="s">
        <v>1313</v>
      </c>
      <c r="I71" s="246">
        <v>4134</v>
      </c>
      <c r="J71" s="220" t="s">
        <v>214</v>
      </c>
      <c r="K71" s="220" t="s">
        <v>215</v>
      </c>
      <c r="L71" s="248" t="s">
        <v>155</v>
      </c>
      <c r="M71" s="244">
        <v>18901</v>
      </c>
      <c r="N71" s="246" t="s">
        <v>1314</v>
      </c>
      <c r="O71" s="248" t="s">
        <v>1315</v>
      </c>
      <c r="P71" s="302">
        <v>42749</v>
      </c>
      <c r="Q71" s="220"/>
    </row>
    <row r="72" spans="1:17">
      <c r="A72" s="220">
        <v>66</v>
      </c>
      <c r="B72" s="234">
        <v>4.9583333333333333E-2</v>
      </c>
      <c r="C72" s="227">
        <f t="shared" si="1"/>
        <v>71.400000000000006</v>
      </c>
      <c r="D72" s="227">
        <f t="shared" si="3"/>
        <v>56.714689172617945</v>
      </c>
      <c r="E72" s="232">
        <f>'10K'!$E72*(1-$K$2)+H.Marathon!$E72*$K$2</f>
        <v>0.76258903347532148</v>
      </c>
      <c r="F72" s="274">
        <f t="shared" si="2"/>
        <v>79.432337776775825</v>
      </c>
      <c r="G72" s="220">
        <v>66</v>
      </c>
      <c r="H72" s="282" t="s">
        <v>1316</v>
      </c>
      <c r="I72" s="246">
        <v>4284</v>
      </c>
      <c r="J72" s="248" t="s">
        <v>217</v>
      </c>
      <c r="K72" s="248" t="s">
        <v>1186</v>
      </c>
      <c r="L72" s="248" t="s">
        <v>155</v>
      </c>
      <c r="M72" s="244">
        <v>17959</v>
      </c>
      <c r="N72" s="246"/>
      <c r="O72" s="248" t="s">
        <v>218</v>
      </c>
      <c r="P72" s="302">
        <v>42288</v>
      </c>
      <c r="Q72" s="220"/>
    </row>
    <row r="73" spans="1:17">
      <c r="A73" s="220">
        <v>67</v>
      </c>
      <c r="B73" s="234">
        <v>5.0960648148148151E-2</v>
      </c>
      <c r="C73" s="227">
        <f t="shared" si="1"/>
        <v>73.38333333333334</v>
      </c>
      <c r="D73" s="227">
        <f t="shared" si="3"/>
        <v>57.287684700266226</v>
      </c>
      <c r="E73" s="232">
        <f>'10K'!$E73*(1-$K$2)+H.Marathon!$E73*$K$2</f>
        <v>0.754961563314829</v>
      </c>
      <c r="F73" s="274">
        <f t="shared" ref="F73:F86" si="4">100*(D73/C73)</f>
        <v>78.06634299377636</v>
      </c>
      <c r="G73" s="220">
        <v>67</v>
      </c>
      <c r="H73" s="282" t="s">
        <v>1107</v>
      </c>
      <c r="I73" s="246">
        <v>4403</v>
      </c>
      <c r="J73" s="248" t="s">
        <v>846</v>
      </c>
      <c r="K73" s="248" t="s">
        <v>847</v>
      </c>
      <c r="L73" s="248" t="s">
        <v>155</v>
      </c>
      <c r="M73" s="244">
        <v>18106</v>
      </c>
      <c r="N73" s="246" t="s">
        <v>1222</v>
      </c>
      <c r="O73" s="248" t="s">
        <v>246</v>
      </c>
      <c r="P73" s="302">
        <v>42827</v>
      </c>
      <c r="Q73" s="220"/>
    </row>
    <row r="74" spans="1:17">
      <c r="A74" s="220">
        <v>68</v>
      </c>
      <c r="B74" s="234">
        <v>4.9942129629629628E-2</v>
      </c>
      <c r="C74" s="227">
        <f t="shared" si="1"/>
        <v>71.916666666666657</v>
      </c>
      <c r="D74" s="227">
        <f t="shared" si="3"/>
        <v>57.877312451502128</v>
      </c>
      <c r="E74" s="232">
        <f>'10K'!$E74*(1-$K$2)+H.Marathon!$E74*$K$2</f>
        <v>0.74727035807409026</v>
      </c>
      <c r="F74" s="274">
        <f t="shared" si="4"/>
        <v>80.478302365935761</v>
      </c>
      <c r="G74" s="220">
        <v>68</v>
      </c>
      <c r="H74" s="282" t="s">
        <v>1317</v>
      </c>
      <c r="I74" s="246">
        <v>4315</v>
      </c>
      <c r="J74" s="248" t="s">
        <v>217</v>
      </c>
      <c r="K74" s="248" t="s">
        <v>1186</v>
      </c>
      <c r="L74" s="248" t="s">
        <v>155</v>
      </c>
      <c r="M74" s="244">
        <v>17959</v>
      </c>
      <c r="N74" s="246" t="s">
        <v>1263</v>
      </c>
      <c r="O74" s="248" t="s">
        <v>1264</v>
      </c>
      <c r="P74" s="302">
        <v>42973</v>
      </c>
      <c r="Q74" s="220"/>
    </row>
    <row r="75" spans="1:17">
      <c r="A75" s="220">
        <v>69</v>
      </c>
      <c r="B75" s="234">
        <v>5.1053240740740739E-2</v>
      </c>
      <c r="C75" s="227">
        <f t="shared" si="1"/>
        <v>73.516666666666666</v>
      </c>
      <c r="D75" s="227">
        <f t="shared" ref="D75:D106" si="5">E$4/E75</f>
        <v>58.489284713865807</v>
      </c>
      <c r="E75" s="232">
        <f>'10K'!$E75*(1-$K$2)+H.Marathon!$E75*$K$2</f>
        <v>0.73945168267285899</v>
      </c>
      <c r="F75" s="274">
        <f t="shared" si="4"/>
        <v>79.559217475219867</v>
      </c>
      <c r="G75" s="220">
        <v>69</v>
      </c>
      <c r="H75" s="282" t="s">
        <v>1318</v>
      </c>
      <c r="I75" s="246">
        <v>4411</v>
      </c>
      <c r="J75" s="248" t="s">
        <v>221</v>
      </c>
      <c r="K75" s="248" t="s">
        <v>372</v>
      </c>
      <c r="L75" s="248" t="s">
        <v>155</v>
      </c>
      <c r="M75" s="244">
        <v>17637</v>
      </c>
      <c r="N75" s="246" t="s">
        <v>1263</v>
      </c>
      <c r="O75" s="248" t="s">
        <v>1264</v>
      </c>
      <c r="P75" s="302">
        <v>42973</v>
      </c>
      <c r="Q75" s="220"/>
    </row>
    <row r="76" spans="1:17">
      <c r="A76" s="220">
        <v>70</v>
      </c>
      <c r="B76" s="234">
        <v>5.1886574074074071E-2</v>
      </c>
      <c r="C76" s="227">
        <f t="shared" ref="C76:C86" si="6">B76*1440</f>
        <v>74.716666666666669</v>
      </c>
      <c r="D76" s="227">
        <f t="shared" si="5"/>
        <v>59.148184212102954</v>
      </c>
      <c r="E76" s="232">
        <f>'10K'!$E76*(1-$K$2)+H.Marathon!$E76*$K$2</f>
        <v>0.73121433187039653</v>
      </c>
      <c r="F76" s="274">
        <f t="shared" si="4"/>
        <v>79.16330699813021</v>
      </c>
      <c r="G76" s="220">
        <v>70</v>
      </c>
      <c r="H76" s="282" t="s">
        <v>1319</v>
      </c>
      <c r="I76" s="246">
        <v>4483</v>
      </c>
      <c r="J76" s="248" t="s">
        <v>219</v>
      </c>
      <c r="K76" s="248" t="s">
        <v>301</v>
      </c>
      <c r="L76" s="248" t="s">
        <v>172</v>
      </c>
      <c r="M76" s="244">
        <v>17277</v>
      </c>
      <c r="N76" s="246"/>
      <c r="O76" s="248" t="s">
        <v>1320</v>
      </c>
      <c r="P76" s="302">
        <v>42995</v>
      </c>
      <c r="Q76" s="220"/>
    </row>
    <row r="77" spans="1:17">
      <c r="A77" s="220">
        <v>71</v>
      </c>
      <c r="B77" s="234">
        <v>4.9780092592592591E-2</v>
      </c>
      <c r="C77" s="227">
        <f t="shared" si="6"/>
        <v>71.683333333333337</v>
      </c>
      <c r="D77" s="227">
        <f t="shared" si="5"/>
        <v>59.865046412730749</v>
      </c>
      <c r="E77" s="232">
        <f>'10K'!$E77*(1-$K$2)+H.Marathon!$E77*$K$2</f>
        <v>0.7224583056667031</v>
      </c>
      <c r="F77" s="274">
        <f t="shared" si="4"/>
        <v>83.513201226780851</v>
      </c>
      <c r="G77" s="220">
        <v>71</v>
      </c>
      <c r="H77" s="282" t="s">
        <v>1321</v>
      </c>
      <c r="I77" s="246">
        <v>4301</v>
      </c>
      <c r="J77" s="248" t="s">
        <v>221</v>
      </c>
      <c r="K77" s="248" t="s">
        <v>372</v>
      </c>
      <c r="L77" s="248" t="s">
        <v>155</v>
      </c>
      <c r="M77" s="244">
        <v>17637</v>
      </c>
      <c r="N77" s="246" t="s">
        <v>1263</v>
      </c>
      <c r="O77" s="248" t="s">
        <v>1264</v>
      </c>
      <c r="P77" s="302">
        <v>43700</v>
      </c>
      <c r="Q77" s="220"/>
    </row>
    <row r="78" spans="1:17">
      <c r="A78" s="220">
        <v>72</v>
      </c>
      <c r="B78" s="234">
        <v>5.5185185185185184E-2</v>
      </c>
      <c r="C78" s="227">
        <f t="shared" si="6"/>
        <v>79.466666666666669</v>
      </c>
      <c r="D78" s="227">
        <f t="shared" si="5"/>
        <v>60.656655662456046</v>
      </c>
      <c r="E78" s="232">
        <f>'10K'!$E78*(1-$K$2)+H.Marathon!$E78*$K$2</f>
        <v>0.71302974962350185</v>
      </c>
      <c r="F78" s="274">
        <f t="shared" si="4"/>
        <v>76.329684138996697</v>
      </c>
      <c r="G78" s="220">
        <v>72</v>
      </c>
      <c r="H78" s="282" t="s">
        <v>1322</v>
      </c>
      <c r="I78" s="246">
        <v>4768</v>
      </c>
      <c r="J78" s="248" t="s">
        <v>304</v>
      </c>
      <c r="K78" s="248" t="s">
        <v>305</v>
      </c>
      <c r="L78" s="248" t="s">
        <v>172</v>
      </c>
      <c r="M78" s="244">
        <v>12120</v>
      </c>
      <c r="N78" s="246"/>
      <c r="O78" s="248" t="s">
        <v>1323</v>
      </c>
      <c r="P78" s="302">
        <v>38669</v>
      </c>
      <c r="Q78" s="220"/>
    </row>
    <row r="79" spans="1:17">
      <c r="A79" s="220">
        <v>73</v>
      </c>
      <c r="B79" s="234">
        <v>5.6215277777777781E-2</v>
      </c>
      <c r="C79" s="227">
        <f t="shared" si="6"/>
        <v>80.95</v>
      </c>
      <c r="D79" s="227">
        <f t="shared" si="5"/>
        <v>61.533101265428719</v>
      </c>
      <c r="E79" s="232">
        <f>'10K'!$E79*(1-$K$2)+H.Marathon!$E79*$K$2</f>
        <v>0.70287372341980825</v>
      </c>
      <c r="F79" s="274">
        <f t="shared" si="4"/>
        <v>76.013713731227568</v>
      </c>
      <c r="G79" s="220">
        <v>73</v>
      </c>
      <c r="H79" s="282" t="s">
        <v>1324</v>
      </c>
      <c r="I79" s="246">
        <v>4857</v>
      </c>
      <c r="J79" s="248" t="s">
        <v>304</v>
      </c>
      <c r="K79" s="248" t="s">
        <v>305</v>
      </c>
      <c r="L79" s="248" t="s">
        <v>172</v>
      </c>
      <c r="M79" s="244">
        <v>12120</v>
      </c>
      <c r="N79" s="246"/>
      <c r="O79" s="248" t="s">
        <v>1325</v>
      </c>
      <c r="P79" s="302">
        <v>39040</v>
      </c>
      <c r="Q79" s="220"/>
    </row>
    <row r="80" spans="1:17">
      <c r="A80" s="220">
        <v>74</v>
      </c>
      <c r="B80" s="234">
        <v>5.5937500000000001E-2</v>
      </c>
      <c r="C80" s="227">
        <f t="shared" si="6"/>
        <v>80.55</v>
      </c>
      <c r="D80" s="227">
        <f t="shared" si="5"/>
        <v>62.489371640059545</v>
      </c>
      <c r="E80" s="232">
        <f>'10K'!$E80*(1-$K$2)+H.Marathon!$E80*$K$2</f>
        <v>0.69211769721611471</v>
      </c>
      <c r="F80" s="274">
        <f t="shared" si="4"/>
        <v>77.578363302370633</v>
      </c>
      <c r="G80" s="220">
        <v>74</v>
      </c>
      <c r="H80" s="282" t="s">
        <v>1326</v>
      </c>
      <c r="I80" s="246">
        <v>4833</v>
      </c>
      <c r="J80" s="220" t="s">
        <v>306</v>
      </c>
      <c r="K80" s="220" t="s">
        <v>307</v>
      </c>
      <c r="L80" s="248" t="s">
        <v>155</v>
      </c>
      <c r="M80" s="244">
        <v>6357</v>
      </c>
      <c r="N80" s="246" t="s">
        <v>1327</v>
      </c>
      <c r="O80" s="248" t="s">
        <v>1328</v>
      </c>
      <c r="P80" s="302">
        <v>33524</v>
      </c>
      <c r="Q80" s="220"/>
    </row>
    <row r="81" spans="1:17" ht="15.75">
      <c r="A81" s="220">
        <v>75</v>
      </c>
      <c r="B81" s="234">
        <v>5.5115740740740743E-2</v>
      </c>
      <c r="C81" s="227">
        <f t="shared" si="6"/>
        <v>79.366666666666674</v>
      </c>
      <c r="D81" s="227">
        <f t="shared" si="5"/>
        <v>63.544498358193088</v>
      </c>
      <c r="E81" s="232">
        <f>'10K'!$E81*(1-$K$2)+H.Marathon!$E81*$K$2</f>
        <v>0.68062540609266731</v>
      </c>
      <c r="F81" s="274">
        <f t="shared" si="4"/>
        <v>80.064466641990435</v>
      </c>
      <c r="G81" s="220">
        <v>75</v>
      </c>
      <c r="H81" s="282" t="s">
        <v>1329</v>
      </c>
      <c r="I81" s="246">
        <v>4762</v>
      </c>
      <c r="J81" s="248" t="s">
        <v>223</v>
      </c>
      <c r="K81" s="248" t="s">
        <v>224</v>
      </c>
      <c r="L81" s="248" t="s">
        <v>155</v>
      </c>
      <c r="M81" s="236">
        <v>13343</v>
      </c>
      <c r="N81" s="249" t="s">
        <v>1330</v>
      </c>
      <c r="O81" s="248" t="s">
        <v>1331</v>
      </c>
      <c r="P81" s="302">
        <v>40791</v>
      </c>
      <c r="Q81" s="220"/>
    </row>
    <row r="82" spans="1:17">
      <c r="A82" s="220">
        <v>76</v>
      </c>
      <c r="B82" s="234">
        <v>5.8958333333333335E-2</v>
      </c>
      <c r="C82" s="227">
        <f t="shared" si="6"/>
        <v>84.9</v>
      </c>
      <c r="D82" s="227">
        <f t="shared" si="5"/>
        <v>64.700046555884725</v>
      </c>
      <c r="E82" s="232">
        <f>'10K'!$E82*(1-$K$2)+H.Marathon!$E82*$K$2</f>
        <v>0.66846937988897381</v>
      </c>
      <c r="F82" s="274">
        <f t="shared" si="4"/>
        <v>76.207357545211678</v>
      </c>
      <c r="G82" s="220">
        <v>76</v>
      </c>
      <c r="H82" s="282" t="s">
        <v>314</v>
      </c>
      <c r="I82" s="246">
        <v>5094</v>
      </c>
      <c r="J82" s="220" t="s">
        <v>306</v>
      </c>
      <c r="K82" s="220" t="s">
        <v>307</v>
      </c>
      <c r="L82" s="248" t="s">
        <v>155</v>
      </c>
      <c r="M82" s="244">
        <v>6357</v>
      </c>
      <c r="N82" s="246" t="s">
        <v>1327</v>
      </c>
      <c r="O82" s="248" t="s">
        <v>246</v>
      </c>
      <c r="P82" s="302">
        <v>34259</v>
      </c>
      <c r="Q82" s="220"/>
    </row>
    <row r="83" spans="1:17" ht="15.75">
      <c r="A83" s="220">
        <v>77</v>
      </c>
      <c r="B83" s="234">
        <v>5.8946759259259261E-2</v>
      </c>
      <c r="C83" s="227">
        <f t="shared" si="6"/>
        <v>84.88333333333334</v>
      </c>
      <c r="D83" s="227">
        <f t="shared" si="5"/>
        <v>65.968760027364667</v>
      </c>
      <c r="E83" s="232">
        <f>'10K'!$E83*(1-$K$2)+H.Marathon!$E83*$K$2</f>
        <v>0.65561335368528006</v>
      </c>
      <c r="F83" s="274">
        <f t="shared" si="4"/>
        <v>77.716976274138617</v>
      </c>
      <c r="G83" s="220">
        <v>77</v>
      </c>
      <c r="H83" s="282" t="s">
        <v>753</v>
      </c>
      <c r="I83" s="246">
        <v>5093</v>
      </c>
      <c r="J83" s="248" t="s">
        <v>223</v>
      </c>
      <c r="K83" s="248" t="s">
        <v>224</v>
      </c>
      <c r="L83" s="248" t="s">
        <v>155</v>
      </c>
      <c r="M83" s="236">
        <v>13343</v>
      </c>
      <c r="N83" s="249" t="s">
        <v>1332</v>
      </c>
      <c r="O83" s="248" t="s">
        <v>1331</v>
      </c>
      <c r="P83" s="302">
        <v>41777</v>
      </c>
      <c r="Q83" s="220"/>
    </row>
    <row r="84" spans="1:17">
      <c r="A84" s="220">
        <v>78</v>
      </c>
      <c r="B84" s="234">
        <v>6.6875000000000004E-2</v>
      </c>
      <c r="C84" s="227">
        <f t="shared" si="6"/>
        <v>96.300000000000011</v>
      </c>
      <c r="D84" s="227">
        <f t="shared" si="5"/>
        <v>67.354900067361143</v>
      </c>
      <c r="E84" s="232">
        <f>'10K'!$E84*(1-$K$2)+H.Marathon!$E84*$K$2</f>
        <v>0.64212106256183277</v>
      </c>
      <c r="F84" s="274">
        <f t="shared" si="4"/>
        <v>69.942783039835035</v>
      </c>
      <c r="G84" s="220">
        <v>78</v>
      </c>
      <c r="H84" s="282" t="s">
        <v>1333</v>
      </c>
      <c r="I84" s="246">
        <v>5778</v>
      </c>
      <c r="J84" s="248" t="s">
        <v>552</v>
      </c>
      <c r="K84" s="248" t="s">
        <v>1334</v>
      </c>
      <c r="L84" s="248" t="s">
        <v>155</v>
      </c>
      <c r="M84" s="244">
        <v>14194</v>
      </c>
      <c r="N84" s="246" t="s">
        <v>1222</v>
      </c>
      <c r="O84" s="248" t="s">
        <v>1328</v>
      </c>
      <c r="P84" s="302">
        <v>42463</v>
      </c>
      <c r="Q84" s="220"/>
    </row>
    <row r="85" spans="1:17">
      <c r="A85" s="220">
        <v>79</v>
      </c>
      <c r="B85" s="234">
        <v>6.3032407407407412E-2</v>
      </c>
      <c r="C85" s="227">
        <f t="shared" si="6"/>
        <v>90.76666666666668</v>
      </c>
      <c r="D85" s="227">
        <f t="shared" si="5"/>
        <v>68.873261242101677</v>
      </c>
      <c r="E85" s="232">
        <f>'10K'!$E85*(1-$K$2)+H.Marathon!$E85*$K$2</f>
        <v>0.62796503635813916</v>
      </c>
      <c r="F85" s="274">
        <f t="shared" si="4"/>
        <v>75.879465195117518</v>
      </c>
      <c r="G85" s="220">
        <v>79</v>
      </c>
      <c r="H85" s="282" t="s">
        <v>1335</v>
      </c>
      <c r="I85" s="246">
        <v>5446</v>
      </c>
      <c r="J85" s="220" t="s">
        <v>306</v>
      </c>
      <c r="K85" s="220" t="s">
        <v>307</v>
      </c>
      <c r="L85" s="248" t="s">
        <v>155</v>
      </c>
      <c r="M85" s="244">
        <v>6357</v>
      </c>
      <c r="N85" s="246"/>
      <c r="O85" s="248"/>
      <c r="P85" s="302">
        <v>34987</v>
      </c>
      <c r="Q85" s="220"/>
    </row>
    <row r="86" spans="1:17">
      <c r="A86" s="220">
        <v>80</v>
      </c>
      <c r="B86" s="234">
        <v>6.627314814814815E-2</v>
      </c>
      <c r="C86" s="227">
        <f t="shared" si="6"/>
        <v>95.433333333333337</v>
      </c>
      <c r="D86" s="227">
        <f t="shared" si="5"/>
        <v>70.549438611634812</v>
      </c>
      <c r="E86" s="232">
        <f>'10K'!$E86*(1-$K$2)+H.Marathon!$E86*$K$2</f>
        <v>0.61304527507419926</v>
      </c>
      <c r="F86" s="274">
        <f t="shared" si="4"/>
        <v>73.925363546945306</v>
      </c>
      <c r="G86" s="220">
        <v>80</v>
      </c>
      <c r="H86" s="282" t="s">
        <v>1336</v>
      </c>
      <c r="I86" s="246">
        <v>5726</v>
      </c>
      <c r="J86" s="220" t="s">
        <v>306</v>
      </c>
      <c r="K86" s="220" t="s">
        <v>307</v>
      </c>
      <c r="L86" s="248" t="s">
        <v>155</v>
      </c>
      <c r="M86" s="244">
        <v>6357</v>
      </c>
      <c r="N86" s="246" t="s">
        <v>1222</v>
      </c>
      <c r="O86" s="248" t="s">
        <v>246</v>
      </c>
      <c r="P86" s="302">
        <v>35533</v>
      </c>
      <c r="Q86" s="220"/>
    </row>
    <row r="87" spans="1:17">
      <c r="A87" s="220">
        <v>81</v>
      </c>
      <c r="B87" s="234">
        <v>8.0150462962962965E-2</v>
      </c>
      <c r="C87" s="227"/>
      <c r="D87" s="227">
        <f t="shared" si="5"/>
        <v>72.386239721902697</v>
      </c>
      <c r="E87" s="232">
        <f>'10K'!$E87*(1-$K$2)+H.Marathon!$E87*$K$2</f>
        <v>0.59748924887050558</v>
      </c>
      <c r="F87" s="274"/>
      <c r="G87" s="220">
        <v>81</v>
      </c>
      <c r="H87" s="282" t="s">
        <v>1337</v>
      </c>
      <c r="I87" s="246">
        <v>6925</v>
      </c>
      <c r="J87" s="248" t="s">
        <v>1338</v>
      </c>
      <c r="K87" s="248" t="s">
        <v>1339</v>
      </c>
      <c r="L87" s="248" t="s">
        <v>250</v>
      </c>
      <c r="M87" s="244">
        <v>9288</v>
      </c>
      <c r="N87" s="246"/>
      <c r="O87" s="248" t="s">
        <v>169</v>
      </c>
      <c r="P87" s="302">
        <v>38493</v>
      </c>
      <c r="Q87" s="220"/>
    </row>
    <row r="88" spans="1:17">
      <c r="A88" s="220">
        <v>82</v>
      </c>
      <c r="B88" s="234">
        <v>6.3472222222222222E-2</v>
      </c>
      <c r="C88" s="227"/>
      <c r="D88" s="227">
        <f t="shared" si="5"/>
        <v>74.40610753468971</v>
      </c>
      <c r="E88" s="232">
        <f>'10K'!$E88*(1-$K$2)+H.Marathon!$E88*$K$2</f>
        <v>0.58126948758656583</v>
      </c>
      <c r="F88" s="274"/>
      <c r="G88" s="220">
        <v>82</v>
      </c>
      <c r="H88" s="282" t="s">
        <v>1340</v>
      </c>
      <c r="I88" s="246">
        <v>5484</v>
      </c>
      <c r="J88" s="220" t="s">
        <v>306</v>
      </c>
      <c r="K88" s="220" t="s">
        <v>307</v>
      </c>
      <c r="L88" s="248" t="s">
        <v>155</v>
      </c>
      <c r="M88" s="244">
        <v>6357</v>
      </c>
      <c r="N88" s="246" t="s">
        <v>1222</v>
      </c>
      <c r="O88" s="248" t="s">
        <v>246</v>
      </c>
      <c r="P88" s="302">
        <v>35890</v>
      </c>
      <c r="Q88" s="220"/>
    </row>
    <row r="89" spans="1:17">
      <c r="A89" s="220">
        <v>83</v>
      </c>
      <c r="B89" s="234">
        <v>6.7500000000000004E-2</v>
      </c>
      <c r="C89" s="227"/>
      <c r="D89" s="227">
        <f t="shared" si="5"/>
        <v>76.628221966983133</v>
      </c>
      <c r="E89" s="232">
        <f>'10K'!$E89*(1-$K$2)+H.Marathon!$E89*$K$2</f>
        <v>0.56441346138287229</v>
      </c>
      <c r="F89" s="274"/>
      <c r="G89" s="220">
        <v>83</v>
      </c>
      <c r="H89" s="282" t="s">
        <v>1341</v>
      </c>
      <c r="I89" s="246">
        <v>5832</v>
      </c>
      <c r="J89" s="220" t="s">
        <v>306</v>
      </c>
      <c r="K89" s="220" t="s">
        <v>307</v>
      </c>
      <c r="L89" s="248" t="s">
        <v>155</v>
      </c>
      <c r="M89" s="244">
        <v>6357</v>
      </c>
      <c r="N89" s="246" t="s">
        <v>1222</v>
      </c>
      <c r="O89" s="248" t="s">
        <v>246</v>
      </c>
      <c r="P89" s="305">
        <v>36261</v>
      </c>
      <c r="Q89" s="220"/>
    </row>
    <row r="90" spans="1:17">
      <c r="A90" s="220">
        <v>84</v>
      </c>
      <c r="B90" s="234">
        <v>8.5023148148148153E-2</v>
      </c>
      <c r="C90" s="227"/>
      <c r="D90" s="227">
        <f t="shared" si="5"/>
        <v>79.097473127753133</v>
      </c>
      <c r="E90" s="232">
        <f>'10K'!$E90*(1-$K$2)+H.Marathon!$E90*$K$2</f>
        <v>0.54679370009893224</v>
      </c>
      <c r="F90" s="274"/>
      <c r="G90" s="220">
        <v>84</v>
      </c>
      <c r="H90" s="282" t="s">
        <v>1342</v>
      </c>
      <c r="I90" s="246">
        <v>7346</v>
      </c>
      <c r="J90" s="220" t="s">
        <v>226</v>
      </c>
      <c r="K90" s="220" t="s">
        <v>1343</v>
      </c>
      <c r="L90" s="248" t="s">
        <v>155</v>
      </c>
      <c r="M90" s="244">
        <v>3552</v>
      </c>
      <c r="N90" s="246" t="s">
        <v>1344</v>
      </c>
      <c r="O90" s="248" t="s">
        <v>1345</v>
      </c>
      <c r="P90" s="305">
        <v>33749</v>
      </c>
      <c r="Q90" s="220"/>
    </row>
    <row r="91" spans="1:17">
      <c r="A91" s="220">
        <v>85</v>
      </c>
      <c r="B91" s="234">
        <v>7.9201388888888891E-2</v>
      </c>
      <c r="C91" s="227"/>
      <c r="D91" s="227">
        <f t="shared" si="5"/>
        <v>81.823935733498288</v>
      </c>
      <c r="E91" s="232">
        <f>'10K'!$E91*(1-$K$2)+H.Marathon!$E91*$K$2</f>
        <v>0.52857393881499248</v>
      </c>
      <c r="F91" s="274"/>
      <c r="G91" s="220">
        <v>85</v>
      </c>
      <c r="H91" s="282" t="s">
        <v>1346</v>
      </c>
      <c r="I91" s="246">
        <v>6843</v>
      </c>
      <c r="J91" s="220" t="s">
        <v>306</v>
      </c>
      <c r="K91" s="220" t="s">
        <v>307</v>
      </c>
      <c r="L91" s="248" t="s">
        <v>155</v>
      </c>
      <c r="M91" s="244">
        <v>6357</v>
      </c>
      <c r="N91" s="246" t="s">
        <v>1222</v>
      </c>
      <c r="O91" s="248" t="s">
        <v>246</v>
      </c>
      <c r="P91" s="305">
        <v>36989</v>
      </c>
      <c r="Q91" s="220"/>
    </row>
    <row r="92" spans="1:17">
      <c r="A92" s="220">
        <v>86</v>
      </c>
      <c r="B92" s="234">
        <v>6.7500000000000004E-2</v>
      </c>
      <c r="C92" s="227"/>
      <c r="D92" s="227">
        <f t="shared" si="5"/>
        <v>84.861464708321407</v>
      </c>
      <c r="E92" s="232">
        <f>'10K'!$E92*(1-$K$2)+H.Marathon!$E92*$K$2</f>
        <v>0.50965417753105269</v>
      </c>
      <c r="F92" s="274"/>
      <c r="G92" s="220">
        <v>86</v>
      </c>
      <c r="H92" s="282" t="s">
        <v>1341</v>
      </c>
      <c r="I92" s="246">
        <v>5832</v>
      </c>
      <c r="J92" s="220" t="s">
        <v>306</v>
      </c>
      <c r="K92" s="220" t="s">
        <v>307</v>
      </c>
      <c r="L92" s="248" t="s">
        <v>155</v>
      </c>
      <c r="M92" s="244">
        <v>6357</v>
      </c>
      <c r="N92" s="246" t="s">
        <v>1197</v>
      </c>
      <c r="O92" s="248" t="s">
        <v>1198</v>
      </c>
      <c r="P92" s="305">
        <v>37738</v>
      </c>
      <c r="Q92" s="220"/>
    </row>
    <row r="93" spans="1:17">
      <c r="A93" s="220">
        <v>87</v>
      </c>
      <c r="B93" s="234">
        <v>9.22337962962963E-2</v>
      </c>
      <c r="C93" s="227"/>
      <c r="D93" s="227">
        <f t="shared" si="5"/>
        <v>88.259107046452911</v>
      </c>
      <c r="E93" s="232">
        <f>'10K'!$E93*(1-$K$2)+H.Marathon!$E93*$K$2</f>
        <v>0.49003441624711286</v>
      </c>
      <c r="F93" s="274"/>
      <c r="G93" s="220">
        <v>87</v>
      </c>
      <c r="H93" s="282" t="s">
        <v>1347</v>
      </c>
      <c r="I93" s="246">
        <v>7969</v>
      </c>
      <c r="J93" s="220" t="s">
        <v>306</v>
      </c>
      <c r="K93" s="220" t="s">
        <v>307</v>
      </c>
      <c r="L93" s="248" t="s">
        <v>155</v>
      </c>
      <c r="M93" s="244">
        <v>6357</v>
      </c>
      <c r="N93" s="246" t="s">
        <v>1222</v>
      </c>
      <c r="O93" s="248" t="s">
        <v>246</v>
      </c>
      <c r="P93" s="305">
        <v>38081</v>
      </c>
      <c r="Q93" s="246"/>
    </row>
    <row r="94" spans="1:17">
      <c r="A94" s="220">
        <v>88</v>
      </c>
      <c r="B94" s="234">
        <v>8.1689814814814812E-2</v>
      </c>
      <c r="C94" s="227"/>
      <c r="D94" s="227">
        <f t="shared" si="5"/>
        <v>92.077178225131021</v>
      </c>
      <c r="E94" s="232">
        <f>'10K'!$E94*(1-$K$2)+H.Marathon!$E94*$K$2</f>
        <v>0.469714654963173</v>
      </c>
      <c r="F94" s="274"/>
      <c r="G94" s="220">
        <v>88</v>
      </c>
      <c r="H94" s="282" t="s">
        <v>1348</v>
      </c>
      <c r="I94" s="246">
        <v>7058</v>
      </c>
      <c r="J94" s="248" t="s">
        <v>306</v>
      </c>
      <c r="K94" s="248" t="s">
        <v>1349</v>
      </c>
      <c r="L94" s="248" t="s">
        <v>155</v>
      </c>
      <c r="M94" s="244">
        <v>6357</v>
      </c>
      <c r="N94" s="246" t="s">
        <v>1222</v>
      </c>
      <c r="O94" s="248" t="s">
        <v>246</v>
      </c>
      <c r="P94" s="302">
        <v>38445</v>
      </c>
      <c r="Q94" s="246"/>
    </row>
    <row r="95" spans="1:17">
      <c r="A95" s="220">
        <v>89</v>
      </c>
      <c r="B95" s="234"/>
      <c r="C95" s="227"/>
      <c r="D95" s="227">
        <f t="shared" si="5"/>
        <v>96.369189153279549</v>
      </c>
      <c r="E95" s="232">
        <f>'10K'!$E95*(1-$K$2)+H.Marathon!$E95*$K$2</f>
        <v>0.44879489367923309</v>
      </c>
      <c r="F95" s="274"/>
      <c r="G95" s="220">
        <v>89</v>
      </c>
      <c r="H95" s="282"/>
      <c r="I95" s="246"/>
      <c r="J95" s="248"/>
      <c r="K95" s="248"/>
      <c r="L95" s="248"/>
      <c r="M95" s="244"/>
      <c r="N95" s="246"/>
      <c r="O95" s="248"/>
      <c r="P95" s="302"/>
      <c r="Q95" s="246"/>
    </row>
    <row r="96" spans="1:17">
      <c r="A96" s="220">
        <v>90</v>
      </c>
      <c r="B96" s="234"/>
      <c r="C96" s="227"/>
      <c r="D96" s="227">
        <f t="shared" si="5"/>
        <v>101.26163870101041</v>
      </c>
      <c r="E96" s="232">
        <f>'10K'!$E96*(1-$K$2)+H.Marathon!$E96*$K$2</f>
        <v>0.42711139731504705</v>
      </c>
      <c r="F96" s="274"/>
      <c r="G96" s="220">
        <v>90</v>
      </c>
      <c r="H96" s="282"/>
      <c r="I96" s="246"/>
      <c r="J96" s="248"/>
      <c r="K96" s="248"/>
      <c r="L96" s="248"/>
      <c r="M96" s="244"/>
      <c r="N96" s="246"/>
      <c r="O96" s="248"/>
      <c r="P96" s="302"/>
      <c r="Q96" s="246"/>
    </row>
    <row r="97" spans="1:17" ht="15.75">
      <c r="A97" s="220">
        <v>91</v>
      </c>
      <c r="B97" s="234">
        <v>0.14523148148148149</v>
      </c>
      <c r="C97" s="227"/>
      <c r="D97" s="227">
        <f t="shared" si="5"/>
        <v>106.84509300650755</v>
      </c>
      <c r="E97" s="232">
        <f>'10K'!$E97*(1-$K$2)+H.Marathon!$E97*$K$2</f>
        <v>0.40479163603110718</v>
      </c>
      <c r="F97" s="274"/>
      <c r="G97" s="220">
        <v>91</v>
      </c>
      <c r="H97" s="282" t="s">
        <v>1350</v>
      </c>
      <c r="I97" s="235">
        <v>13148</v>
      </c>
      <c r="J97" s="220" t="s">
        <v>308</v>
      </c>
      <c r="K97" s="220" t="s">
        <v>309</v>
      </c>
      <c r="L97" s="248" t="s">
        <v>155</v>
      </c>
      <c r="M97" s="236">
        <v>535</v>
      </c>
      <c r="N97" s="246" t="s">
        <v>1222</v>
      </c>
      <c r="O97" s="248" t="s">
        <v>246</v>
      </c>
      <c r="P97" s="313">
        <v>33699</v>
      </c>
      <c r="Q97" s="235"/>
    </row>
    <row r="98" spans="1:17">
      <c r="A98" s="220">
        <v>92</v>
      </c>
      <c r="B98" s="234"/>
      <c r="C98" s="227"/>
      <c r="D98" s="227">
        <f t="shared" si="5"/>
        <v>113.27678880217198</v>
      </c>
      <c r="E98" s="232">
        <f>'10K'!$E98*(1-$K$2)+H.Marathon!$E98*$K$2</f>
        <v>0.38180813966692106</v>
      </c>
      <c r="F98" s="274"/>
      <c r="G98" s="220">
        <v>92</v>
      </c>
      <c r="H98" s="250"/>
      <c r="I98" s="220"/>
      <c r="J98" s="220"/>
      <c r="K98" s="220"/>
      <c r="L98" s="220"/>
      <c r="M98" s="220"/>
      <c r="N98" s="220"/>
      <c r="O98" s="220"/>
      <c r="P98" s="303"/>
      <c r="Q98" s="220"/>
    </row>
    <row r="99" spans="1:17">
      <c r="A99" s="220">
        <v>93</v>
      </c>
      <c r="B99" s="234"/>
      <c r="C99" s="227"/>
      <c r="D99" s="227">
        <f t="shared" si="5"/>
        <v>120.76800859369877</v>
      </c>
      <c r="E99" s="232">
        <f>'10K'!$E99*(1-$K$2)+H.Marathon!$E99*$K$2</f>
        <v>0.35812464330273497</v>
      </c>
      <c r="F99" s="274"/>
      <c r="G99" s="220">
        <v>93</v>
      </c>
      <c r="H99" s="250"/>
      <c r="I99" s="220"/>
      <c r="J99" s="220"/>
      <c r="K99" s="220"/>
      <c r="L99" s="220"/>
      <c r="M99" s="220"/>
      <c r="N99" s="220"/>
      <c r="O99" s="220"/>
      <c r="P99" s="303"/>
      <c r="Q99" s="220"/>
    </row>
    <row r="100" spans="1:17">
      <c r="A100" s="220">
        <v>94</v>
      </c>
      <c r="B100" s="234"/>
      <c r="C100" s="227"/>
      <c r="D100" s="227">
        <f t="shared" si="5"/>
        <v>129.56670896612221</v>
      </c>
      <c r="E100" s="232">
        <f>'10K'!$E100*(1-$K$2)+H.Marathon!$E100*$K$2</f>
        <v>0.33380488201879521</v>
      </c>
      <c r="F100" s="274"/>
      <c r="G100" s="220">
        <v>94</v>
      </c>
      <c r="H100" s="250"/>
      <c r="I100" s="220"/>
      <c r="J100" s="220"/>
      <c r="K100" s="220"/>
      <c r="L100" s="220"/>
      <c r="M100" s="220"/>
      <c r="N100" s="220"/>
      <c r="O100" s="220"/>
      <c r="P100" s="303"/>
      <c r="Q100" s="220"/>
    </row>
    <row r="101" spans="1:17">
      <c r="A101" s="220">
        <v>95</v>
      </c>
      <c r="B101" s="234"/>
      <c r="C101" s="227"/>
      <c r="D101" s="227">
        <f t="shared" si="5"/>
        <v>140.09395529335688</v>
      </c>
      <c r="E101" s="232">
        <f>'10K'!$E101*(1-$K$2)+H.Marathon!$E101*$K$2</f>
        <v>0.3087213856546091</v>
      </c>
      <c r="F101" s="274"/>
      <c r="G101" s="220">
        <v>95</v>
      </c>
      <c r="H101" s="250"/>
      <c r="I101" s="220"/>
      <c r="J101" s="220"/>
      <c r="K101" s="220"/>
      <c r="L101" s="220"/>
      <c r="M101" s="220"/>
      <c r="N101" s="220"/>
      <c r="O101" s="220"/>
      <c r="P101" s="220"/>
      <c r="Q101" s="220"/>
    </row>
    <row r="102" spans="1:17">
      <c r="A102" s="220">
        <v>96</v>
      </c>
      <c r="B102" s="220"/>
      <c r="C102" s="227"/>
      <c r="D102" s="227">
        <f t="shared" si="5"/>
        <v>152.80639672811265</v>
      </c>
      <c r="E102" s="232">
        <f>'10K'!$E102*(1-$K$2)+H.Marathon!$E102*$K$2</f>
        <v>0.28303788929042301</v>
      </c>
      <c r="F102" s="274"/>
      <c r="G102" s="220">
        <v>96</v>
      </c>
      <c r="H102" s="250"/>
      <c r="I102" s="220"/>
      <c r="J102" s="220"/>
      <c r="K102" s="220"/>
      <c r="L102" s="220"/>
      <c r="M102" s="220"/>
      <c r="N102" s="220"/>
      <c r="O102" s="220"/>
      <c r="P102" s="220"/>
      <c r="Q102" s="220"/>
    </row>
    <row r="103" spans="1:17">
      <c r="A103" s="220">
        <v>97</v>
      </c>
      <c r="B103" s="220" t="s">
        <v>78</v>
      </c>
      <c r="C103" s="227"/>
      <c r="D103" s="227">
        <f t="shared" si="5"/>
        <v>168.51455183325132</v>
      </c>
      <c r="E103" s="232">
        <f>'10K'!$E103*(1-$K$2)+H.Marathon!$E103*$K$2</f>
        <v>0.25665439292623693</v>
      </c>
      <c r="F103" s="274"/>
      <c r="G103" s="220">
        <v>97</v>
      </c>
      <c r="H103" s="220"/>
      <c r="I103" s="220"/>
      <c r="J103" s="220"/>
      <c r="K103" s="220"/>
      <c r="L103" s="220"/>
      <c r="M103" s="220"/>
      <c r="N103" s="220"/>
      <c r="O103" s="220"/>
      <c r="P103" s="220"/>
      <c r="Q103" s="220"/>
    </row>
    <row r="104" spans="1:17">
      <c r="A104" s="220">
        <v>98</v>
      </c>
      <c r="B104" s="220" t="s">
        <v>78</v>
      </c>
      <c r="C104" s="227"/>
      <c r="D104" s="227">
        <f t="shared" si="5"/>
        <v>188.36520481713021</v>
      </c>
      <c r="E104" s="232">
        <f>'10K'!$E104*(1-$K$2)+H.Marathon!$E104*$K$2</f>
        <v>0.22960716148180454</v>
      </c>
      <c r="F104" s="220"/>
      <c r="G104" s="220">
        <v>98</v>
      </c>
      <c r="H104" s="220"/>
      <c r="I104" s="220"/>
      <c r="J104" s="220"/>
      <c r="K104" s="220"/>
      <c r="L104" s="220"/>
      <c r="M104" s="220"/>
      <c r="N104" s="220"/>
      <c r="O104" s="220"/>
      <c r="P104" s="220"/>
      <c r="Q104" s="220"/>
    </row>
    <row r="105" spans="1:17">
      <c r="A105" s="220">
        <v>99</v>
      </c>
      <c r="B105" s="220" t="s">
        <v>78</v>
      </c>
      <c r="C105" s="227"/>
      <c r="D105" s="227">
        <f t="shared" si="5"/>
        <v>214.29597948682004</v>
      </c>
      <c r="E105" s="232">
        <f>'10K'!$E105*(1-$K$2)+H.Marathon!$E105*$K$2</f>
        <v>0.20182366511761846</v>
      </c>
      <c r="F105" s="220"/>
      <c r="G105" s="220">
        <v>99</v>
      </c>
      <c r="H105" s="220"/>
      <c r="I105" s="220"/>
      <c r="J105" s="220"/>
      <c r="K105" s="220"/>
      <c r="L105" s="220"/>
      <c r="M105" s="220"/>
      <c r="N105" s="220"/>
      <c r="O105" s="220"/>
      <c r="P105" s="220"/>
      <c r="Q105" s="220"/>
    </row>
    <row r="106" spans="1:17">
      <c r="A106" s="220">
        <v>100</v>
      </c>
      <c r="B106" s="220"/>
      <c r="C106" s="220"/>
      <c r="D106" s="227">
        <f t="shared" si="5"/>
        <v>249.45720178744747</v>
      </c>
      <c r="E106" s="232">
        <f>'10K'!$E106*(1-$K$2)+H.Marathon!$E106*$K$2</f>
        <v>0.17337643367318614</v>
      </c>
      <c r="F106" s="220"/>
      <c r="G106" s="220">
        <v>100</v>
      </c>
      <c r="H106" s="220"/>
      <c r="I106" s="220"/>
      <c r="J106" s="220"/>
      <c r="K106" s="220"/>
      <c r="L106" s="220"/>
      <c r="M106" s="220"/>
      <c r="N106" s="220"/>
      <c r="O106" s="220"/>
      <c r="P106" s="220"/>
      <c r="Q106" s="220"/>
    </row>
  </sheetData>
  <pageMargins left="0.5" right="0.5" top="0.5" bottom="0.5" header="0" footer="0"/>
  <pageSetup orientation="portrait" verticalDpi="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I106"/>
  <sheetViews>
    <sheetView zoomScale="87" zoomScaleNormal="87" workbookViewId="0">
      <selection activeCell="K18" sqref="K18"/>
    </sheetView>
  </sheetViews>
  <sheetFormatPr defaultColWidth="9.6640625" defaultRowHeight="15"/>
  <cols>
    <col min="1" max="5" width="9.6640625" style="1" customWidth="1"/>
    <col min="6" max="6" width="10.6640625" style="1" customWidth="1"/>
    <col min="7" max="7" width="11.6640625" style="1" customWidth="1"/>
    <col min="8" max="10" width="10.6640625" style="1" customWidth="1"/>
    <col min="11" max="11" width="18.109375" style="1" customWidth="1"/>
    <col min="12" max="12" width="9.6640625" style="1"/>
    <col min="13" max="13" width="10.109375" style="1" bestFit="1" customWidth="1"/>
    <col min="14" max="14" width="9.6640625" style="1"/>
    <col min="15" max="15" width="24.109375" style="1" customWidth="1"/>
    <col min="16" max="16" width="10.109375" style="1" bestFit="1" customWidth="1"/>
    <col min="17" max="16384" width="9.6640625" style="1"/>
  </cols>
  <sheetData>
    <row r="1" spans="1:35" ht="29.1" customHeight="1">
      <c r="A1" s="216" t="s">
        <v>83</v>
      </c>
      <c r="B1" s="217"/>
      <c r="C1" s="218"/>
      <c r="D1" s="219" t="s">
        <v>32</v>
      </c>
      <c r="E1" s="219" t="s">
        <v>71</v>
      </c>
      <c r="F1" s="219" t="s">
        <v>72</v>
      </c>
      <c r="G1" s="219" t="s">
        <v>73</v>
      </c>
      <c r="H1" s="219" t="s">
        <v>74</v>
      </c>
      <c r="I1" s="219" t="s">
        <v>75</v>
      </c>
      <c r="J1" s="220"/>
      <c r="K1" s="220" t="s">
        <v>1356</v>
      </c>
      <c r="L1" s="220"/>
      <c r="M1" s="220"/>
      <c r="N1" s="220"/>
      <c r="O1" s="220"/>
      <c r="P1" s="220"/>
      <c r="Q1" s="220"/>
    </row>
    <row r="2" spans="1:35" ht="15.95" customHeight="1">
      <c r="A2" s="216"/>
      <c r="B2" s="217"/>
      <c r="C2" s="218"/>
      <c r="D2" s="219"/>
      <c r="E2" s="219"/>
      <c r="F2" s="314">
        <f>(+H$3-H$4)*F$4/2</f>
        <v>4.725E-2</v>
      </c>
      <c r="G2" s="315">
        <f>(+I$4-I$3)*G$4/2</f>
        <v>0.17219999999999999</v>
      </c>
      <c r="H2" s="221"/>
      <c r="I2" s="221"/>
      <c r="J2" s="220"/>
      <c r="K2" s="225">
        <f>Parameters!Z22</f>
        <v>0.92844299215419079</v>
      </c>
      <c r="L2" s="220"/>
      <c r="M2" s="220"/>
      <c r="N2" s="220"/>
      <c r="O2" s="220"/>
      <c r="P2" s="220"/>
      <c r="Q2" s="220"/>
    </row>
    <row r="3" spans="1:35" ht="15.95" customHeight="1">
      <c r="A3" s="216"/>
      <c r="B3" s="217"/>
      <c r="C3" s="218"/>
      <c r="D3" s="219"/>
      <c r="E3" s="219"/>
      <c r="F3" s="314">
        <f>F4/(2*(+H3-H4))</f>
        <v>1.89E-3</v>
      </c>
      <c r="G3" s="315">
        <f>G4/(2*(+I4-I3))</f>
        <v>1.6006097560975613E-4</v>
      </c>
      <c r="H3" s="222">
        <v>22</v>
      </c>
      <c r="I3" s="223">
        <v>24</v>
      </c>
      <c r="J3" s="220"/>
      <c r="K3" s="220"/>
      <c r="L3" s="220"/>
      <c r="M3" s="220"/>
      <c r="N3" s="220"/>
      <c r="O3" s="220"/>
      <c r="P3" s="220"/>
      <c r="Q3" s="220"/>
    </row>
    <row r="4" spans="1:35" ht="15.75">
      <c r="A4" s="217"/>
      <c r="B4" s="217"/>
      <c r="C4" s="217"/>
      <c r="D4" s="224">
        <f>Parameters!G22</f>
        <v>3.7731481481481484E-2</v>
      </c>
      <c r="E4" s="225">
        <f>D4*1440</f>
        <v>54.333333333333336</v>
      </c>
      <c r="F4" s="226">
        <v>1.89E-2</v>
      </c>
      <c r="G4" s="215">
        <v>1.0500000000000001E-2</v>
      </c>
      <c r="H4" s="222">
        <v>17</v>
      </c>
      <c r="I4" s="223">
        <v>56.8</v>
      </c>
      <c r="J4" s="220"/>
      <c r="K4" s="220"/>
      <c r="L4" s="220"/>
      <c r="M4" s="220"/>
      <c r="N4" s="220"/>
      <c r="O4" s="220"/>
      <c r="P4" s="220"/>
      <c r="Q4" s="220"/>
    </row>
    <row r="5" spans="1:35" ht="15.75">
      <c r="A5" s="217"/>
      <c r="B5" s="217"/>
      <c r="C5" s="217"/>
      <c r="D5" s="224"/>
      <c r="E5" s="217">
        <f>E4*60</f>
        <v>3260</v>
      </c>
      <c r="F5" s="226">
        <v>9.1E-4</v>
      </c>
      <c r="G5" s="215">
        <v>5.1000000000000004E-4</v>
      </c>
      <c r="H5" s="222">
        <v>15</v>
      </c>
      <c r="I5" s="223">
        <v>76.7</v>
      </c>
      <c r="J5" s="220"/>
      <c r="K5" s="220">
        <v>62.1</v>
      </c>
      <c r="L5" s="220"/>
      <c r="M5" s="220"/>
      <c r="N5" s="220"/>
      <c r="O5" s="220"/>
      <c r="P5" s="220"/>
      <c r="Q5" s="220"/>
    </row>
    <row r="6" spans="1:35" ht="63">
      <c r="A6" s="228" t="s">
        <v>69</v>
      </c>
      <c r="B6" s="228" t="s">
        <v>1352</v>
      </c>
      <c r="C6" s="228" t="s">
        <v>1352</v>
      </c>
      <c r="D6" s="228" t="s">
        <v>1353</v>
      </c>
      <c r="E6" s="228" t="s">
        <v>1354</v>
      </c>
      <c r="F6" s="422" t="s">
        <v>142</v>
      </c>
      <c r="G6" s="228" t="s">
        <v>69</v>
      </c>
      <c r="H6" s="343" t="s">
        <v>316</v>
      </c>
      <c r="I6" s="431" t="s">
        <v>423</v>
      </c>
      <c r="J6" s="432" t="s">
        <v>237</v>
      </c>
      <c r="K6" s="432" t="s">
        <v>238</v>
      </c>
      <c r="L6" s="433" t="s">
        <v>239</v>
      </c>
      <c r="M6" s="344" t="s">
        <v>240</v>
      </c>
      <c r="N6" s="434" t="s">
        <v>241</v>
      </c>
      <c r="O6" s="433" t="s">
        <v>242</v>
      </c>
      <c r="P6" s="344" t="s">
        <v>243</v>
      </c>
      <c r="Q6" s="435" t="s">
        <v>419</v>
      </c>
      <c r="R6" s="198"/>
      <c r="S6" s="198"/>
      <c r="T6" s="198"/>
      <c r="U6" s="198"/>
      <c r="V6" s="198"/>
      <c r="W6" s="198"/>
      <c r="X6" s="198"/>
      <c r="Y6" s="198"/>
      <c r="Z6" s="198"/>
      <c r="AA6" s="198"/>
      <c r="AB6" s="198"/>
      <c r="AC6" s="198"/>
      <c r="AD6" s="198"/>
      <c r="AE6" s="198"/>
      <c r="AF6" s="198"/>
      <c r="AG6" s="198"/>
      <c r="AH6" s="198"/>
      <c r="AI6" s="198"/>
    </row>
    <row r="7" spans="1:35">
      <c r="A7" s="220">
        <v>1</v>
      </c>
      <c r="B7" s="290"/>
      <c r="C7" s="220"/>
      <c r="D7" s="220"/>
      <c r="E7" s="220"/>
      <c r="F7" s="220"/>
      <c r="G7" s="220">
        <v>1</v>
      </c>
      <c r="H7" s="220"/>
      <c r="I7" s="220"/>
      <c r="J7" s="220"/>
      <c r="K7" s="220"/>
      <c r="L7" s="220"/>
      <c r="M7" s="220"/>
      <c r="N7" s="220"/>
      <c r="O7" s="220"/>
      <c r="P7" s="220"/>
      <c r="Q7" s="220"/>
    </row>
    <row r="8" spans="1:35">
      <c r="A8" s="220">
        <v>2</v>
      </c>
      <c r="B8" s="290"/>
      <c r="C8" s="220"/>
      <c r="D8" s="220"/>
      <c r="E8" s="220"/>
      <c r="F8" s="220"/>
      <c r="G8" s="220">
        <v>2</v>
      </c>
      <c r="H8" s="220"/>
      <c r="I8" s="220"/>
      <c r="J8" s="220"/>
      <c r="K8" s="220"/>
      <c r="L8" s="220"/>
      <c r="M8" s="220"/>
      <c r="N8" s="220"/>
      <c r="O8" s="220"/>
      <c r="P8" s="220"/>
      <c r="Q8" s="220"/>
    </row>
    <row r="9" spans="1:35">
      <c r="A9" s="220">
        <v>3</v>
      </c>
      <c r="B9" s="290"/>
      <c r="C9" s="227"/>
      <c r="D9" s="227"/>
      <c r="E9" s="232">
        <f>'10K'!$E9*(1-$K$2)+H.Marathon!$E9*$K$2</f>
        <v>0.30188144661197314</v>
      </c>
      <c r="F9" s="220"/>
      <c r="G9" s="220">
        <v>3</v>
      </c>
      <c r="H9" s="220"/>
      <c r="I9" s="220"/>
      <c r="J9" s="220"/>
      <c r="K9" s="220"/>
      <c r="L9" s="220"/>
      <c r="M9" s="220"/>
      <c r="N9" s="220"/>
      <c r="O9" s="220"/>
      <c r="P9" s="220"/>
      <c r="Q9" s="273"/>
    </row>
    <row r="10" spans="1:35">
      <c r="A10" s="220">
        <v>4</v>
      </c>
      <c r="B10" s="291"/>
      <c r="C10" s="227"/>
      <c r="D10" s="227"/>
      <c r="E10" s="232">
        <f>'10K'!$E10*(1-$K$2)+H.Marathon!$E10*$K$2</f>
        <v>0.38644351037624058</v>
      </c>
      <c r="F10" s="274"/>
      <c r="G10" s="220">
        <v>4</v>
      </c>
      <c r="H10" s="275"/>
      <c r="I10" s="220"/>
      <c r="J10" s="220"/>
      <c r="K10" s="220"/>
      <c r="L10" s="220"/>
      <c r="M10" s="220"/>
      <c r="N10" s="220"/>
      <c r="O10" s="220"/>
      <c r="P10" s="220"/>
      <c r="Q10" s="273"/>
    </row>
    <row r="11" spans="1:35">
      <c r="A11" s="220">
        <v>5</v>
      </c>
      <c r="B11" s="291"/>
      <c r="C11" s="227"/>
      <c r="D11" s="227">
        <f t="shared" ref="D11:D42" si="0">E$4/E11</f>
        <v>116.76191583409093</v>
      </c>
      <c r="E11" s="232">
        <f>'10K'!$E11*(1-$K$2)+H.Marathon!$E11*$K$2</f>
        <v>0.46533437675463057</v>
      </c>
      <c r="F11" s="274"/>
      <c r="G11" s="220">
        <v>5</v>
      </c>
      <c r="H11" s="275"/>
      <c r="I11" s="220"/>
      <c r="J11" s="220"/>
      <c r="K11" s="220"/>
      <c r="L11" s="220"/>
      <c r="M11" s="220"/>
      <c r="N11" s="220"/>
      <c r="O11" s="220"/>
      <c r="P11" s="220"/>
      <c r="Q11" s="273"/>
    </row>
    <row r="12" spans="1:35">
      <c r="A12" s="220">
        <v>6</v>
      </c>
      <c r="B12" s="291"/>
      <c r="C12" s="227"/>
      <c r="D12" s="227">
        <f t="shared" si="0"/>
        <v>100.87003997861596</v>
      </c>
      <c r="E12" s="232">
        <f>'10K'!$E12*(1-$K$2)+H.Marathon!$E12*$K$2</f>
        <v>0.53864689004635846</v>
      </c>
      <c r="F12" s="274"/>
      <c r="G12" s="220">
        <v>6</v>
      </c>
      <c r="H12" s="275"/>
      <c r="I12" s="220"/>
      <c r="J12" s="220"/>
      <c r="K12" s="220"/>
      <c r="L12" s="220"/>
      <c r="M12" s="220"/>
      <c r="N12" s="220"/>
      <c r="O12" s="220"/>
      <c r="P12" s="220"/>
      <c r="Q12" s="273"/>
    </row>
    <row r="13" spans="1:35">
      <c r="A13" s="220">
        <v>7</v>
      </c>
      <c r="B13" s="292">
        <v>7.9178240740740743E-2</v>
      </c>
      <c r="C13" s="227">
        <f>B13*1440</f>
        <v>114.01666666666667</v>
      </c>
      <c r="D13" s="227">
        <f t="shared" si="0"/>
        <v>89.602624143358497</v>
      </c>
      <c r="E13" s="232">
        <f>'10K'!$E13*(1-$K$2)+H.Marathon!$E13*$K$2</f>
        <v>0.60638105025142408</v>
      </c>
      <c r="F13" s="274">
        <f t="shared" ref="F13:F44" si="1">100*(D13/C13)</f>
        <v>78.587303736317935</v>
      </c>
      <c r="G13" s="220">
        <v>7</v>
      </c>
      <c r="H13" s="282" t="s">
        <v>557</v>
      </c>
      <c r="I13" s="286">
        <v>6841</v>
      </c>
      <c r="J13" s="287" t="s">
        <v>420</v>
      </c>
      <c r="K13" s="287" t="s">
        <v>421</v>
      </c>
      <c r="L13" s="287" t="s">
        <v>155</v>
      </c>
      <c r="M13" s="288">
        <v>39841</v>
      </c>
      <c r="N13" s="289"/>
      <c r="O13" s="287" t="s">
        <v>558</v>
      </c>
      <c r="P13" s="288">
        <v>42749</v>
      </c>
      <c r="Q13" s="289"/>
    </row>
    <row r="14" spans="1:35">
      <c r="A14" s="220">
        <v>8</v>
      </c>
      <c r="B14" s="292"/>
      <c r="C14" s="227"/>
      <c r="D14" s="227">
        <f t="shared" si="0"/>
        <v>81.283297136201213</v>
      </c>
      <c r="E14" s="232">
        <f>'10K'!$E14*(1-$K$2)+H.Marathon!$E14*$K$2</f>
        <v>0.66844401307061219</v>
      </c>
      <c r="F14" s="274"/>
      <c r="G14" s="220">
        <v>8</v>
      </c>
      <c r="H14" s="293"/>
      <c r="I14" s="220"/>
      <c r="J14" s="220"/>
      <c r="K14" s="220"/>
      <c r="L14" s="220"/>
      <c r="M14" s="220"/>
      <c r="N14" s="220"/>
      <c r="O14" s="220"/>
      <c r="P14" s="220"/>
      <c r="Q14" s="273"/>
    </row>
    <row r="15" spans="1:35">
      <c r="A15" s="220">
        <v>9</v>
      </c>
      <c r="B15" s="292"/>
      <c r="C15" s="227"/>
      <c r="D15" s="227">
        <f t="shared" si="0"/>
        <v>74.959507994319125</v>
      </c>
      <c r="E15" s="232">
        <f>'10K'!$E15*(1-$K$2)+H.Marathon!$E15*$K$2</f>
        <v>0.72483577850392289</v>
      </c>
      <c r="F15" s="274"/>
      <c r="G15" s="220">
        <v>9</v>
      </c>
      <c r="H15" s="293"/>
      <c r="I15" s="220"/>
      <c r="J15" s="220"/>
      <c r="K15" s="220"/>
      <c r="L15" s="220"/>
      <c r="M15" s="220"/>
      <c r="N15" s="220"/>
      <c r="O15" s="220"/>
      <c r="P15" s="220"/>
      <c r="Q15" s="273"/>
    </row>
    <row r="16" spans="1:35">
      <c r="A16" s="220">
        <v>10</v>
      </c>
      <c r="B16" s="292"/>
      <c r="C16" s="227"/>
      <c r="D16" s="227">
        <f t="shared" si="0"/>
        <v>70.040465607670981</v>
      </c>
      <c r="E16" s="232">
        <f>'10K'!$E16*(1-$K$2)+H.Marathon!$E16*$K$2</f>
        <v>0.77574203514978679</v>
      </c>
      <c r="F16" s="274"/>
      <c r="G16" s="220">
        <v>10</v>
      </c>
      <c r="H16" s="293"/>
      <c r="I16" s="220"/>
      <c r="J16" s="220"/>
      <c r="K16" s="220"/>
      <c r="L16" s="220"/>
      <c r="M16" s="220"/>
      <c r="N16" s="220"/>
      <c r="O16" s="220"/>
      <c r="P16" s="220"/>
      <c r="Q16" s="273"/>
    </row>
    <row r="17" spans="1:17">
      <c r="A17" s="220">
        <v>11</v>
      </c>
      <c r="B17" s="292"/>
      <c r="C17" s="227"/>
      <c r="D17" s="227">
        <f t="shared" si="0"/>
        <v>66.181302381396293</v>
      </c>
      <c r="E17" s="232">
        <f>'10K'!$E17*(1-$K$2)+H.Marathon!$E17*$K$2</f>
        <v>0.82097709440977318</v>
      </c>
      <c r="F17" s="274"/>
      <c r="G17" s="220">
        <v>11</v>
      </c>
      <c r="H17" s="293"/>
      <c r="I17" s="220"/>
      <c r="J17" s="220"/>
      <c r="K17" s="220"/>
      <c r="L17" s="220"/>
      <c r="M17" s="220"/>
      <c r="N17" s="220"/>
      <c r="O17" s="220"/>
      <c r="P17" s="220"/>
      <c r="Q17" s="273"/>
    </row>
    <row r="18" spans="1:17">
      <c r="A18" s="220">
        <v>12</v>
      </c>
      <c r="B18" s="292"/>
      <c r="C18" s="227"/>
      <c r="D18" s="227">
        <f t="shared" si="0"/>
        <v>63.138579211806189</v>
      </c>
      <c r="E18" s="232">
        <f>'10K'!$E18*(1-$K$2)+H.Marathon!$E18*$K$2</f>
        <v>0.86054095628388205</v>
      </c>
      <c r="F18" s="274"/>
      <c r="G18" s="220">
        <v>12</v>
      </c>
      <c r="H18" s="293"/>
      <c r="I18" s="220"/>
      <c r="J18" s="220"/>
      <c r="K18" s="220"/>
      <c r="L18" s="220"/>
      <c r="M18" s="220"/>
      <c r="N18" s="220"/>
      <c r="O18" s="220"/>
      <c r="P18" s="220"/>
      <c r="Q18" s="273"/>
    </row>
    <row r="19" spans="1:17">
      <c r="A19" s="220">
        <v>13</v>
      </c>
      <c r="B19" s="292">
        <v>5.8703703703703702E-2</v>
      </c>
      <c r="C19" s="227">
        <f t="shared" ref="C19:C77" si="2">B19*1440</f>
        <v>84.533333333333331</v>
      </c>
      <c r="D19" s="227">
        <f t="shared" si="0"/>
        <v>60.739771772991467</v>
      </c>
      <c r="E19" s="232">
        <f>'10K'!$E19*(1-$K$2)+H.Marathon!$E19*$K$2</f>
        <v>0.89452646507132882</v>
      </c>
      <c r="F19" s="274">
        <f t="shared" si="1"/>
        <v>71.853042318207571</v>
      </c>
      <c r="G19" s="220">
        <v>13</v>
      </c>
      <c r="H19" s="282" t="s">
        <v>559</v>
      </c>
      <c r="I19" s="246">
        <v>5072</v>
      </c>
      <c r="J19" s="241" t="s">
        <v>560</v>
      </c>
      <c r="K19" s="241" t="s">
        <v>561</v>
      </c>
      <c r="L19" s="241" t="s">
        <v>155</v>
      </c>
      <c r="M19" s="249">
        <v>24858</v>
      </c>
      <c r="N19" s="242"/>
      <c r="O19" s="241" t="s">
        <v>562</v>
      </c>
      <c r="P19" s="249">
        <v>29940</v>
      </c>
      <c r="Q19" s="242"/>
    </row>
    <row r="20" spans="1:17">
      <c r="A20" s="220">
        <v>14</v>
      </c>
      <c r="B20" s="292">
        <v>6.3310185185185192E-2</v>
      </c>
      <c r="C20" s="227">
        <f t="shared" si="2"/>
        <v>91.166666666666671</v>
      </c>
      <c r="D20" s="227">
        <f t="shared" si="0"/>
        <v>58.870250373888034</v>
      </c>
      <c r="E20" s="232">
        <f>'10K'!$E20*(1-$K$2)+H.Marathon!$E20*$K$2</f>
        <v>0.92293362077211327</v>
      </c>
      <c r="F20" s="274">
        <f t="shared" si="1"/>
        <v>64.574314852528005</v>
      </c>
      <c r="G20" s="220">
        <v>14</v>
      </c>
      <c r="H20" s="282" t="s">
        <v>563</v>
      </c>
      <c r="I20" s="246">
        <v>5470</v>
      </c>
      <c r="J20" s="241" t="s">
        <v>188</v>
      </c>
      <c r="K20" s="241" t="s">
        <v>564</v>
      </c>
      <c r="L20" s="241" t="s">
        <v>155</v>
      </c>
      <c r="M20" s="249">
        <v>23260</v>
      </c>
      <c r="N20" s="242"/>
      <c r="O20" s="241" t="s">
        <v>565</v>
      </c>
      <c r="P20" s="249">
        <v>28687</v>
      </c>
      <c r="Q20" s="242"/>
    </row>
    <row r="21" spans="1:17">
      <c r="A21" s="220">
        <v>15</v>
      </c>
      <c r="B21" s="292">
        <v>6.0763888888888888E-2</v>
      </c>
      <c r="C21" s="227">
        <f t="shared" si="2"/>
        <v>87.5</v>
      </c>
      <c r="D21" s="227">
        <f t="shared" si="0"/>
        <v>57.454881213148965</v>
      </c>
      <c r="E21" s="232">
        <f>'10K'!$E21*(1-$K$2)+H.Marathon!$E21*$K$2</f>
        <v>0.94566957908702032</v>
      </c>
      <c r="F21" s="274">
        <f t="shared" si="1"/>
        <v>65.662721386455956</v>
      </c>
      <c r="G21" s="220">
        <v>15</v>
      </c>
      <c r="H21" s="282" t="s">
        <v>566</v>
      </c>
      <c r="I21" s="246">
        <v>5250</v>
      </c>
      <c r="J21" s="241" t="s">
        <v>567</v>
      </c>
      <c r="K21" s="241" t="s">
        <v>568</v>
      </c>
      <c r="L21" s="241" t="s">
        <v>155</v>
      </c>
      <c r="M21" s="249">
        <v>22980</v>
      </c>
      <c r="N21" s="242" t="s">
        <v>569</v>
      </c>
      <c r="O21" s="241" t="s">
        <v>570</v>
      </c>
      <c r="P21" s="249">
        <v>28658</v>
      </c>
      <c r="Q21" s="242"/>
    </row>
    <row r="22" spans="1:17">
      <c r="A22" s="220">
        <v>16</v>
      </c>
      <c r="B22" s="292">
        <v>5.2789351851851851E-2</v>
      </c>
      <c r="C22" s="227">
        <f t="shared" si="2"/>
        <v>76.016666666666666</v>
      </c>
      <c r="D22" s="227">
        <f t="shared" si="0"/>
        <v>56.431033749814226</v>
      </c>
      <c r="E22" s="232">
        <f>'10K'!$E22*(1-$K$2)+H.Marathon!$E22*$K$2</f>
        <v>0.96282718431526526</v>
      </c>
      <c r="F22" s="274">
        <f t="shared" si="1"/>
        <v>74.235080574191045</v>
      </c>
      <c r="G22" s="220">
        <v>16</v>
      </c>
      <c r="H22" s="282" t="s">
        <v>571</v>
      </c>
      <c r="I22" s="246">
        <v>4561</v>
      </c>
      <c r="J22" s="241" t="s">
        <v>572</v>
      </c>
      <c r="K22" s="241" t="s">
        <v>573</v>
      </c>
      <c r="L22" s="241" t="s">
        <v>158</v>
      </c>
      <c r="M22" s="249">
        <v>23751</v>
      </c>
      <c r="N22" s="242"/>
      <c r="O22" s="241" t="s">
        <v>319</v>
      </c>
      <c r="P22" s="249">
        <v>29877</v>
      </c>
      <c r="Q22" s="242"/>
    </row>
    <row r="23" spans="1:17">
      <c r="A23" s="220">
        <v>17</v>
      </c>
      <c r="B23" s="292">
        <v>4.8391203703703707E-2</v>
      </c>
      <c r="C23" s="227">
        <f t="shared" si="2"/>
        <v>69.683333333333337</v>
      </c>
      <c r="D23" s="227">
        <f t="shared" si="0"/>
        <v>55.749817730418812</v>
      </c>
      <c r="E23" s="232">
        <f>'10K'!$E23*(1-$K$2)+H.Marathon!$E23*$K$2</f>
        <v>0.97459212505527892</v>
      </c>
      <c r="F23" s="274">
        <f t="shared" si="1"/>
        <v>80.004521976204927</v>
      </c>
      <c r="G23" s="220">
        <v>17</v>
      </c>
      <c r="H23" s="282" t="s">
        <v>574</v>
      </c>
      <c r="I23" s="246">
        <v>4181</v>
      </c>
      <c r="J23" s="241" t="s">
        <v>575</v>
      </c>
      <c r="K23" s="241" t="s">
        <v>576</v>
      </c>
      <c r="L23" s="241" t="s">
        <v>163</v>
      </c>
      <c r="M23" s="249">
        <v>32267</v>
      </c>
      <c r="N23" s="242"/>
      <c r="O23" s="241" t="s">
        <v>577</v>
      </c>
      <c r="P23" s="249">
        <v>38838</v>
      </c>
      <c r="Q23" s="242"/>
    </row>
    <row r="24" spans="1:17">
      <c r="A24" s="220">
        <v>18</v>
      </c>
      <c r="B24" s="292">
        <v>4.6192129629629632E-2</v>
      </c>
      <c r="C24" s="227">
        <f t="shared" si="2"/>
        <v>66.516666666666666</v>
      </c>
      <c r="D24" s="227">
        <f t="shared" si="0"/>
        <v>55.173570671418751</v>
      </c>
      <c r="E24" s="232">
        <f>'10K'!$E24*(1-$K$2)+H.Marathon!$E24*$K$2</f>
        <v>0.98477101757489338</v>
      </c>
      <c r="F24" s="274">
        <f t="shared" si="1"/>
        <v>82.946986727264473</v>
      </c>
      <c r="G24" s="220">
        <v>18</v>
      </c>
      <c r="H24" s="282" t="s">
        <v>578</v>
      </c>
      <c r="I24" s="246">
        <v>3991</v>
      </c>
      <c r="J24" s="241" t="s">
        <v>579</v>
      </c>
      <c r="K24" s="241" t="s">
        <v>580</v>
      </c>
      <c r="L24" s="241" t="s">
        <v>158</v>
      </c>
      <c r="M24" s="249">
        <v>29647</v>
      </c>
      <c r="N24" s="242"/>
      <c r="O24" s="241" t="s">
        <v>319</v>
      </c>
      <c r="P24" s="249">
        <v>36478</v>
      </c>
      <c r="Q24" s="242"/>
    </row>
    <row r="25" spans="1:17">
      <c r="A25" s="220">
        <v>19</v>
      </c>
      <c r="B25" s="292">
        <v>4.611111111111111E-2</v>
      </c>
      <c r="C25" s="227">
        <f t="shared" si="2"/>
        <v>66.399999999999991</v>
      </c>
      <c r="D25" s="227">
        <f t="shared" si="0"/>
        <v>54.62482878698809</v>
      </c>
      <c r="E25" s="232">
        <f>'10K'!$E25*(1-$K$2)+H.Marathon!$E25*$K$2</f>
        <v>0.99466368206312461</v>
      </c>
      <c r="F25" s="274">
        <f t="shared" si="1"/>
        <v>82.266308414138706</v>
      </c>
      <c r="G25" s="220">
        <v>19</v>
      </c>
      <c r="H25" s="282" t="s">
        <v>581</v>
      </c>
      <c r="I25" s="246">
        <v>3984</v>
      </c>
      <c r="J25" s="241" t="s">
        <v>582</v>
      </c>
      <c r="K25" s="241" t="s">
        <v>583</v>
      </c>
      <c r="L25" s="241" t="s">
        <v>163</v>
      </c>
      <c r="M25" s="249">
        <v>35364</v>
      </c>
      <c r="N25" s="242"/>
      <c r="O25" s="241" t="s">
        <v>335</v>
      </c>
      <c r="P25" s="249">
        <v>42652</v>
      </c>
      <c r="Q25" s="242"/>
    </row>
    <row r="26" spans="1:17">
      <c r="A26" s="220">
        <v>20</v>
      </c>
      <c r="B26" s="292">
        <v>4.5555555555555557E-2</v>
      </c>
      <c r="C26" s="227">
        <f t="shared" si="2"/>
        <v>65.600000000000009</v>
      </c>
      <c r="D26" s="227">
        <f t="shared" si="0"/>
        <v>54.345777561273621</v>
      </c>
      <c r="E26" s="232">
        <f>'10K'!$E26*(1-$K$2)+H.Marathon!$E26*$K$2</f>
        <v>0.99977101757489339</v>
      </c>
      <c r="F26" s="274">
        <f t="shared" si="1"/>
        <v>82.844173111697586</v>
      </c>
      <c r="G26" s="220">
        <v>20</v>
      </c>
      <c r="H26" s="282" t="s">
        <v>584</v>
      </c>
      <c r="I26" s="246">
        <v>3936</v>
      </c>
      <c r="J26" s="241" t="s">
        <v>585</v>
      </c>
      <c r="K26" s="241" t="s">
        <v>586</v>
      </c>
      <c r="L26" s="241" t="s">
        <v>158</v>
      </c>
      <c r="M26" s="249">
        <v>31503</v>
      </c>
      <c r="N26" s="242"/>
      <c r="O26" s="241" t="s">
        <v>587</v>
      </c>
      <c r="P26" s="249">
        <v>38998</v>
      </c>
      <c r="Q26" s="242"/>
    </row>
    <row r="27" spans="1:17">
      <c r="A27" s="220">
        <v>21</v>
      </c>
      <c r="B27" s="292">
        <v>4.4895833333333336E-2</v>
      </c>
      <c r="C27" s="227">
        <f t="shared" si="2"/>
        <v>64.650000000000006</v>
      </c>
      <c r="D27" s="227">
        <f t="shared" si="0"/>
        <v>54.333333333333336</v>
      </c>
      <c r="E27" s="232">
        <f>'10K'!$E27*(1-$K$2)+H.Marathon!$E27*$K$2</f>
        <v>1</v>
      </c>
      <c r="F27" s="274">
        <f t="shared" si="1"/>
        <v>84.042278937870591</v>
      </c>
      <c r="G27" s="220">
        <v>21</v>
      </c>
      <c r="H27" s="282" t="s">
        <v>588</v>
      </c>
      <c r="I27" s="246">
        <v>3879</v>
      </c>
      <c r="J27" s="241" t="s">
        <v>589</v>
      </c>
      <c r="K27" s="241" t="s">
        <v>590</v>
      </c>
      <c r="L27" s="241" t="s">
        <v>163</v>
      </c>
      <c r="M27" s="249">
        <v>34830</v>
      </c>
      <c r="N27" s="242"/>
      <c r="O27" s="241" t="s">
        <v>321</v>
      </c>
      <c r="P27" s="249">
        <v>42631</v>
      </c>
      <c r="Q27" s="242"/>
    </row>
    <row r="28" spans="1:17">
      <c r="A28" s="220">
        <v>22</v>
      </c>
      <c r="B28" s="292">
        <v>4.4594907407407409E-2</v>
      </c>
      <c r="C28" s="227">
        <f t="shared" si="2"/>
        <v>64.216666666666669</v>
      </c>
      <c r="D28" s="227">
        <f t="shared" si="0"/>
        <v>54.333333333333336</v>
      </c>
      <c r="E28" s="232">
        <f>'10K'!$E28*(1-$K$2)+H.Marathon!$E28*$K$2</f>
        <v>1</v>
      </c>
      <c r="F28" s="274">
        <f t="shared" si="1"/>
        <v>84.609395276407994</v>
      </c>
      <c r="G28" s="220">
        <v>22</v>
      </c>
      <c r="H28" s="282" t="s">
        <v>591</v>
      </c>
      <c r="I28" s="246">
        <v>3853</v>
      </c>
      <c r="J28" s="241" t="s">
        <v>262</v>
      </c>
      <c r="K28" s="241" t="s">
        <v>592</v>
      </c>
      <c r="L28" s="241" t="s">
        <v>160</v>
      </c>
      <c r="M28" s="249">
        <v>34239</v>
      </c>
      <c r="N28" s="242"/>
      <c r="O28" s="241" t="s">
        <v>328</v>
      </c>
      <c r="P28" s="249">
        <v>42455</v>
      </c>
      <c r="Q28" s="242"/>
    </row>
    <row r="29" spans="1:17" ht="15.75">
      <c r="A29" s="220">
        <v>23</v>
      </c>
      <c r="B29" s="292">
        <v>4.2650462962962966E-2</v>
      </c>
      <c r="C29" s="227">
        <f t="shared" si="2"/>
        <v>61.416666666666671</v>
      </c>
      <c r="D29" s="227">
        <f t="shared" si="0"/>
        <v>54.333333333333336</v>
      </c>
      <c r="E29" s="232">
        <f>'10K'!$E29*(1-$K$2)+H.Marathon!$E29*$K$2</f>
        <v>1</v>
      </c>
      <c r="F29" s="274">
        <f t="shared" si="1"/>
        <v>88.466757123473542</v>
      </c>
      <c r="G29" s="220">
        <v>23</v>
      </c>
      <c r="H29" s="294" t="s">
        <v>593</v>
      </c>
      <c r="I29" s="257">
        <v>3685</v>
      </c>
      <c r="J29" s="255" t="s">
        <v>594</v>
      </c>
      <c r="K29" s="255" t="s">
        <v>595</v>
      </c>
      <c r="L29" s="255" t="s">
        <v>160</v>
      </c>
      <c r="M29" s="239">
        <v>34311</v>
      </c>
      <c r="N29" s="256"/>
      <c r="O29" s="255" t="s">
        <v>596</v>
      </c>
      <c r="P29" s="281">
        <v>42826</v>
      </c>
      <c r="Q29" s="295" t="s">
        <v>597</v>
      </c>
    </row>
    <row r="30" spans="1:17">
      <c r="A30" s="220">
        <v>24</v>
      </c>
      <c r="B30" s="292">
        <v>4.5509259259259256E-2</v>
      </c>
      <c r="C30" s="227">
        <f t="shared" si="2"/>
        <v>65.533333333333331</v>
      </c>
      <c r="D30" s="227">
        <f t="shared" si="0"/>
        <v>54.333333333333336</v>
      </c>
      <c r="E30" s="232">
        <f>'10K'!$E30*(1-$K$2)+H.Marathon!$E30*$K$2</f>
        <v>1</v>
      </c>
      <c r="F30" s="274">
        <f t="shared" si="1"/>
        <v>82.909460834181075</v>
      </c>
      <c r="G30" s="220">
        <v>24</v>
      </c>
      <c r="H30" s="282" t="s">
        <v>598</v>
      </c>
      <c r="I30" s="246">
        <v>3932</v>
      </c>
      <c r="J30" s="241" t="s">
        <v>599</v>
      </c>
      <c r="K30" s="241" t="s">
        <v>600</v>
      </c>
      <c r="L30" s="241" t="s">
        <v>158</v>
      </c>
      <c r="M30" s="249">
        <v>30035</v>
      </c>
      <c r="N30" s="242"/>
      <c r="O30" s="241" t="s">
        <v>587</v>
      </c>
      <c r="P30" s="249">
        <v>38998</v>
      </c>
      <c r="Q30" s="242"/>
    </row>
    <row r="31" spans="1:17">
      <c r="A31" s="220">
        <v>25</v>
      </c>
      <c r="B31" s="292">
        <v>4.4293981481481483E-2</v>
      </c>
      <c r="C31" s="227">
        <f t="shared" si="2"/>
        <v>63.783333333333339</v>
      </c>
      <c r="D31" s="227">
        <f t="shared" si="0"/>
        <v>54.333333333333336</v>
      </c>
      <c r="E31" s="232">
        <f>'10K'!$E31*(1-$K$2)+H.Marathon!$E31*$K$2</f>
        <v>1</v>
      </c>
      <c r="F31" s="274">
        <f t="shared" si="1"/>
        <v>85.184217402665269</v>
      </c>
      <c r="G31" s="220">
        <v>25</v>
      </c>
      <c r="H31" s="282" t="s">
        <v>601</v>
      </c>
      <c r="I31" s="246">
        <v>3827</v>
      </c>
      <c r="J31" s="241" t="s">
        <v>437</v>
      </c>
      <c r="K31" s="241" t="s">
        <v>438</v>
      </c>
      <c r="L31" s="241" t="s">
        <v>160</v>
      </c>
      <c r="M31" s="249">
        <v>29632</v>
      </c>
      <c r="N31" s="242"/>
      <c r="O31" s="241" t="s">
        <v>587</v>
      </c>
      <c r="P31" s="249">
        <v>38998</v>
      </c>
      <c r="Q31" s="242"/>
    </row>
    <row r="32" spans="1:17">
      <c r="A32" s="220">
        <v>26</v>
      </c>
      <c r="B32" s="292">
        <v>4.4374999999999998E-2</v>
      </c>
      <c r="C32" s="227">
        <f t="shared" si="2"/>
        <v>63.9</v>
      </c>
      <c r="D32" s="227">
        <f t="shared" si="0"/>
        <v>54.333333333333336</v>
      </c>
      <c r="E32" s="232">
        <f>'10K'!$E32*(1-$K$2)+H.Marathon!$E32*$K$2</f>
        <v>1</v>
      </c>
      <c r="F32" s="274">
        <f t="shared" si="1"/>
        <v>85.028690662493489</v>
      </c>
      <c r="G32" s="220">
        <v>26</v>
      </c>
      <c r="H32" s="282" t="s">
        <v>602</v>
      </c>
      <c r="I32" s="246">
        <v>3834</v>
      </c>
      <c r="J32" s="241" t="s">
        <v>178</v>
      </c>
      <c r="K32" s="241" t="s">
        <v>603</v>
      </c>
      <c r="L32" s="241" t="s">
        <v>179</v>
      </c>
      <c r="M32" s="249">
        <v>27150</v>
      </c>
      <c r="N32" s="242"/>
      <c r="O32" s="241" t="s">
        <v>604</v>
      </c>
      <c r="P32" s="249">
        <v>36961</v>
      </c>
      <c r="Q32" s="242"/>
    </row>
    <row r="33" spans="1:17">
      <c r="A33" s="220">
        <v>27</v>
      </c>
      <c r="B33" s="292">
        <v>4.4664351851851851E-2</v>
      </c>
      <c r="C33" s="227">
        <f t="shared" si="2"/>
        <v>64.316666666666663</v>
      </c>
      <c r="D33" s="227">
        <f t="shared" si="0"/>
        <v>54.333333333333336</v>
      </c>
      <c r="E33" s="232">
        <f>'10K'!$E33*(1-$K$2)+H.Marathon!$E33*$K$2</f>
        <v>1</v>
      </c>
      <c r="F33" s="274">
        <f t="shared" si="1"/>
        <v>84.477844001036544</v>
      </c>
      <c r="G33" s="220">
        <v>27</v>
      </c>
      <c r="H33" s="282" t="s">
        <v>605</v>
      </c>
      <c r="I33" s="246">
        <v>3859</v>
      </c>
      <c r="J33" s="241" t="s">
        <v>188</v>
      </c>
      <c r="K33" s="241" t="s">
        <v>606</v>
      </c>
      <c r="L33" s="241" t="s">
        <v>160</v>
      </c>
      <c r="M33" s="249">
        <v>32494</v>
      </c>
      <c r="N33" s="242"/>
      <c r="O33" s="241" t="s">
        <v>328</v>
      </c>
      <c r="P33" s="249">
        <v>42455</v>
      </c>
      <c r="Q33" s="242"/>
    </row>
    <row r="34" spans="1:17">
      <c r="A34" s="220">
        <v>28</v>
      </c>
      <c r="B34" s="292">
        <v>4.6296296296296294E-2</v>
      </c>
      <c r="C34" s="227">
        <f t="shared" si="2"/>
        <v>66.666666666666657</v>
      </c>
      <c r="D34" s="227">
        <f t="shared" si="0"/>
        <v>54.334110930613768</v>
      </c>
      <c r="E34" s="232">
        <f>'10K'!$E34*(1-$K$2)+H.Marathon!$E34*$K$2</f>
        <v>0.99998568859843084</v>
      </c>
      <c r="F34" s="274">
        <f t="shared" si="1"/>
        <v>81.501166395920663</v>
      </c>
      <c r="G34" s="220">
        <v>28</v>
      </c>
      <c r="H34" s="282" t="s">
        <v>607</v>
      </c>
      <c r="I34" s="246">
        <v>4000</v>
      </c>
      <c r="J34" s="241" t="s">
        <v>204</v>
      </c>
      <c r="K34" s="241" t="s">
        <v>608</v>
      </c>
      <c r="L34" s="241" t="s">
        <v>160</v>
      </c>
      <c r="M34" s="249">
        <v>25878</v>
      </c>
      <c r="N34" s="242"/>
      <c r="O34" s="241" t="s">
        <v>604</v>
      </c>
      <c r="P34" s="249">
        <v>36232</v>
      </c>
      <c r="Q34" s="242"/>
    </row>
    <row r="35" spans="1:17">
      <c r="A35" s="220">
        <v>29</v>
      </c>
      <c r="B35" s="292">
        <v>4.5173611111111109E-2</v>
      </c>
      <c r="C35" s="227">
        <f t="shared" si="2"/>
        <v>65.05</v>
      </c>
      <c r="D35" s="227">
        <f t="shared" si="0"/>
        <v>54.337221542321558</v>
      </c>
      <c r="E35" s="232">
        <f>'10K'!$E35*(1-$K$2)+H.Marathon!$E35*$K$2</f>
        <v>0.99992844299215422</v>
      </c>
      <c r="F35" s="274">
        <f t="shared" si="1"/>
        <v>83.531470472438983</v>
      </c>
      <c r="G35" s="220">
        <v>29</v>
      </c>
      <c r="H35" s="282" t="s">
        <v>609</v>
      </c>
      <c r="I35" s="246">
        <v>3903</v>
      </c>
      <c r="J35" s="241" t="s">
        <v>610</v>
      </c>
      <c r="K35" s="241" t="s">
        <v>592</v>
      </c>
      <c r="L35" s="241" t="s">
        <v>160</v>
      </c>
      <c r="M35" s="249">
        <v>30890</v>
      </c>
      <c r="N35" s="242"/>
      <c r="O35" s="241" t="s">
        <v>335</v>
      </c>
      <c r="P35" s="249">
        <v>41560</v>
      </c>
      <c r="Q35" s="242"/>
    </row>
    <row r="36" spans="1:17">
      <c r="A36" s="220">
        <v>30</v>
      </c>
      <c r="B36" s="292">
        <v>4.5486111111111109E-2</v>
      </c>
      <c r="C36" s="227">
        <f t="shared" si="2"/>
        <v>65.5</v>
      </c>
      <c r="D36" s="227">
        <f t="shared" si="0"/>
        <v>54.341888127746586</v>
      </c>
      <c r="E36" s="232">
        <f>'10K'!$E36*(1-$K$2)+H.Marathon!$E36*$K$2</f>
        <v>0.99984257458273917</v>
      </c>
      <c r="F36" s="274">
        <f t="shared" si="1"/>
        <v>82.964714698849747</v>
      </c>
      <c r="G36" s="220">
        <v>30</v>
      </c>
      <c r="H36" s="282" t="s">
        <v>611</v>
      </c>
      <c r="I36" s="246">
        <v>3930</v>
      </c>
      <c r="J36" s="241" t="s">
        <v>612</v>
      </c>
      <c r="K36" s="241" t="s">
        <v>613</v>
      </c>
      <c r="L36" s="241" t="s">
        <v>160</v>
      </c>
      <c r="M36" s="249">
        <v>28908</v>
      </c>
      <c r="N36" s="242"/>
      <c r="O36" s="241" t="s">
        <v>335</v>
      </c>
      <c r="P36" s="249">
        <v>40097</v>
      </c>
      <c r="Q36" s="242"/>
    </row>
    <row r="37" spans="1:17">
      <c r="A37" s="220">
        <v>31</v>
      </c>
      <c r="B37" s="292">
        <v>4.5624999999999999E-2</v>
      </c>
      <c r="C37" s="227">
        <f t="shared" si="2"/>
        <v>65.7</v>
      </c>
      <c r="D37" s="227">
        <f t="shared" si="0"/>
        <v>54.348889508985359</v>
      </c>
      <c r="E37" s="232">
        <f>'10K'!$E37*(1-$K$2)+H.Marathon!$E37*$K$2</f>
        <v>0.99971377196861677</v>
      </c>
      <c r="F37" s="274">
        <f t="shared" si="1"/>
        <v>82.72281508216949</v>
      </c>
      <c r="G37" s="220">
        <v>31</v>
      </c>
      <c r="H37" s="282" t="s">
        <v>614</v>
      </c>
      <c r="I37" s="246">
        <v>3942</v>
      </c>
      <c r="J37" s="241" t="s">
        <v>615</v>
      </c>
      <c r="K37" s="241" t="s">
        <v>616</v>
      </c>
      <c r="L37" s="241" t="s">
        <v>201</v>
      </c>
      <c r="M37" s="249">
        <v>27544</v>
      </c>
      <c r="N37" s="242"/>
      <c r="O37" s="241" t="s">
        <v>587</v>
      </c>
      <c r="P37" s="249">
        <v>38998</v>
      </c>
      <c r="Q37" s="242"/>
    </row>
    <row r="38" spans="1:17">
      <c r="A38" s="220">
        <v>32</v>
      </c>
      <c r="B38" s="292">
        <v>4.3993055555555556E-2</v>
      </c>
      <c r="C38" s="227">
        <f t="shared" si="2"/>
        <v>63.35</v>
      </c>
      <c r="D38" s="227">
        <f t="shared" si="0"/>
        <v>54.367549117989697</v>
      </c>
      <c r="E38" s="232">
        <f>'10K'!$E38*(1-$K$2)+H.Marathon!$E38*$K$2</f>
        <v>0.99937065795292512</v>
      </c>
      <c r="F38" s="274">
        <f t="shared" si="1"/>
        <v>85.820914156258397</v>
      </c>
      <c r="G38" s="220">
        <v>32</v>
      </c>
      <c r="H38" s="282" t="s">
        <v>617</v>
      </c>
      <c r="I38" s="246">
        <v>3801</v>
      </c>
      <c r="J38" s="241" t="s">
        <v>178</v>
      </c>
      <c r="K38" s="241" t="s">
        <v>603</v>
      </c>
      <c r="L38" s="241" t="s">
        <v>179</v>
      </c>
      <c r="M38" s="249">
        <v>27150</v>
      </c>
      <c r="N38" s="242"/>
      <c r="O38" s="241" t="s">
        <v>587</v>
      </c>
      <c r="P38" s="249">
        <v>38998</v>
      </c>
      <c r="Q38" s="242"/>
    </row>
    <row r="39" spans="1:17">
      <c r="A39" s="220">
        <v>33</v>
      </c>
      <c r="B39" s="292">
        <v>4.6574074074074073E-2</v>
      </c>
      <c r="C39" s="227">
        <f t="shared" si="2"/>
        <v>67.066666666666663</v>
      </c>
      <c r="D39" s="227">
        <f t="shared" si="0"/>
        <v>54.439153971449052</v>
      </c>
      <c r="E39" s="232">
        <f>'10K'!$E39*(1-$K$2)+H.Marathon!$E39*$K$2</f>
        <v>0.9980561667403719</v>
      </c>
      <c r="F39" s="274">
        <f t="shared" si="1"/>
        <v>81.171700752657642</v>
      </c>
      <c r="G39" s="220">
        <v>33</v>
      </c>
      <c r="H39" s="282" t="s">
        <v>618</v>
      </c>
      <c r="I39" s="246">
        <v>4024</v>
      </c>
      <c r="J39" s="241" t="s">
        <v>619</v>
      </c>
      <c r="K39" s="241" t="s">
        <v>620</v>
      </c>
      <c r="L39" s="241" t="s">
        <v>302</v>
      </c>
      <c r="M39" s="249">
        <v>30264</v>
      </c>
      <c r="N39" s="242"/>
      <c r="O39" s="241" t="s">
        <v>328</v>
      </c>
      <c r="P39" s="249">
        <v>42455</v>
      </c>
      <c r="Q39" s="242"/>
    </row>
    <row r="40" spans="1:17">
      <c r="A40" s="220">
        <v>34</v>
      </c>
      <c r="B40" s="292">
        <v>4.5266203703703704E-2</v>
      </c>
      <c r="C40" s="227">
        <f t="shared" si="2"/>
        <v>65.183333333333337</v>
      </c>
      <c r="D40" s="227">
        <f t="shared" si="0"/>
        <v>54.558252236124602</v>
      </c>
      <c r="E40" s="232">
        <f>'10K'!$E40*(1-$K$2)+H.Marathon!$E40*$K$2</f>
        <v>0.99587745403174155</v>
      </c>
      <c r="F40" s="274">
        <f t="shared" si="1"/>
        <v>83.699696603617397</v>
      </c>
      <c r="G40" s="220">
        <v>34</v>
      </c>
      <c r="H40" s="282" t="s">
        <v>621</v>
      </c>
      <c r="I40" s="246">
        <v>3911</v>
      </c>
      <c r="J40" s="241" t="s">
        <v>186</v>
      </c>
      <c r="K40" s="241" t="s">
        <v>187</v>
      </c>
      <c r="L40" s="241" t="s">
        <v>155</v>
      </c>
      <c r="M40" s="249">
        <v>23483</v>
      </c>
      <c r="N40" s="241" t="s">
        <v>622</v>
      </c>
      <c r="O40" s="241" t="s">
        <v>623</v>
      </c>
      <c r="P40" s="249">
        <v>36045</v>
      </c>
      <c r="Q40" s="242"/>
    </row>
    <row r="41" spans="1:17">
      <c r="A41" s="220">
        <v>35</v>
      </c>
      <c r="B41" s="292">
        <v>4.6666666666666669E-2</v>
      </c>
      <c r="C41" s="227">
        <f t="shared" si="2"/>
        <v>67.2</v>
      </c>
      <c r="D41" s="227">
        <f t="shared" si="0"/>
        <v>54.726256448286591</v>
      </c>
      <c r="E41" s="232">
        <f>'10K'!$E41*(1-$K$2)+H.Marathon!$E41*$K$2</f>
        <v>0.99282020842546492</v>
      </c>
      <c r="F41" s="274">
        <f t="shared" si="1"/>
        <v>81.437881619474098</v>
      </c>
      <c r="G41" s="220">
        <v>35</v>
      </c>
      <c r="H41" s="282" t="s">
        <v>624</v>
      </c>
      <c r="I41" s="246">
        <v>4032</v>
      </c>
      <c r="J41" s="241" t="s">
        <v>625</v>
      </c>
      <c r="K41" s="241" t="s">
        <v>626</v>
      </c>
      <c r="L41" s="241" t="s">
        <v>179</v>
      </c>
      <c r="M41" s="249">
        <v>23469</v>
      </c>
      <c r="N41" s="242"/>
      <c r="O41" s="241" t="s">
        <v>604</v>
      </c>
      <c r="P41" s="249">
        <v>36597</v>
      </c>
      <c r="Q41" s="242"/>
    </row>
    <row r="42" spans="1:17">
      <c r="A42" s="220">
        <v>36</v>
      </c>
      <c r="B42" s="292">
        <v>4.4016203703703703E-2</v>
      </c>
      <c r="C42" s="227">
        <f t="shared" si="2"/>
        <v>63.383333333333333</v>
      </c>
      <c r="D42" s="227">
        <f t="shared" si="0"/>
        <v>54.948431736567912</v>
      </c>
      <c r="E42" s="232">
        <f>'10K'!$E42*(1-$K$2)+H.Marathon!$E42*$K$2</f>
        <v>0.98880589702389576</v>
      </c>
      <c r="F42" s="274">
        <f t="shared" si="1"/>
        <v>86.692240446859714</v>
      </c>
      <c r="G42" s="220">
        <v>36</v>
      </c>
      <c r="H42" s="282" t="s">
        <v>627</v>
      </c>
      <c r="I42" s="246">
        <v>3803</v>
      </c>
      <c r="J42" s="241" t="s">
        <v>628</v>
      </c>
      <c r="K42" s="241" t="s">
        <v>629</v>
      </c>
      <c r="L42" s="241" t="s">
        <v>630</v>
      </c>
      <c r="M42" s="249">
        <v>25591</v>
      </c>
      <c r="N42" s="242"/>
      <c r="O42" s="241" t="s">
        <v>587</v>
      </c>
      <c r="P42" s="249">
        <v>38998</v>
      </c>
      <c r="Q42" s="242"/>
    </row>
    <row r="43" spans="1:17">
      <c r="A43" s="220">
        <v>37</v>
      </c>
      <c r="B43" s="292">
        <v>4.6539351851851853E-2</v>
      </c>
      <c r="C43" s="227">
        <f t="shared" si="2"/>
        <v>67.016666666666666</v>
      </c>
      <c r="D43" s="227">
        <f t="shared" ref="D43:D74" si="3">E$4/E43</f>
        <v>55.221681613910818</v>
      </c>
      <c r="E43" s="232">
        <f>'10K'!$E43*(1-$K$2)+H.Marathon!$E43*$K$2</f>
        <v>0.98391305272468021</v>
      </c>
      <c r="F43" s="274">
        <f t="shared" si="1"/>
        <v>82.399922826029567</v>
      </c>
      <c r="G43" s="220">
        <v>37</v>
      </c>
      <c r="H43" s="282" t="s">
        <v>631</v>
      </c>
      <c r="I43" s="246">
        <v>4021</v>
      </c>
      <c r="J43" s="241" t="s">
        <v>632</v>
      </c>
      <c r="K43" s="241" t="s">
        <v>633</v>
      </c>
      <c r="L43" s="241" t="s">
        <v>155</v>
      </c>
      <c r="M43" s="249">
        <v>28724</v>
      </c>
      <c r="N43" s="242"/>
      <c r="O43" s="241" t="s">
        <v>328</v>
      </c>
      <c r="P43" s="249">
        <v>42455</v>
      </c>
      <c r="Q43" s="242"/>
    </row>
    <row r="44" spans="1:17">
      <c r="A44" s="220">
        <v>38</v>
      </c>
      <c r="B44" s="292">
        <v>4.7141203703703706E-2</v>
      </c>
      <c r="C44" s="227">
        <f t="shared" si="2"/>
        <v>67.88333333333334</v>
      </c>
      <c r="D44" s="227">
        <f t="shared" si="3"/>
        <v>55.551968952865437</v>
      </c>
      <c r="E44" s="232">
        <f>'10K'!$E44*(1-$K$2)+H.Marathon!$E44*$K$2</f>
        <v>0.97806314263017236</v>
      </c>
      <c r="F44" s="274">
        <f t="shared" si="1"/>
        <v>81.834474273801277</v>
      </c>
      <c r="G44" s="220">
        <v>38</v>
      </c>
      <c r="H44" s="282" t="s">
        <v>634</v>
      </c>
      <c r="I44" s="246">
        <v>4073</v>
      </c>
      <c r="J44" s="241" t="s">
        <v>186</v>
      </c>
      <c r="K44" s="241" t="s">
        <v>187</v>
      </c>
      <c r="L44" s="241" t="s">
        <v>155</v>
      </c>
      <c r="M44" s="249">
        <v>23483</v>
      </c>
      <c r="N44" s="241" t="s">
        <v>622</v>
      </c>
      <c r="O44" s="241" t="s">
        <v>623</v>
      </c>
      <c r="P44" s="249">
        <v>37501</v>
      </c>
      <c r="Q44" s="242"/>
    </row>
    <row r="45" spans="1:17">
      <c r="A45" s="220">
        <v>39</v>
      </c>
      <c r="B45" s="292">
        <v>4.5381944444444447E-2</v>
      </c>
      <c r="C45" s="227">
        <f t="shared" si="2"/>
        <v>65.350000000000009</v>
      </c>
      <c r="D45" s="227">
        <f t="shared" si="3"/>
        <v>55.936777872324996</v>
      </c>
      <c r="E45" s="232">
        <f>'10K'!$E45*(1-$K$2)+H.Marathon!$E45*$K$2</f>
        <v>0.97133469963801811</v>
      </c>
      <c r="F45" s="274">
        <f t="shared" ref="F45:F76" si="4">100*(D45/C45)</f>
        <v>85.595681518477406</v>
      </c>
      <c r="G45" s="220">
        <v>39</v>
      </c>
      <c r="H45" s="282" t="s">
        <v>635</v>
      </c>
      <c r="I45" s="246">
        <v>3921</v>
      </c>
      <c r="J45" s="241" t="s">
        <v>189</v>
      </c>
      <c r="K45" s="241" t="s">
        <v>190</v>
      </c>
      <c r="L45" s="241" t="s">
        <v>160</v>
      </c>
      <c r="M45" s="249">
        <v>24566</v>
      </c>
      <c r="N45" s="242"/>
      <c r="O45" s="241" t="s">
        <v>587</v>
      </c>
      <c r="P45" s="249">
        <v>38998</v>
      </c>
      <c r="Q45" s="242"/>
    </row>
    <row r="46" spans="1:17">
      <c r="A46" s="220">
        <v>40</v>
      </c>
      <c r="B46" s="292">
        <v>4.7905092592592589E-2</v>
      </c>
      <c r="C46" s="227">
        <f t="shared" si="2"/>
        <v>68.983333333333334</v>
      </c>
      <c r="D46" s="227">
        <f t="shared" si="3"/>
        <v>56.377465495617543</v>
      </c>
      <c r="E46" s="232">
        <f>'10K'!$E46*(1-$K$2)+H.Marathon!$E46*$K$2</f>
        <v>0.96374203514978685</v>
      </c>
      <c r="F46" s="274">
        <f t="shared" si="4"/>
        <v>81.726212363784782</v>
      </c>
      <c r="G46" s="220">
        <v>40</v>
      </c>
      <c r="H46" s="282" t="s">
        <v>636</v>
      </c>
      <c r="I46" s="246">
        <v>4139</v>
      </c>
      <c r="J46" s="241" t="s">
        <v>637</v>
      </c>
      <c r="K46" s="241" t="s">
        <v>638</v>
      </c>
      <c r="L46" s="241" t="s">
        <v>155</v>
      </c>
      <c r="M46" s="249">
        <v>27599</v>
      </c>
      <c r="N46" s="241" t="s">
        <v>622</v>
      </c>
      <c r="O46" s="241" t="s">
        <v>623</v>
      </c>
      <c r="P46" s="249">
        <v>42254</v>
      </c>
      <c r="Q46" s="242"/>
    </row>
    <row r="47" spans="1:17">
      <c r="A47" s="220">
        <v>41</v>
      </c>
      <c r="B47" s="292">
        <v>4.5740740740740742E-2</v>
      </c>
      <c r="C47" s="227">
        <f t="shared" si="2"/>
        <v>65.866666666666674</v>
      </c>
      <c r="D47" s="227">
        <f t="shared" si="3"/>
        <v>56.833222643527606</v>
      </c>
      <c r="E47" s="232">
        <f>'10K'!$E47*(1-$K$2)+H.Marathon!$E47*$K$2</f>
        <v>0.95601359215763271</v>
      </c>
      <c r="F47" s="274">
        <f t="shared" si="4"/>
        <v>86.285257049890077</v>
      </c>
      <c r="G47" s="220">
        <v>41</v>
      </c>
      <c r="H47" s="282" t="s">
        <v>312</v>
      </c>
      <c r="I47" s="246">
        <v>3952</v>
      </c>
      <c r="J47" s="220" t="s">
        <v>193</v>
      </c>
      <c r="K47" s="220" t="s">
        <v>194</v>
      </c>
      <c r="L47" s="241" t="s">
        <v>155</v>
      </c>
      <c r="M47" s="249">
        <v>26709</v>
      </c>
      <c r="N47" s="220" t="s">
        <v>639</v>
      </c>
      <c r="O47" s="241" t="s">
        <v>640</v>
      </c>
      <c r="P47" s="243">
        <v>41903</v>
      </c>
      <c r="Q47" s="242"/>
    </row>
    <row r="48" spans="1:17">
      <c r="A48" s="220">
        <v>42</v>
      </c>
      <c r="B48" s="292">
        <v>4.8194444444444443E-2</v>
      </c>
      <c r="C48" s="227">
        <f t="shared" si="2"/>
        <v>69.399999999999991</v>
      </c>
      <c r="D48" s="227">
        <f t="shared" si="3"/>
        <v>57.292528486027408</v>
      </c>
      <c r="E48" s="232">
        <f>'10K'!$E48*(1-$K$2)+H.Marathon!$E48*$K$2</f>
        <v>0.94834937066155556</v>
      </c>
      <c r="F48" s="274">
        <f t="shared" si="4"/>
        <v>82.554075628281581</v>
      </c>
      <c r="G48" s="220">
        <v>42</v>
      </c>
      <c r="H48" s="282" t="s">
        <v>641</v>
      </c>
      <c r="I48" s="246">
        <v>4164</v>
      </c>
      <c r="J48" s="241" t="s">
        <v>287</v>
      </c>
      <c r="K48" s="220" t="s">
        <v>288</v>
      </c>
      <c r="L48" s="241" t="s">
        <v>155</v>
      </c>
      <c r="M48" s="249">
        <v>24103</v>
      </c>
      <c r="N48" s="241" t="s">
        <v>622</v>
      </c>
      <c r="O48" s="241" t="s">
        <v>623</v>
      </c>
      <c r="P48" s="249">
        <v>39692</v>
      </c>
      <c r="Q48" s="242"/>
    </row>
    <row r="49" spans="1:17">
      <c r="A49" s="220">
        <v>43</v>
      </c>
      <c r="B49" s="292">
        <v>4.9641203703703701E-2</v>
      </c>
      <c r="C49" s="227">
        <f t="shared" si="2"/>
        <v>71.483333333333334</v>
      </c>
      <c r="D49" s="227">
        <f t="shared" si="3"/>
        <v>57.766338431780547</v>
      </c>
      <c r="E49" s="232">
        <f>'10K'!$E49*(1-$K$2)+H.Marathon!$E49*$K$2</f>
        <v>0.94057083776390926</v>
      </c>
      <c r="F49" s="274">
        <f t="shared" si="4"/>
        <v>80.810918766771579</v>
      </c>
      <c r="G49" s="220">
        <v>43</v>
      </c>
      <c r="H49" s="282" t="s">
        <v>642</v>
      </c>
      <c r="I49" s="246">
        <v>4289</v>
      </c>
      <c r="J49" s="241" t="s">
        <v>199</v>
      </c>
      <c r="K49" s="241" t="s">
        <v>200</v>
      </c>
      <c r="L49" s="241" t="s">
        <v>201</v>
      </c>
      <c r="M49" s="249">
        <v>20152</v>
      </c>
      <c r="N49" s="241" t="s">
        <v>622</v>
      </c>
      <c r="O49" s="241" t="s">
        <v>623</v>
      </c>
      <c r="P49" s="249">
        <v>36045</v>
      </c>
      <c r="Q49" s="242"/>
    </row>
    <row r="50" spans="1:17">
      <c r="A50" s="220">
        <v>44</v>
      </c>
      <c r="B50" s="292">
        <v>4.777777777777778E-2</v>
      </c>
      <c r="C50" s="227">
        <f t="shared" si="2"/>
        <v>68.8</v>
      </c>
      <c r="D50" s="227">
        <f t="shared" si="3"/>
        <v>58.248050557324497</v>
      </c>
      <c r="E50" s="232">
        <f>'10K'!$E50*(1-$K$2)+H.Marathon!$E50*$K$2</f>
        <v>0.93279230486626308</v>
      </c>
      <c r="F50" s="274">
        <f t="shared" si="4"/>
        <v>84.662864182157705</v>
      </c>
      <c r="G50" s="220">
        <v>44</v>
      </c>
      <c r="H50" s="282" t="s">
        <v>313</v>
      </c>
      <c r="I50" s="246">
        <v>4128</v>
      </c>
      <c r="J50" s="241" t="s">
        <v>294</v>
      </c>
      <c r="K50" s="241" t="s">
        <v>333</v>
      </c>
      <c r="L50" s="241" t="s">
        <v>283</v>
      </c>
      <c r="M50" s="249">
        <v>18655</v>
      </c>
      <c r="N50" s="242"/>
      <c r="O50" s="241" t="s">
        <v>643</v>
      </c>
      <c r="P50" s="249">
        <v>34784</v>
      </c>
      <c r="Q50" s="242"/>
    </row>
    <row r="51" spans="1:17">
      <c r="A51" s="220">
        <v>45</v>
      </c>
      <c r="B51" s="292">
        <v>4.6770833333333331E-2</v>
      </c>
      <c r="C51" s="227">
        <f t="shared" si="2"/>
        <v>67.349999999999994</v>
      </c>
      <c r="D51" s="227">
        <f t="shared" si="3"/>
        <v>58.737864213308946</v>
      </c>
      <c r="E51" s="232">
        <f>'10K'!$E51*(1-$K$2)+H.Marathon!$E51*$K$2</f>
        <v>0.92501377196861678</v>
      </c>
      <c r="F51" s="274">
        <f t="shared" si="4"/>
        <v>87.212864459256053</v>
      </c>
      <c r="G51" s="220">
        <v>45</v>
      </c>
      <c r="H51" s="282" t="s">
        <v>644</v>
      </c>
      <c r="I51" s="246">
        <v>4041</v>
      </c>
      <c r="J51" s="241" t="s">
        <v>186</v>
      </c>
      <c r="K51" s="241" t="s">
        <v>187</v>
      </c>
      <c r="L51" s="241" t="s">
        <v>155</v>
      </c>
      <c r="M51" s="249">
        <v>23483</v>
      </c>
      <c r="N51" s="241" t="s">
        <v>622</v>
      </c>
      <c r="O51" s="241" t="s">
        <v>623</v>
      </c>
      <c r="P51" s="249">
        <v>40063</v>
      </c>
      <c r="Q51" s="242"/>
    </row>
    <row r="52" spans="1:17">
      <c r="A52" s="220">
        <v>46</v>
      </c>
      <c r="B52" s="292">
        <v>4.8877314814814818E-2</v>
      </c>
      <c r="C52" s="227">
        <f t="shared" si="2"/>
        <v>70.38333333333334</v>
      </c>
      <c r="D52" s="227">
        <f t="shared" si="3"/>
        <v>59.23598551268627</v>
      </c>
      <c r="E52" s="232">
        <f>'10K'!$E52*(1-$K$2)+H.Marathon!$E52*$K$2</f>
        <v>0.91723523907097049</v>
      </c>
      <c r="F52" s="274">
        <f t="shared" si="4"/>
        <v>84.161949579947333</v>
      </c>
      <c r="G52" s="220">
        <v>46</v>
      </c>
      <c r="H52" s="282" t="s">
        <v>645</v>
      </c>
      <c r="I52" s="246">
        <v>4223</v>
      </c>
      <c r="J52" s="241" t="s">
        <v>186</v>
      </c>
      <c r="K52" s="241" t="s">
        <v>187</v>
      </c>
      <c r="L52" s="241" t="s">
        <v>155</v>
      </c>
      <c r="M52" s="249">
        <v>23483</v>
      </c>
      <c r="N52" s="241" t="s">
        <v>622</v>
      </c>
      <c r="O52" s="241" t="s">
        <v>623</v>
      </c>
      <c r="P52" s="249">
        <v>40427</v>
      </c>
      <c r="Q52" s="242"/>
    </row>
    <row r="53" spans="1:17">
      <c r="A53" s="220">
        <v>47</v>
      </c>
      <c r="B53" s="292">
        <v>5.1701388888888887E-2</v>
      </c>
      <c r="C53" s="227">
        <f t="shared" si="2"/>
        <v>74.45</v>
      </c>
      <c r="D53" s="227">
        <f t="shared" si="3"/>
        <v>59.736529257922733</v>
      </c>
      <c r="E53" s="232">
        <f>'10K'!$E53*(1-$K$2)+H.Marathon!$E53*$K$2</f>
        <v>0.90954955047253971</v>
      </c>
      <c r="F53" s="274">
        <f t="shared" si="4"/>
        <v>80.237111159063431</v>
      </c>
      <c r="G53" s="220">
        <v>47</v>
      </c>
      <c r="H53" s="282" t="s">
        <v>646</v>
      </c>
      <c r="I53" s="246">
        <v>4467</v>
      </c>
      <c r="J53" s="241" t="s">
        <v>519</v>
      </c>
      <c r="K53" s="241" t="s">
        <v>647</v>
      </c>
      <c r="L53" s="241" t="s">
        <v>155</v>
      </c>
      <c r="M53" s="249">
        <v>16974</v>
      </c>
      <c r="N53" s="241" t="s">
        <v>622</v>
      </c>
      <c r="O53" s="241" t="s">
        <v>623</v>
      </c>
      <c r="P53" s="249">
        <v>34218</v>
      </c>
      <c r="Q53" s="242"/>
    </row>
    <row r="54" spans="1:17">
      <c r="A54" s="220">
        <v>48</v>
      </c>
      <c r="B54" s="292">
        <v>5.3483796296296293E-2</v>
      </c>
      <c r="C54" s="227">
        <f t="shared" si="2"/>
        <v>77.016666666666666</v>
      </c>
      <c r="D54" s="227">
        <f t="shared" si="3"/>
        <v>60.251807026855211</v>
      </c>
      <c r="E54" s="232">
        <f>'10K'!$E54*(1-$K$2)+H.Marathon!$E54*$K$2</f>
        <v>0.90177101757489342</v>
      </c>
      <c r="F54" s="274">
        <f t="shared" si="4"/>
        <v>78.232166665468782</v>
      </c>
      <c r="G54" s="220">
        <v>48</v>
      </c>
      <c r="H54" s="282" t="s">
        <v>648</v>
      </c>
      <c r="I54" s="246">
        <v>4621</v>
      </c>
      <c r="J54" s="241" t="s">
        <v>649</v>
      </c>
      <c r="K54" s="241" t="s">
        <v>650</v>
      </c>
      <c r="L54" s="241" t="s">
        <v>179</v>
      </c>
      <c r="M54" s="249">
        <v>21521</v>
      </c>
      <c r="N54" s="242"/>
      <c r="O54" s="241" t="s">
        <v>604</v>
      </c>
      <c r="P54" s="249">
        <v>39152</v>
      </c>
      <c r="Q54" s="242"/>
    </row>
    <row r="55" spans="1:17">
      <c r="A55" s="220">
        <v>49</v>
      </c>
      <c r="B55" s="292">
        <v>4.8402777777777781E-2</v>
      </c>
      <c r="C55" s="227">
        <f t="shared" si="2"/>
        <v>69.7</v>
      </c>
      <c r="D55" s="227">
        <f t="shared" si="3"/>
        <v>60.776051549190576</v>
      </c>
      <c r="E55" s="232">
        <f>'10K'!$E55*(1-$K$2)+H.Marathon!$E55*$K$2</f>
        <v>0.89399248467724712</v>
      </c>
      <c r="F55" s="274">
        <f t="shared" si="4"/>
        <v>87.196630630115607</v>
      </c>
      <c r="G55" s="220">
        <v>49</v>
      </c>
      <c r="H55" s="282" t="s">
        <v>651</v>
      </c>
      <c r="I55" s="246">
        <v>4182</v>
      </c>
      <c r="J55" s="241" t="s">
        <v>202</v>
      </c>
      <c r="K55" s="241" t="s">
        <v>652</v>
      </c>
      <c r="L55" s="241" t="s">
        <v>155</v>
      </c>
      <c r="M55" s="249">
        <v>22408</v>
      </c>
      <c r="N55" s="241" t="s">
        <v>653</v>
      </c>
      <c r="O55" s="241" t="s">
        <v>654</v>
      </c>
      <c r="P55" s="243">
        <v>40454</v>
      </c>
      <c r="Q55" s="242"/>
    </row>
    <row r="56" spans="1:17">
      <c r="A56" s="220">
        <v>50</v>
      </c>
      <c r="B56" s="292">
        <v>5.4930555555555559E-2</v>
      </c>
      <c r="C56" s="227">
        <f t="shared" si="2"/>
        <v>79.100000000000009</v>
      </c>
      <c r="D56" s="227">
        <f t="shared" si="3"/>
        <v>61.30949893558649</v>
      </c>
      <c r="E56" s="232">
        <f>'10K'!$E56*(1-$K$2)+H.Marathon!$E56*$K$2</f>
        <v>0.88621395177960083</v>
      </c>
      <c r="F56" s="274">
        <f t="shared" si="4"/>
        <v>77.508848211866592</v>
      </c>
      <c r="G56" s="220">
        <v>50</v>
      </c>
      <c r="H56" s="282" t="s">
        <v>655</v>
      </c>
      <c r="I56" s="246">
        <v>4746</v>
      </c>
      <c r="J56" s="241" t="s">
        <v>649</v>
      </c>
      <c r="K56" s="241" t="s">
        <v>650</v>
      </c>
      <c r="L56" s="241" t="s">
        <v>179</v>
      </c>
      <c r="M56" s="249">
        <v>21521</v>
      </c>
      <c r="N56" s="242"/>
      <c r="O56" s="241" t="s">
        <v>604</v>
      </c>
      <c r="P56" s="249">
        <v>39880</v>
      </c>
      <c r="Q56" s="242"/>
    </row>
    <row r="57" spans="1:17">
      <c r="A57" s="220">
        <v>51</v>
      </c>
      <c r="B57" s="292">
        <v>5.3611111111111109E-2</v>
      </c>
      <c r="C57" s="227">
        <f t="shared" si="2"/>
        <v>77.2</v>
      </c>
      <c r="D57" s="227">
        <f t="shared" si="3"/>
        <v>61.852393659726417</v>
      </c>
      <c r="E57" s="232">
        <f>'10K'!$E57*(1-$K$2)+H.Marathon!$E57*$K$2</f>
        <v>0.87843541888195475</v>
      </c>
      <c r="F57" s="274">
        <f t="shared" si="4"/>
        <v>80.119680906381362</v>
      </c>
      <c r="G57" s="220">
        <v>51</v>
      </c>
      <c r="H57" s="282" t="s">
        <v>656</v>
      </c>
      <c r="I57" s="246">
        <v>4632</v>
      </c>
      <c r="J57" s="241" t="s">
        <v>186</v>
      </c>
      <c r="K57" s="241" t="s">
        <v>187</v>
      </c>
      <c r="L57" s="241" t="s">
        <v>155</v>
      </c>
      <c r="M57" s="249">
        <v>23483</v>
      </c>
      <c r="N57" s="242" t="s">
        <v>657</v>
      </c>
      <c r="O57" s="241" t="s">
        <v>658</v>
      </c>
      <c r="P57" s="249">
        <v>42413</v>
      </c>
      <c r="Q57" s="242"/>
    </row>
    <row r="58" spans="1:17">
      <c r="A58" s="220">
        <v>52</v>
      </c>
      <c r="B58" s="292">
        <v>5.3969907407407404E-2</v>
      </c>
      <c r="C58" s="227">
        <f t="shared" si="2"/>
        <v>77.716666666666669</v>
      </c>
      <c r="D58" s="227">
        <f t="shared" si="3"/>
        <v>62.398334956293262</v>
      </c>
      <c r="E58" s="232">
        <f>'10K'!$E58*(1-$K$2)+H.Marathon!$E58*$K$2</f>
        <v>0.87074973028352387</v>
      </c>
      <c r="F58" s="274">
        <f t="shared" si="4"/>
        <v>80.28951527723774</v>
      </c>
      <c r="G58" s="220">
        <v>52</v>
      </c>
      <c r="H58" s="282" t="s">
        <v>659</v>
      </c>
      <c r="I58" s="246">
        <v>4663</v>
      </c>
      <c r="J58" s="241" t="s">
        <v>214</v>
      </c>
      <c r="K58" s="241" t="s">
        <v>215</v>
      </c>
      <c r="L58" s="241" t="s">
        <v>155</v>
      </c>
      <c r="M58" s="249">
        <v>18901</v>
      </c>
      <c r="N58" s="241" t="s">
        <v>622</v>
      </c>
      <c r="O58" s="241" t="s">
        <v>623</v>
      </c>
      <c r="P58" s="249">
        <v>38236</v>
      </c>
      <c r="Q58" s="242"/>
    </row>
    <row r="59" spans="1:17">
      <c r="A59" s="220">
        <v>53</v>
      </c>
      <c r="B59" s="292">
        <v>5.6504629629629627E-2</v>
      </c>
      <c r="C59" s="227">
        <f t="shared" si="2"/>
        <v>81.36666666666666</v>
      </c>
      <c r="D59" s="227">
        <f t="shared" si="3"/>
        <v>62.960772616653372</v>
      </c>
      <c r="E59" s="232">
        <f>'10K'!$E59*(1-$K$2)+H.Marathon!$E59*$K$2</f>
        <v>0.86297119738587758</v>
      </c>
      <c r="F59" s="274">
        <f t="shared" si="4"/>
        <v>77.37907326913566</v>
      </c>
      <c r="G59" s="220">
        <v>53</v>
      </c>
      <c r="H59" s="282" t="s">
        <v>660</v>
      </c>
      <c r="I59" s="246">
        <v>4882</v>
      </c>
      <c r="J59" s="241" t="s">
        <v>214</v>
      </c>
      <c r="K59" s="241" t="s">
        <v>215</v>
      </c>
      <c r="L59" s="241" t="s">
        <v>155</v>
      </c>
      <c r="M59" s="249">
        <v>18901</v>
      </c>
      <c r="N59" s="241" t="s">
        <v>622</v>
      </c>
      <c r="O59" s="241" t="s">
        <v>623</v>
      </c>
      <c r="P59" s="249">
        <v>38600</v>
      </c>
      <c r="Q59" s="242"/>
    </row>
    <row r="60" spans="1:17">
      <c r="A60" s="220">
        <v>54</v>
      </c>
      <c r="B60" s="292">
        <v>5.949074074074074E-2</v>
      </c>
      <c r="C60" s="227">
        <f t="shared" si="2"/>
        <v>85.666666666666671</v>
      </c>
      <c r="D60" s="227">
        <f t="shared" si="3"/>
        <v>63.533441748880954</v>
      </c>
      <c r="E60" s="232">
        <f>'10K'!$E60*(1-$K$2)+H.Marathon!$E60*$K$2</f>
        <v>0.85519266448823128</v>
      </c>
      <c r="F60" s="274">
        <f t="shared" si="4"/>
        <v>74.163550679627562</v>
      </c>
      <c r="G60" s="220">
        <v>54</v>
      </c>
      <c r="H60" s="282" t="s">
        <v>661</v>
      </c>
      <c r="I60" s="246">
        <v>5140</v>
      </c>
      <c r="J60" s="241" t="s">
        <v>662</v>
      </c>
      <c r="K60" s="241" t="s">
        <v>663</v>
      </c>
      <c r="L60" s="241" t="s">
        <v>155</v>
      </c>
      <c r="M60" s="249">
        <v>15784</v>
      </c>
      <c r="N60" s="241" t="s">
        <v>622</v>
      </c>
      <c r="O60" s="241" t="s">
        <v>623</v>
      </c>
      <c r="P60" s="249">
        <v>35674</v>
      </c>
      <c r="Q60" s="242"/>
    </row>
    <row r="61" spans="1:17">
      <c r="A61" s="220">
        <v>55</v>
      </c>
      <c r="B61" s="292">
        <v>5.4675925925925926E-2</v>
      </c>
      <c r="C61" s="227">
        <f t="shared" si="2"/>
        <v>78.733333333333334</v>
      </c>
      <c r="D61" s="227">
        <f t="shared" si="3"/>
        <v>64.116624101312055</v>
      </c>
      <c r="E61" s="232">
        <f>'10K'!$E61*(1-$K$2)+H.Marathon!$E61*$K$2</f>
        <v>0.8474141315905851</v>
      </c>
      <c r="F61" s="274">
        <f t="shared" si="4"/>
        <v>81.43517032342767</v>
      </c>
      <c r="G61" s="220">
        <v>55</v>
      </c>
      <c r="H61" s="282" t="s">
        <v>664</v>
      </c>
      <c r="I61" s="246">
        <v>4724</v>
      </c>
      <c r="J61" s="241" t="s">
        <v>346</v>
      </c>
      <c r="K61" s="241" t="s">
        <v>347</v>
      </c>
      <c r="L61" s="241" t="s">
        <v>155</v>
      </c>
      <c r="M61" s="249">
        <v>15914</v>
      </c>
      <c r="N61" s="241" t="s">
        <v>622</v>
      </c>
      <c r="O61" s="241" t="s">
        <v>623</v>
      </c>
      <c r="P61" s="249">
        <v>36045</v>
      </c>
      <c r="Q61" s="242"/>
    </row>
    <row r="62" spans="1:17">
      <c r="A62" s="220">
        <v>56</v>
      </c>
      <c r="B62" s="292">
        <v>5.5972222222222222E-2</v>
      </c>
      <c r="C62" s="227">
        <f t="shared" si="2"/>
        <v>80.599999999999994</v>
      </c>
      <c r="D62" s="227">
        <f t="shared" si="3"/>
        <v>64.710611862948724</v>
      </c>
      <c r="E62" s="232">
        <f>'10K'!$E62*(1-$K$2)+H.Marathon!$E62*$K$2</f>
        <v>0.8396355986929388</v>
      </c>
      <c r="F62" s="274">
        <f t="shared" si="4"/>
        <v>80.286118936660955</v>
      </c>
      <c r="G62" s="220">
        <v>56</v>
      </c>
      <c r="H62" s="282" t="s">
        <v>665</v>
      </c>
      <c r="I62" s="246">
        <v>4836</v>
      </c>
      <c r="J62" s="241" t="s">
        <v>503</v>
      </c>
      <c r="K62" s="241" t="s">
        <v>504</v>
      </c>
      <c r="L62" s="241" t="s">
        <v>155</v>
      </c>
      <c r="M62" s="249">
        <v>14922</v>
      </c>
      <c r="N62" s="241" t="s">
        <v>666</v>
      </c>
      <c r="O62" s="241" t="s">
        <v>350</v>
      </c>
      <c r="P62" s="249">
        <v>35385</v>
      </c>
      <c r="Q62" s="242"/>
    </row>
    <row r="63" spans="1:17">
      <c r="A63" s="220">
        <v>57</v>
      </c>
      <c r="B63" s="292">
        <v>5.7951388888888886E-2</v>
      </c>
      <c r="C63" s="227">
        <f t="shared" si="2"/>
        <v>83.449999999999989</v>
      </c>
      <c r="D63" s="227">
        <f t="shared" si="3"/>
        <v>65.308419021478315</v>
      </c>
      <c r="E63" s="232">
        <f>'10K'!$E63*(1-$K$2)+H.Marathon!$E63*$K$2</f>
        <v>0.83194991009450792</v>
      </c>
      <c r="F63" s="274">
        <f t="shared" si="4"/>
        <v>78.260538072472528</v>
      </c>
      <c r="G63" s="220">
        <v>57</v>
      </c>
      <c r="H63" s="282" t="s">
        <v>667</v>
      </c>
      <c r="I63" s="246">
        <v>5007</v>
      </c>
      <c r="J63" s="241" t="s">
        <v>668</v>
      </c>
      <c r="K63" s="241" t="s">
        <v>669</v>
      </c>
      <c r="L63" s="241" t="s">
        <v>283</v>
      </c>
      <c r="M63" s="249">
        <v>20095</v>
      </c>
      <c r="N63" s="242"/>
      <c r="O63" s="241" t="s">
        <v>577</v>
      </c>
      <c r="P63" s="249">
        <v>41030</v>
      </c>
      <c r="Q63" s="242"/>
    </row>
    <row r="64" spans="1:17">
      <c r="A64" s="220">
        <v>58</v>
      </c>
      <c r="B64" s="292">
        <v>6.2060185185185184E-2</v>
      </c>
      <c r="C64" s="227">
        <f t="shared" si="2"/>
        <v>89.36666666666666</v>
      </c>
      <c r="D64" s="227">
        <f t="shared" si="3"/>
        <v>65.924800152766366</v>
      </c>
      <c r="E64" s="232">
        <f>'10K'!$E64*(1-$K$2)+H.Marathon!$E64*$K$2</f>
        <v>0.82417137719686173</v>
      </c>
      <c r="F64" s="274">
        <f t="shared" si="4"/>
        <v>73.768892375344691</v>
      </c>
      <c r="G64" s="220">
        <v>58</v>
      </c>
      <c r="H64" s="282" t="s">
        <v>670</v>
      </c>
      <c r="I64" s="246">
        <v>5362</v>
      </c>
      <c r="J64" s="241" t="s">
        <v>349</v>
      </c>
      <c r="K64" s="241" t="s">
        <v>520</v>
      </c>
      <c r="L64" s="241" t="s">
        <v>155</v>
      </c>
      <c r="M64" s="249">
        <v>9478</v>
      </c>
      <c r="N64" s="242" t="s">
        <v>671</v>
      </c>
      <c r="O64" s="241" t="s">
        <v>406</v>
      </c>
      <c r="P64" s="249">
        <v>30766</v>
      </c>
      <c r="Q64" s="242"/>
    </row>
    <row r="65" spans="1:17">
      <c r="A65" s="220">
        <v>59</v>
      </c>
      <c r="B65" s="292">
        <v>5.3703703703703705E-2</v>
      </c>
      <c r="C65" s="227">
        <f t="shared" si="2"/>
        <v>77.333333333333329</v>
      </c>
      <c r="D65" s="227">
        <f t="shared" si="3"/>
        <v>66.552926955126125</v>
      </c>
      <c r="E65" s="232">
        <f>'10K'!$E65*(1-$K$2)+H.Marathon!$E65*$K$2</f>
        <v>0.81639284429921544</v>
      </c>
      <c r="F65" s="274">
        <f t="shared" si="4"/>
        <v>86.059819338525173</v>
      </c>
      <c r="G65" s="220">
        <v>59</v>
      </c>
      <c r="H65" s="282" t="s">
        <v>672</v>
      </c>
      <c r="I65" s="246">
        <v>4680</v>
      </c>
      <c r="J65" s="248" t="s">
        <v>404</v>
      </c>
      <c r="K65" s="248" t="s">
        <v>405</v>
      </c>
      <c r="L65" s="248" t="s">
        <v>155</v>
      </c>
      <c r="M65" s="244">
        <v>23193</v>
      </c>
      <c r="N65" s="246" t="s">
        <v>673</v>
      </c>
      <c r="O65" s="248" t="s">
        <v>173</v>
      </c>
      <c r="P65" s="244">
        <v>45039</v>
      </c>
      <c r="Q65" s="242"/>
    </row>
    <row r="66" spans="1:17">
      <c r="A66" s="220">
        <v>60</v>
      </c>
      <c r="B66" s="292">
        <v>5.5E-2</v>
      </c>
      <c r="C66" s="227">
        <f t="shared" si="2"/>
        <v>79.2</v>
      </c>
      <c r="D66" s="227">
        <f t="shared" si="3"/>
        <v>67.193138393948914</v>
      </c>
      <c r="E66" s="232">
        <f>'10K'!$E66*(1-$K$2)+H.Marathon!$E66*$K$2</f>
        <v>0.80861431140156914</v>
      </c>
      <c r="F66" s="274">
        <f t="shared" si="4"/>
        <v>84.839821204480941</v>
      </c>
      <c r="G66" s="220">
        <v>60</v>
      </c>
      <c r="H66" s="282" t="s">
        <v>674</v>
      </c>
      <c r="I66" s="246">
        <v>4752</v>
      </c>
      <c r="J66" s="248" t="s">
        <v>404</v>
      </c>
      <c r="K66" s="248" t="s">
        <v>405</v>
      </c>
      <c r="L66" s="241" t="s">
        <v>155</v>
      </c>
      <c r="M66" s="244">
        <v>23193</v>
      </c>
      <c r="N66" s="242" t="s">
        <v>675</v>
      </c>
      <c r="O66" s="241" t="s">
        <v>392</v>
      </c>
      <c r="P66" s="249">
        <v>45207</v>
      </c>
      <c r="Q66" s="242"/>
    </row>
    <row r="67" spans="1:17">
      <c r="A67" s="220">
        <v>61</v>
      </c>
      <c r="B67" s="292">
        <v>6.0150462962962961E-2</v>
      </c>
      <c r="C67" s="227">
        <f t="shared" si="2"/>
        <v>86.61666666666666</v>
      </c>
      <c r="D67" s="227">
        <f t="shared" si="3"/>
        <v>67.84578660413483</v>
      </c>
      <c r="E67" s="232">
        <f>'10K'!$E67*(1-$K$2)+H.Marathon!$E67*$K$2</f>
        <v>0.80083577850392285</v>
      </c>
      <c r="F67" s="274">
        <f t="shared" si="4"/>
        <v>78.328789614163753</v>
      </c>
      <c r="G67" s="220">
        <v>61</v>
      </c>
      <c r="H67" s="282" t="s">
        <v>676</v>
      </c>
      <c r="I67" s="246">
        <v>5197</v>
      </c>
      <c r="J67" s="241" t="s">
        <v>668</v>
      </c>
      <c r="K67" s="241" t="s">
        <v>669</v>
      </c>
      <c r="L67" s="241" t="s">
        <v>283</v>
      </c>
      <c r="M67" s="249">
        <v>20095</v>
      </c>
      <c r="N67" s="242"/>
      <c r="O67" s="241" t="s">
        <v>577</v>
      </c>
      <c r="P67" s="249">
        <v>42491</v>
      </c>
      <c r="Q67" s="242"/>
    </row>
    <row r="68" spans="1:17">
      <c r="A68" s="220">
        <v>62</v>
      </c>
      <c r="B68" s="292">
        <v>6.6215277777777776E-2</v>
      </c>
      <c r="C68" s="227">
        <f t="shared" si="2"/>
        <v>95.35</v>
      </c>
      <c r="D68" s="227">
        <f t="shared" si="3"/>
        <v>68.50321777030554</v>
      </c>
      <c r="E68" s="232">
        <f>'10K'!$E68*(1-$K$2)+H.Marathon!$E68*$K$2</f>
        <v>0.79315008990549207</v>
      </c>
      <c r="F68" s="274">
        <f t="shared" si="4"/>
        <v>71.843962003466743</v>
      </c>
      <c r="G68" s="220">
        <v>62</v>
      </c>
      <c r="H68" s="282" t="s">
        <v>677</v>
      </c>
      <c r="I68" s="246">
        <v>5721</v>
      </c>
      <c r="J68" s="241" t="s">
        <v>678</v>
      </c>
      <c r="K68" s="241" t="s">
        <v>679</v>
      </c>
      <c r="L68" s="241" t="s">
        <v>155</v>
      </c>
      <c r="M68" s="249"/>
      <c r="N68" s="241" t="s">
        <v>622</v>
      </c>
      <c r="O68" s="241" t="s">
        <v>623</v>
      </c>
      <c r="P68" s="249">
        <v>43710</v>
      </c>
      <c r="Q68" s="242"/>
    </row>
    <row r="69" spans="1:17">
      <c r="A69" s="220">
        <v>63</v>
      </c>
      <c r="B69" s="292">
        <v>6.7025462962962967E-2</v>
      </c>
      <c r="C69" s="227">
        <f t="shared" si="2"/>
        <v>96.51666666666668</v>
      </c>
      <c r="D69" s="227">
        <f t="shared" si="3"/>
        <v>69.181692217548118</v>
      </c>
      <c r="E69" s="232">
        <f>'10K'!$E69*(1-$K$2)+H.Marathon!$E69*$K$2</f>
        <v>0.78537155700784589</v>
      </c>
      <c r="F69" s="274">
        <f t="shared" si="4"/>
        <v>71.678493059107012</v>
      </c>
      <c r="G69" s="220">
        <v>63</v>
      </c>
      <c r="H69" s="282" t="s">
        <v>680</v>
      </c>
      <c r="I69" s="246">
        <v>5791</v>
      </c>
      <c r="J69" s="241" t="s">
        <v>681</v>
      </c>
      <c r="K69" s="241" t="s">
        <v>682</v>
      </c>
      <c r="L69" s="241" t="s">
        <v>155</v>
      </c>
      <c r="M69" s="249">
        <v>6986</v>
      </c>
      <c r="N69" s="241" t="s">
        <v>683</v>
      </c>
      <c r="O69" s="241" t="s">
        <v>684</v>
      </c>
      <c r="P69" s="249">
        <v>30051</v>
      </c>
      <c r="Q69" s="242"/>
    </row>
    <row r="70" spans="1:17">
      <c r="A70" s="220">
        <v>64</v>
      </c>
      <c r="B70" s="292">
        <v>6.9305555555555551E-2</v>
      </c>
      <c r="C70" s="227">
        <f t="shared" si="2"/>
        <v>99.8</v>
      </c>
      <c r="D70" s="227">
        <f t="shared" si="3"/>
        <v>69.87374069553546</v>
      </c>
      <c r="E70" s="232">
        <f>'10K'!$E70*(1-$K$2)+H.Marathon!$E70*$K$2</f>
        <v>0.77759302411019959</v>
      </c>
      <c r="F70" s="274">
        <f t="shared" si="4"/>
        <v>70.013768231999464</v>
      </c>
      <c r="G70" s="220">
        <v>64</v>
      </c>
      <c r="H70" s="282" t="s">
        <v>685</v>
      </c>
      <c r="I70" s="246">
        <v>5988</v>
      </c>
      <c r="J70" s="241" t="s">
        <v>686</v>
      </c>
      <c r="K70" s="241" t="s">
        <v>687</v>
      </c>
      <c r="L70" s="241" t="s">
        <v>155</v>
      </c>
      <c r="M70" s="249">
        <v>15383</v>
      </c>
      <c r="N70" s="242" t="s">
        <v>688</v>
      </c>
      <c r="O70" s="241" t="s">
        <v>689</v>
      </c>
      <c r="P70" s="249">
        <v>38902</v>
      </c>
      <c r="Q70" s="242"/>
    </row>
    <row r="71" spans="1:17">
      <c r="A71" s="220">
        <v>65</v>
      </c>
      <c r="B71" s="292">
        <v>6.0937499999999999E-2</v>
      </c>
      <c r="C71" s="227">
        <f t="shared" si="2"/>
        <v>87.75</v>
      </c>
      <c r="D71" s="227">
        <f t="shared" si="3"/>
        <v>70.579774677600042</v>
      </c>
      <c r="E71" s="232">
        <f>'10K'!$E71*(1-$K$2)+H.Marathon!$E71*$K$2</f>
        <v>0.76981449121255341</v>
      </c>
      <c r="F71" s="274">
        <f t="shared" si="4"/>
        <v>80.432791655384662</v>
      </c>
      <c r="G71" s="220">
        <v>65</v>
      </c>
      <c r="H71" s="282" t="s">
        <v>690</v>
      </c>
      <c r="I71" s="246">
        <v>5265</v>
      </c>
      <c r="J71" s="241" t="s">
        <v>214</v>
      </c>
      <c r="K71" s="241" t="s">
        <v>215</v>
      </c>
      <c r="L71" s="241" t="s">
        <v>155</v>
      </c>
      <c r="M71" s="249">
        <v>18901</v>
      </c>
      <c r="N71" s="242" t="s">
        <v>691</v>
      </c>
      <c r="O71" s="241" t="s">
        <v>692</v>
      </c>
      <c r="P71" s="249">
        <v>42799</v>
      </c>
      <c r="Q71" s="242"/>
    </row>
    <row r="72" spans="1:17">
      <c r="A72" s="220">
        <v>66</v>
      </c>
      <c r="B72" s="292">
        <v>6.969907407407408E-2</v>
      </c>
      <c r="C72" s="227">
        <f t="shared" si="2"/>
        <v>100.36666666666667</v>
      </c>
      <c r="D72" s="227">
        <f t="shared" si="3"/>
        <v>71.300222437640386</v>
      </c>
      <c r="E72" s="232">
        <f>'10K'!$E72*(1-$K$2)+H.Marathon!$E72*$K$2</f>
        <v>0.76203595831490711</v>
      </c>
      <c r="F72" s="274">
        <f t="shared" si="4"/>
        <v>71.03974337858557</v>
      </c>
      <c r="G72" s="220">
        <v>66</v>
      </c>
      <c r="H72" s="282" t="s">
        <v>693</v>
      </c>
      <c r="I72" s="246">
        <v>6022</v>
      </c>
      <c r="J72" s="241" t="s">
        <v>694</v>
      </c>
      <c r="K72" s="241" t="s">
        <v>695</v>
      </c>
      <c r="L72" s="241" t="s">
        <v>155</v>
      </c>
      <c r="M72" s="249">
        <v>13405</v>
      </c>
      <c r="N72" s="242" t="s">
        <v>569</v>
      </c>
      <c r="O72" s="241" t="s">
        <v>570</v>
      </c>
      <c r="P72" s="249">
        <v>37793</v>
      </c>
      <c r="Q72" s="242"/>
    </row>
    <row r="73" spans="1:17">
      <c r="A73" s="220">
        <v>67</v>
      </c>
      <c r="B73" s="292">
        <v>7.1412037037037038E-2</v>
      </c>
      <c r="C73" s="227">
        <f t="shared" si="2"/>
        <v>102.83333333333333</v>
      </c>
      <c r="D73" s="227">
        <f t="shared" si="3"/>
        <v>72.026663891503091</v>
      </c>
      <c r="E73" s="232">
        <f>'10K'!$E73*(1-$K$2)+H.Marathon!$E73*$K$2</f>
        <v>0.75435026971647623</v>
      </c>
      <c r="F73" s="274">
        <f t="shared" si="4"/>
        <v>70.042136685416295</v>
      </c>
      <c r="G73" s="220">
        <v>67</v>
      </c>
      <c r="H73" s="282" t="s">
        <v>696</v>
      </c>
      <c r="I73" s="246">
        <v>6170</v>
      </c>
      <c r="J73" s="248" t="s">
        <v>697</v>
      </c>
      <c r="K73" s="248" t="s">
        <v>698</v>
      </c>
      <c r="L73" s="248" t="s">
        <v>155</v>
      </c>
      <c r="M73" s="249">
        <v>7758</v>
      </c>
      <c r="N73" s="296" t="s">
        <v>699</v>
      </c>
      <c r="O73" s="296" t="s">
        <v>700</v>
      </c>
      <c r="P73" s="297">
        <v>32320</v>
      </c>
      <c r="Q73" s="242"/>
    </row>
    <row r="74" spans="1:17">
      <c r="A74" s="220">
        <v>68</v>
      </c>
      <c r="B74" s="292">
        <v>7.6296296296296293E-2</v>
      </c>
      <c r="C74" s="227">
        <f t="shared" si="2"/>
        <v>109.86666666666666</v>
      </c>
      <c r="D74" s="227">
        <f t="shared" si="3"/>
        <v>72.777109892814451</v>
      </c>
      <c r="E74" s="232">
        <f>'10K'!$E74*(1-$K$2)+H.Marathon!$E74*$K$2</f>
        <v>0.74657173681882993</v>
      </c>
      <c r="F74" s="274">
        <f t="shared" si="4"/>
        <v>66.241301480110252</v>
      </c>
      <c r="G74" s="220">
        <v>68</v>
      </c>
      <c r="H74" s="298" t="s">
        <v>701</v>
      </c>
      <c r="I74" s="246">
        <v>6592</v>
      </c>
      <c r="J74" s="248" t="s">
        <v>697</v>
      </c>
      <c r="K74" s="248" t="s">
        <v>698</v>
      </c>
      <c r="L74" s="248" t="s">
        <v>155</v>
      </c>
      <c r="M74" s="249">
        <v>7758</v>
      </c>
      <c r="N74" s="296" t="s">
        <v>699</v>
      </c>
      <c r="O74" s="296" t="s">
        <v>700</v>
      </c>
      <c r="P74" s="297">
        <v>32698</v>
      </c>
      <c r="Q74" s="242"/>
    </row>
    <row r="75" spans="1:17">
      <c r="A75" s="220">
        <v>69</v>
      </c>
      <c r="B75" s="292">
        <v>7.3287037037037039E-2</v>
      </c>
      <c r="C75" s="227">
        <f t="shared" si="2"/>
        <v>105.53333333333333</v>
      </c>
      <c r="D75" s="227">
        <f t="shared" ref="D75:D106" si="5">E$4/E75</f>
        <v>73.561847403611978</v>
      </c>
      <c r="E75" s="232">
        <f>'10K'!$E75*(1-$K$2)+H.Marathon!$E75*$K$2</f>
        <v>0.73860751532275282</v>
      </c>
      <c r="F75" s="274">
        <f t="shared" si="4"/>
        <v>69.704845928880587</v>
      </c>
      <c r="G75" s="220">
        <v>69</v>
      </c>
      <c r="H75" s="282" t="s">
        <v>702</v>
      </c>
      <c r="I75" s="246">
        <v>6332</v>
      </c>
      <c r="J75" s="241" t="s">
        <v>703</v>
      </c>
      <c r="K75" s="241" t="s">
        <v>704</v>
      </c>
      <c r="L75" s="248" t="s">
        <v>155</v>
      </c>
      <c r="M75" s="249">
        <v>14825</v>
      </c>
      <c r="N75" s="242" t="s">
        <v>622</v>
      </c>
      <c r="O75" s="241" t="s">
        <v>705</v>
      </c>
      <c r="P75" s="249">
        <v>40063</v>
      </c>
      <c r="Q75" s="242"/>
    </row>
    <row r="76" spans="1:17">
      <c r="A76" s="220">
        <v>70</v>
      </c>
      <c r="B76" s="292">
        <v>6.5694444444444444E-2</v>
      </c>
      <c r="C76" s="227">
        <f t="shared" si="2"/>
        <v>94.6</v>
      </c>
      <c r="D76" s="227">
        <f t="shared" si="5"/>
        <v>74.421162573373692</v>
      </c>
      <c r="E76" s="232">
        <f>'10K'!$E76*(1-$K$2)+H.Marathon!$E76*$K$2</f>
        <v>0.73007907233059866</v>
      </c>
      <c r="F76" s="274">
        <f t="shared" si="4"/>
        <v>78.669305045849569</v>
      </c>
      <c r="G76" s="220">
        <v>70</v>
      </c>
      <c r="H76" s="282" t="s">
        <v>706</v>
      </c>
      <c r="I76" s="246">
        <v>5676</v>
      </c>
      <c r="J76" s="241" t="s">
        <v>221</v>
      </c>
      <c r="K76" s="241" t="s">
        <v>222</v>
      </c>
      <c r="L76" s="248" t="s">
        <v>155</v>
      </c>
      <c r="M76" s="249">
        <v>17637</v>
      </c>
      <c r="N76" s="242" t="s">
        <v>675</v>
      </c>
      <c r="O76" s="241" t="s">
        <v>392</v>
      </c>
      <c r="P76" s="249">
        <v>43380</v>
      </c>
      <c r="Q76" s="242"/>
    </row>
    <row r="77" spans="1:17">
      <c r="A77" s="220">
        <v>71</v>
      </c>
      <c r="B77" s="292">
        <v>8.1145833333333334E-2</v>
      </c>
      <c r="C77" s="227">
        <f t="shared" si="2"/>
        <v>116.85</v>
      </c>
      <c r="D77" s="227">
        <f t="shared" si="5"/>
        <v>75.370173084487021</v>
      </c>
      <c r="E77" s="232">
        <f>'10K'!$E77*(1-$K$2)+H.Marathon!$E77*$K$2</f>
        <v>0.72088640784236746</v>
      </c>
      <c r="F77" s="274">
        <f t="shared" ref="F77:F83" si="6">100*(D77/C77)</f>
        <v>64.501645771918731</v>
      </c>
      <c r="G77" s="220">
        <v>71</v>
      </c>
      <c r="H77" s="282" t="s">
        <v>707</v>
      </c>
      <c r="I77" s="246">
        <v>7011</v>
      </c>
      <c r="J77" s="299" t="s">
        <v>708</v>
      </c>
      <c r="K77" s="299" t="s">
        <v>709</v>
      </c>
      <c r="L77" s="248" t="s">
        <v>155</v>
      </c>
      <c r="M77" s="249">
        <v>8453</v>
      </c>
      <c r="N77" s="242" t="s">
        <v>710</v>
      </c>
      <c r="O77" s="241" t="s">
        <v>711</v>
      </c>
      <c r="P77" s="249">
        <v>34552</v>
      </c>
      <c r="Q77" s="242"/>
    </row>
    <row r="78" spans="1:17">
      <c r="A78" s="220">
        <v>72</v>
      </c>
      <c r="B78" s="292">
        <v>8.4120370370370373E-2</v>
      </c>
      <c r="C78" s="227">
        <f t="shared" ref="C78:C86" si="7">B78*1440</f>
        <v>121.13333333333334</v>
      </c>
      <c r="D78" s="227">
        <f t="shared" si="5"/>
        <v>76.409653959668574</v>
      </c>
      <c r="E78" s="232">
        <f>'10K'!$E78*(1-$K$2)+H.Marathon!$E78*$K$2</f>
        <v>0.71107943195256695</v>
      </c>
      <c r="F78" s="274">
        <f t="shared" si="6"/>
        <v>63.078965844525513</v>
      </c>
      <c r="G78" s="220">
        <v>72</v>
      </c>
      <c r="H78" s="282" t="s">
        <v>712</v>
      </c>
      <c r="I78" s="246">
        <v>7268</v>
      </c>
      <c r="J78" s="299" t="s">
        <v>226</v>
      </c>
      <c r="K78" s="299" t="s">
        <v>227</v>
      </c>
      <c r="L78" s="248" t="s">
        <v>155</v>
      </c>
      <c r="M78" s="249">
        <v>3552</v>
      </c>
      <c r="N78" s="242" t="s">
        <v>713</v>
      </c>
      <c r="O78" s="241" t="s">
        <v>358</v>
      </c>
      <c r="P78" s="249">
        <v>29870</v>
      </c>
      <c r="Q78" s="242"/>
    </row>
    <row r="79" spans="1:17">
      <c r="A79" s="220">
        <v>73</v>
      </c>
      <c r="B79" s="292">
        <v>8.3020833333333335E-2</v>
      </c>
      <c r="C79" s="227">
        <f t="shared" si="7"/>
        <v>119.55</v>
      </c>
      <c r="D79" s="227">
        <f t="shared" si="5"/>
        <v>77.565110230436503</v>
      </c>
      <c r="E79" s="232">
        <f>'10K'!$E79*(1-$K$2)+H.Marathon!$E79*$K$2</f>
        <v>0.70048676746433558</v>
      </c>
      <c r="F79" s="274">
        <f t="shared" si="6"/>
        <v>64.880895215756169</v>
      </c>
      <c r="G79" s="220">
        <v>73</v>
      </c>
      <c r="H79" s="282" t="s">
        <v>714</v>
      </c>
      <c r="I79" s="246">
        <v>7173</v>
      </c>
      <c r="J79" s="299" t="s">
        <v>226</v>
      </c>
      <c r="K79" s="299" t="s">
        <v>227</v>
      </c>
      <c r="L79" s="248" t="s">
        <v>155</v>
      </c>
      <c r="M79" s="249">
        <v>3552</v>
      </c>
      <c r="N79" s="242" t="s">
        <v>713</v>
      </c>
      <c r="O79" s="241" t="s">
        <v>358</v>
      </c>
      <c r="P79" s="249">
        <v>30234</v>
      </c>
      <c r="Q79" s="242"/>
    </row>
    <row r="80" spans="1:17">
      <c r="A80" s="220">
        <v>74</v>
      </c>
      <c r="B80" s="292">
        <v>7.9826388888888891E-2</v>
      </c>
      <c r="C80" s="227">
        <f t="shared" si="7"/>
        <v>114.95</v>
      </c>
      <c r="D80" s="227">
        <f t="shared" si="5"/>
        <v>78.824602007681634</v>
      </c>
      <c r="E80" s="232">
        <f>'10K'!$E80*(1-$K$2)+H.Marathon!$E80*$K$2</f>
        <v>0.68929410297610427</v>
      </c>
      <c r="F80" s="274">
        <f t="shared" si="6"/>
        <v>68.572946505160175</v>
      </c>
      <c r="G80" s="220">
        <v>74</v>
      </c>
      <c r="H80" s="282" t="s">
        <v>715</v>
      </c>
      <c r="I80" s="246">
        <v>6897</v>
      </c>
      <c r="J80" s="299" t="s">
        <v>230</v>
      </c>
      <c r="K80" s="299" t="s">
        <v>231</v>
      </c>
      <c r="L80" s="248" t="s">
        <v>155</v>
      </c>
      <c r="M80" s="249">
        <v>2522</v>
      </c>
      <c r="N80" s="242" t="s">
        <v>716</v>
      </c>
      <c r="O80" s="241" t="s">
        <v>717</v>
      </c>
      <c r="P80" s="249">
        <v>29729</v>
      </c>
      <c r="Q80" s="242"/>
    </row>
    <row r="81" spans="1:17">
      <c r="A81" s="220">
        <v>75</v>
      </c>
      <c r="B81" s="292">
        <v>6.789351851851852E-2</v>
      </c>
      <c r="C81" s="227">
        <f t="shared" si="7"/>
        <v>97.766666666666666</v>
      </c>
      <c r="D81" s="227">
        <f t="shared" si="5"/>
        <v>80.20931784334357</v>
      </c>
      <c r="E81" s="232">
        <f>'10K'!$E81*(1-$K$2)+H.Marathon!$E81*$K$2</f>
        <v>0.67739428278708846</v>
      </c>
      <c r="F81" s="274">
        <f t="shared" si="6"/>
        <v>82.041579792032294</v>
      </c>
      <c r="G81" s="220">
        <v>75</v>
      </c>
      <c r="H81" s="282" t="s">
        <v>718</v>
      </c>
      <c r="I81" s="246">
        <v>5866</v>
      </c>
      <c r="J81" s="241" t="s">
        <v>221</v>
      </c>
      <c r="K81" s="241" t="s">
        <v>222</v>
      </c>
      <c r="L81" s="248" t="s">
        <v>155</v>
      </c>
      <c r="M81" s="249">
        <v>17637</v>
      </c>
      <c r="N81" s="242" t="s">
        <v>675</v>
      </c>
      <c r="O81" s="241" t="s">
        <v>392</v>
      </c>
      <c r="P81" s="249">
        <v>45207</v>
      </c>
      <c r="Q81" s="242"/>
    </row>
    <row r="82" spans="1:17">
      <c r="A82" s="220">
        <v>76</v>
      </c>
      <c r="B82" s="292">
        <v>8.098379629629629E-2</v>
      </c>
      <c r="C82" s="227">
        <f t="shared" si="7"/>
        <v>116.61666666666666</v>
      </c>
      <c r="D82" s="227">
        <f t="shared" si="5"/>
        <v>81.728641805002567</v>
      </c>
      <c r="E82" s="232">
        <f>'10K'!$E82*(1-$K$2)+H.Marathon!$E82*$K$2</f>
        <v>0.6648016182988572</v>
      </c>
      <c r="F82" s="274">
        <f t="shared" si="6"/>
        <v>70.083157185939044</v>
      </c>
      <c r="G82" s="220">
        <v>76</v>
      </c>
      <c r="H82" s="282" t="s">
        <v>719</v>
      </c>
      <c r="I82" s="246">
        <v>6997</v>
      </c>
      <c r="J82" s="299" t="s">
        <v>230</v>
      </c>
      <c r="K82" s="299" t="s">
        <v>231</v>
      </c>
      <c r="L82" s="248" t="s">
        <v>155</v>
      </c>
      <c r="M82" s="249">
        <v>2522</v>
      </c>
      <c r="N82" s="242" t="s">
        <v>716</v>
      </c>
      <c r="O82" s="241" t="s">
        <v>717</v>
      </c>
      <c r="P82" s="249">
        <v>30457</v>
      </c>
      <c r="Q82" s="242"/>
    </row>
    <row r="83" spans="1:17">
      <c r="A83" s="220">
        <v>77</v>
      </c>
      <c r="B83" s="292">
        <v>7.8437499999999993E-2</v>
      </c>
      <c r="C83" s="227">
        <f t="shared" si="7"/>
        <v>112.94999999999999</v>
      </c>
      <c r="D83" s="227">
        <f t="shared" si="5"/>
        <v>83.396142164343004</v>
      </c>
      <c r="E83" s="232">
        <f>'10K'!$E83*(1-$K$2)+H.Marathon!$E83*$K$2</f>
        <v>0.6515089538106259</v>
      </c>
      <c r="F83" s="274">
        <f t="shared" si="6"/>
        <v>73.834565882552468</v>
      </c>
      <c r="G83" s="220">
        <v>77</v>
      </c>
      <c r="H83" s="282" t="s">
        <v>720</v>
      </c>
      <c r="I83" s="246">
        <v>6777</v>
      </c>
      <c r="J83" s="299" t="s">
        <v>230</v>
      </c>
      <c r="K83" s="299" t="s">
        <v>231</v>
      </c>
      <c r="L83" s="248" t="s">
        <v>155</v>
      </c>
      <c r="M83" s="249">
        <v>2522</v>
      </c>
      <c r="N83" s="242" t="s">
        <v>716</v>
      </c>
      <c r="O83" s="241" t="s">
        <v>717</v>
      </c>
      <c r="P83" s="249">
        <v>30828</v>
      </c>
      <c r="Q83" s="242"/>
    </row>
    <row r="84" spans="1:17">
      <c r="A84" s="220">
        <v>78</v>
      </c>
      <c r="B84" s="300" t="s">
        <v>723</v>
      </c>
      <c r="C84" s="227"/>
      <c r="D84" s="227">
        <f t="shared" si="5"/>
        <v>85.214170356564452</v>
      </c>
      <c r="E84" s="232">
        <f>'10K'!$E84*(1-$K$2)+H.Marathon!$E84*$K$2</f>
        <v>0.63760913362160998</v>
      </c>
      <c r="F84" s="274"/>
      <c r="G84" s="220">
        <v>78</v>
      </c>
      <c r="H84" s="250"/>
      <c r="I84" s="220"/>
      <c r="J84" s="220"/>
      <c r="K84" s="220"/>
      <c r="L84" s="220"/>
      <c r="M84" s="220"/>
      <c r="N84" s="220"/>
      <c r="O84" s="220"/>
      <c r="P84" s="220"/>
      <c r="Q84" s="242"/>
    </row>
    <row r="85" spans="1:17">
      <c r="A85" s="220">
        <v>79</v>
      </c>
      <c r="B85" s="300" t="s">
        <v>723</v>
      </c>
      <c r="C85" s="227"/>
      <c r="D85" s="227">
        <f t="shared" si="5"/>
        <v>87.210107637943295</v>
      </c>
      <c r="E85" s="232">
        <f>'10K'!$E85*(1-$K$2)+H.Marathon!$E85*$K$2</f>
        <v>0.62301646913337871</v>
      </c>
      <c r="F85" s="274"/>
      <c r="G85" s="220">
        <v>79</v>
      </c>
      <c r="H85" s="293"/>
      <c r="I85" s="220"/>
      <c r="J85" s="220"/>
      <c r="K85" s="220"/>
      <c r="L85" s="220"/>
      <c r="M85" s="220"/>
      <c r="N85" s="220"/>
      <c r="O85" s="220"/>
      <c r="P85" s="220"/>
      <c r="Q85" s="220"/>
    </row>
    <row r="86" spans="1:17">
      <c r="A86" s="220">
        <v>80</v>
      </c>
      <c r="B86" s="292">
        <v>0.1017824074074074</v>
      </c>
      <c r="C86" s="227">
        <f t="shared" si="7"/>
        <v>146.56666666666666</v>
      </c>
      <c r="D86" s="227">
        <f t="shared" si="5"/>
        <v>89.418309597655593</v>
      </c>
      <c r="E86" s="232">
        <f>'10K'!$E86*(1-$K$2)+H.Marathon!$E86*$K$2</f>
        <v>0.607630960345932</v>
      </c>
      <c r="F86" s="274">
        <f>100*(D86/C86)</f>
        <v>61.008626061625378</v>
      </c>
      <c r="G86" s="220">
        <v>80</v>
      </c>
      <c r="H86" s="282" t="s">
        <v>721</v>
      </c>
      <c r="I86" s="246">
        <v>8794</v>
      </c>
      <c r="J86" s="299" t="s">
        <v>308</v>
      </c>
      <c r="K86" s="299" t="s">
        <v>309</v>
      </c>
      <c r="L86" s="248" t="s">
        <v>155</v>
      </c>
      <c r="M86" s="249">
        <v>535</v>
      </c>
      <c r="N86" s="242" t="s">
        <v>722</v>
      </c>
      <c r="O86" s="242" t="s">
        <v>236</v>
      </c>
      <c r="P86" s="249">
        <v>30016</v>
      </c>
      <c r="Q86" s="220"/>
    </row>
    <row r="87" spans="1:17">
      <c r="A87" s="220">
        <v>81</v>
      </c>
      <c r="B87" s="291"/>
      <c r="C87" s="227"/>
      <c r="D87" s="227">
        <f t="shared" si="5"/>
        <v>91.835389483309328</v>
      </c>
      <c r="E87" s="232">
        <f>'10K'!$E87*(1-$K$2)+H.Marathon!$E87*$K$2</f>
        <v>0.59163829585770067</v>
      </c>
      <c r="F87" s="274"/>
      <c r="G87" s="220">
        <v>81</v>
      </c>
      <c r="H87" s="250"/>
      <c r="I87" s="220"/>
      <c r="J87" s="220"/>
      <c r="K87" s="220"/>
      <c r="L87" s="220"/>
      <c r="M87" s="220"/>
      <c r="N87" s="220"/>
      <c r="O87" s="220"/>
      <c r="P87" s="220"/>
      <c r="Q87" s="220"/>
    </row>
    <row r="88" spans="1:17">
      <c r="A88" s="220">
        <v>82</v>
      </c>
      <c r="B88" s="291"/>
      <c r="C88" s="227"/>
      <c r="D88" s="227">
        <f t="shared" si="5"/>
        <v>94.500513007678137</v>
      </c>
      <c r="E88" s="232">
        <f>'10K'!$E88*(1-$K$2)+H.Marathon!$E88*$K$2</f>
        <v>0.57495278707025399</v>
      </c>
      <c r="F88" s="274"/>
      <c r="G88" s="220">
        <v>82</v>
      </c>
      <c r="H88" s="250"/>
      <c r="I88" s="220"/>
      <c r="J88" s="220"/>
      <c r="K88" s="220"/>
      <c r="L88" s="220"/>
      <c r="M88" s="220"/>
      <c r="N88" s="220"/>
      <c r="O88" s="220"/>
      <c r="P88" s="220"/>
      <c r="Q88" s="220"/>
    </row>
    <row r="89" spans="1:17">
      <c r="A89" s="220">
        <v>83</v>
      </c>
      <c r="B89" s="291"/>
      <c r="C89" s="227"/>
      <c r="D89" s="227">
        <f t="shared" si="5"/>
        <v>97.430910214208083</v>
      </c>
      <c r="E89" s="232">
        <f>'10K'!$E89*(1-$K$2)+H.Marathon!$E89*$K$2</f>
        <v>0.5576601225820228</v>
      </c>
      <c r="F89" s="274"/>
      <c r="G89" s="220">
        <v>83</v>
      </c>
      <c r="H89" s="250"/>
      <c r="I89" s="220"/>
      <c r="J89" s="220"/>
      <c r="K89" s="220"/>
      <c r="L89" s="220"/>
      <c r="M89" s="220"/>
      <c r="N89" s="220"/>
      <c r="O89" s="220"/>
      <c r="P89" s="220"/>
      <c r="Q89" s="220"/>
    </row>
    <row r="90" spans="1:17">
      <c r="A90" s="220">
        <v>84</v>
      </c>
      <c r="B90" s="291"/>
      <c r="C90" s="227"/>
      <c r="D90" s="227">
        <f t="shared" si="5"/>
        <v>100.69660792829447</v>
      </c>
      <c r="E90" s="232">
        <f>'10K'!$E90*(1-$K$2)+H.Marathon!$E90*$K$2</f>
        <v>0.53957461379457605</v>
      </c>
      <c r="F90" s="274"/>
      <c r="G90" s="220">
        <v>84</v>
      </c>
      <c r="H90" s="250"/>
      <c r="I90" s="220"/>
      <c r="J90" s="220"/>
      <c r="K90" s="220"/>
      <c r="L90" s="220"/>
      <c r="M90" s="220"/>
      <c r="N90" s="220"/>
      <c r="O90" s="220"/>
      <c r="P90" s="220"/>
      <c r="Q90" s="220"/>
    </row>
    <row r="91" spans="1:17">
      <c r="A91" s="220">
        <v>85</v>
      </c>
      <c r="B91" s="291"/>
      <c r="C91" s="227"/>
      <c r="D91" s="227">
        <f t="shared" si="5"/>
        <v>104.30883044211431</v>
      </c>
      <c r="E91" s="232">
        <f>'10K'!$E91*(1-$K$2)+H.Marathon!$E91*$K$2</f>
        <v>0.52088910500712937</v>
      </c>
      <c r="F91" s="274"/>
      <c r="G91" s="220">
        <v>85</v>
      </c>
      <c r="H91" s="250"/>
      <c r="I91" s="220"/>
      <c r="J91" s="220"/>
      <c r="K91" s="220"/>
      <c r="L91" s="220"/>
      <c r="M91" s="220"/>
      <c r="N91" s="220"/>
      <c r="O91" s="220"/>
      <c r="P91" s="220"/>
      <c r="Q91" s="220"/>
    </row>
    <row r="92" spans="1:17">
      <c r="A92" s="220">
        <v>86</v>
      </c>
      <c r="B92" s="291"/>
      <c r="C92" s="227"/>
      <c r="D92" s="227">
        <f t="shared" si="5"/>
        <v>108.34086483705438</v>
      </c>
      <c r="E92" s="232">
        <f>'10K'!$E92*(1-$K$2)+H.Marathon!$E92*$K$2</f>
        <v>0.50150359621968266</v>
      </c>
      <c r="F92" s="274"/>
      <c r="G92" s="220">
        <v>86</v>
      </c>
      <c r="H92" s="250"/>
      <c r="I92" s="220"/>
      <c r="J92" s="220"/>
      <c r="K92" s="220"/>
      <c r="L92" s="220"/>
      <c r="M92" s="220"/>
      <c r="N92" s="220"/>
      <c r="O92" s="220"/>
      <c r="P92" s="220"/>
      <c r="Q92" s="220"/>
    </row>
    <row r="93" spans="1:17">
      <c r="A93" s="220">
        <v>87</v>
      </c>
      <c r="B93" s="291"/>
      <c r="C93" s="227"/>
      <c r="D93" s="227">
        <f t="shared" si="5"/>
        <v>112.86101364228708</v>
      </c>
      <c r="E93" s="232">
        <f>'10K'!$E93*(1-$K$2)+H.Marathon!$E93*$K$2</f>
        <v>0.48141808743223596</v>
      </c>
      <c r="F93" s="274"/>
      <c r="G93" s="220">
        <v>87</v>
      </c>
      <c r="H93" s="250"/>
      <c r="I93" s="220"/>
      <c r="J93" s="220"/>
      <c r="K93" s="220"/>
      <c r="L93" s="220"/>
      <c r="M93" s="220"/>
      <c r="N93" s="220"/>
      <c r="O93" s="220"/>
      <c r="P93" s="220"/>
      <c r="Q93" s="220"/>
    </row>
    <row r="94" spans="1:17">
      <c r="A94" s="220">
        <v>88</v>
      </c>
      <c r="B94" s="291"/>
      <c r="C94" s="227"/>
      <c r="D94" s="227">
        <f t="shared" si="5"/>
        <v>117.95373547651691</v>
      </c>
      <c r="E94" s="232">
        <f>'10K'!$E94*(1-$K$2)+H.Marathon!$E94*$K$2</f>
        <v>0.46063257864478918</v>
      </c>
      <c r="F94" s="274"/>
      <c r="G94" s="220">
        <v>88</v>
      </c>
      <c r="H94" s="250"/>
      <c r="I94" s="220"/>
      <c r="J94" s="220"/>
      <c r="K94" s="220"/>
      <c r="L94" s="220"/>
      <c r="M94" s="220"/>
      <c r="N94" s="220"/>
      <c r="O94" s="220"/>
      <c r="P94" s="220"/>
      <c r="Q94" s="220"/>
    </row>
    <row r="95" spans="1:17">
      <c r="A95" s="220">
        <v>89</v>
      </c>
      <c r="B95" s="301"/>
      <c r="C95" s="227"/>
      <c r="D95" s="227">
        <f t="shared" si="5"/>
        <v>123.69651856978707</v>
      </c>
      <c r="E95" s="232">
        <f>'10K'!$E95*(1-$K$2)+H.Marathon!$E95*$K$2</f>
        <v>0.43924706985734258</v>
      </c>
      <c r="F95" s="274"/>
      <c r="G95" s="220">
        <v>89</v>
      </c>
      <c r="H95" s="250"/>
      <c r="I95" s="220"/>
      <c r="J95" s="220"/>
      <c r="K95" s="220"/>
      <c r="L95" s="220"/>
      <c r="M95" s="220"/>
      <c r="N95" s="220"/>
      <c r="O95" s="220"/>
      <c r="P95" s="220"/>
      <c r="Q95" s="220"/>
    </row>
    <row r="96" spans="1:17">
      <c r="A96" s="220">
        <v>90</v>
      </c>
      <c r="B96" s="301"/>
      <c r="C96" s="227"/>
      <c r="D96" s="227">
        <f t="shared" si="5"/>
        <v>130.27429569407809</v>
      </c>
      <c r="E96" s="232">
        <f>'10K'!$E96*(1-$K$2)+H.Marathon!$E96*$K$2</f>
        <v>0.41706871677068047</v>
      </c>
      <c r="F96" s="274"/>
      <c r="G96" s="220">
        <v>90</v>
      </c>
      <c r="H96" s="250"/>
      <c r="I96" s="220"/>
      <c r="J96" s="220"/>
      <c r="K96" s="220"/>
      <c r="L96" s="220"/>
      <c r="M96" s="220"/>
      <c r="N96" s="220"/>
      <c r="O96" s="220"/>
      <c r="P96" s="220"/>
      <c r="Q96" s="220"/>
    </row>
    <row r="97" spans="1:17">
      <c r="A97" s="220">
        <v>91</v>
      </c>
      <c r="B97" s="290"/>
      <c r="C97" s="227"/>
      <c r="D97" s="227">
        <f t="shared" si="5"/>
        <v>137.80280831955639</v>
      </c>
      <c r="E97" s="232">
        <f>'10K'!$E97*(1-$K$2)+H.Marathon!$E97*$K$2</f>
        <v>0.39428320798323369</v>
      </c>
      <c r="F97" s="274"/>
      <c r="G97" s="220">
        <v>91</v>
      </c>
      <c r="H97" s="250"/>
      <c r="I97" s="220"/>
      <c r="J97" s="220"/>
      <c r="K97" s="220"/>
      <c r="L97" s="220"/>
      <c r="M97" s="220"/>
      <c r="N97" s="220"/>
      <c r="O97" s="220"/>
      <c r="P97" s="220"/>
      <c r="Q97" s="220"/>
    </row>
    <row r="98" spans="1:17">
      <c r="A98" s="220">
        <v>92</v>
      </c>
      <c r="B98" s="290"/>
      <c r="C98" s="227"/>
      <c r="D98" s="227">
        <f t="shared" si="5"/>
        <v>146.52810667349138</v>
      </c>
      <c r="E98" s="232">
        <f>'10K'!$E98*(1-$K$2)+H.Marathon!$E98*$K$2</f>
        <v>0.37080485489657161</v>
      </c>
      <c r="F98" s="274"/>
      <c r="G98" s="220">
        <v>92</v>
      </c>
      <c r="H98" s="250"/>
      <c r="I98" s="220"/>
      <c r="J98" s="220"/>
      <c r="K98" s="220"/>
      <c r="L98" s="220"/>
      <c r="M98" s="220"/>
      <c r="N98" s="220"/>
      <c r="O98" s="220"/>
      <c r="P98" s="220"/>
      <c r="Q98" s="220"/>
    </row>
    <row r="99" spans="1:17">
      <c r="A99" s="220">
        <v>93</v>
      </c>
      <c r="B99" s="290"/>
      <c r="C99" s="227"/>
      <c r="D99" s="227">
        <f t="shared" si="5"/>
        <v>156.74893018748412</v>
      </c>
      <c r="E99" s="232">
        <f>'10K'!$E99*(1-$K$2)+H.Marathon!$E99*$K$2</f>
        <v>0.34662650180990945</v>
      </c>
      <c r="F99" s="274"/>
      <c r="G99" s="220">
        <v>93</v>
      </c>
      <c r="H99" s="250"/>
      <c r="I99" s="220"/>
      <c r="J99" s="220"/>
      <c r="K99" s="220"/>
      <c r="L99" s="220"/>
      <c r="M99" s="220"/>
      <c r="N99" s="220"/>
      <c r="O99" s="220"/>
      <c r="P99" s="220"/>
      <c r="Q99" s="220"/>
    </row>
    <row r="100" spans="1:17">
      <c r="A100" s="220">
        <v>94</v>
      </c>
      <c r="B100" s="290"/>
      <c r="C100" s="227"/>
      <c r="D100" s="227">
        <f t="shared" si="5"/>
        <v>168.82042533823886</v>
      </c>
      <c r="E100" s="232">
        <f>'10K'!$E100*(1-$K$2)+H.Marathon!$E100*$K$2</f>
        <v>0.32184099302246277</v>
      </c>
      <c r="F100" s="274"/>
      <c r="G100" s="220">
        <v>94</v>
      </c>
      <c r="H100" s="220"/>
      <c r="I100" s="220"/>
      <c r="J100" s="220"/>
      <c r="K100" s="220"/>
      <c r="L100" s="220"/>
      <c r="M100" s="220"/>
      <c r="N100" s="220"/>
      <c r="O100" s="220"/>
      <c r="P100" s="220"/>
      <c r="Q100" s="220"/>
    </row>
    <row r="101" spans="1:17">
      <c r="A101" s="220">
        <v>95</v>
      </c>
      <c r="B101" s="290"/>
      <c r="C101" s="227"/>
      <c r="D101" s="227">
        <f t="shared" si="5"/>
        <v>183.39583197229064</v>
      </c>
      <c r="E101" s="232">
        <f>'10K'!$E101*(1-$K$2)+H.Marathon!$E101*$K$2</f>
        <v>0.29626263993580065</v>
      </c>
      <c r="F101" s="274"/>
      <c r="G101" s="220">
        <v>95</v>
      </c>
      <c r="H101" s="220"/>
      <c r="I101" s="220"/>
      <c r="J101" s="220"/>
      <c r="K101" s="220"/>
      <c r="L101" s="220"/>
      <c r="M101" s="220"/>
      <c r="N101" s="220"/>
      <c r="O101" s="220"/>
      <c r="P101" s="220"/>
      <c r="Q101" s="220"/>
    </row>
    <row r="102" spans="1:17">
      <c r="A102" s="220">
        <v>96</v>
      </c>
      <c r="B102" s="290"/>
      <c r="C102" s="227"/>
      <c r="D102" s="227">
        <f t="shared" si="5"/>
        <v>201.17176740341952</v>
      </c>
      <c r="E102" s="232">
        <f>'10K'!$E102*(1-$K$2)+H.Marathon!$E102*$K$2</f>
        <v>0.27008428684913854</v>
      </c>
      <c r="F102" s="274"/>
      <c r="G102" s="220">
        <v>96</v>
      </c>
      <c r="H102" s="220"/>
      <c r="I102" s="220"/>
      <c r="J102" s="220"/>
      <c r="K102" s="220"/>
      <c r="L102" s="220"/>
      <c r="M102" s="220"/>
      <c r="N102" s="220"/>
      <c r="O102" s="220"/>
      <c r="P102" s="220"/>
      <c r="Q102" s="220"/>
    </row>
    <row r="103" spans="1:17">
      <c r="A103" s="220">
        <v>97</v>
      </c>
      <c r="B103" s="290"/>
      <c r="C103" s="227"/>
      <c r="D103" s="227">
        <f t="shared" si="5"/>
        <v>223.40463693783562</v>
      </c>
      <c r="E103" s="232">
        <f>'10K'!$E103*(1-$K$2)+H.Marathon!$E103*$K$2</f>
        <v>0.2432059337624764</v>
      </c>
      <c r="F103" s="274"/>
      <c r="G103" s="220">
        <v>97</v>
      </c>
      <c r="H103" s="220"/>
      <c r="I103" s="220"/>
      <c r="J103" s="220"/>
      <c r="K103" s="220"/>
      <c r="L103" s="220"/>
      <c r="M103" s="220"/>
      <c r="N103" s="220"/>
      <c r="O103" s="220"/>
      <c r="P103" s="220"/>
      <c r="Q103" s="220"/>
    </row>
    <row r="104" spans="1:17">
      <c r="A104" s="220">
        <v>98</v>
      </c>
      <c r="B104" s="290"/>
      <c r="C104" s="227"/>
      <c r="D104" s="227">
        <f t="shared" si="5"/>
        <v>251.96929885378944</v>
      </c>
      <c r="E104" s="232">
        <f>'10K'!$E104*(1-$K$2)+H.Marathon!$E104*$K$2</f>
        <v>0.21563473637659886</v>
      </c>
      <c r="F104" s="274"/>
      <c r="G104" s="220">
        <v>98</v>
      </c>
      <c r="H104" s="220"/>
      <c r="I104" s="220"/>
      <c r="J104" s="220"/>
      <c r="K104" s="220"/>
      <c r="L104" s="220"/>
      <c r="M104" s="220"/>
      <c r="N104" s="220"/>
      <c r="O104" s="220"/>
      <c r="P104" s="220"/>
      <c r="Q104" s="220"/>
    </row>
    <row r="105" spans="1:17">
      <c r="A105" s="220">
        <v>99</v>
      </c>
      <c r="B105" s="220" t="s">
        <v>78</v>
      </c>
      <c r="C105" s="227"/>
      <c r="D105" s="227">
        <f t="shared" si="5"/>
        <v>289.9999048831537</v>
      </c>
      <c r="E105" s="232">
        <f>'10K'!$E105*(1-$K$2)+H.Marathon!$E105*$K$2</f>
        <v>0.1873563832899367</v>
      </c>
      <c r="F105" s="274"/>
      <c r="G105" s="220">
        <v>99</v>
      </c>
      <c r="H105" s="220"/>
      <c r="I105" s="220"/>
      <c r="J105" s="220"/>
      <c r="K105" s="220"/>
      <c r="L105" s="220"/>
      <c r="M105" s="220"/>
      <c r="N105" s="220"/>
      <c r="O105" s="220"/>
      <c r="P105" s="220"/>
      <c r="Q105" s="220"/>
    </row>
    <row r="106" spans="1:17">
      <c r="A106" s="220">
        <v>100</v>
      </c>
      <c r="B106" s="220"/>
      <c r="C106" s="220"/>
      <c r="D106" s="227">
        <f t="shared" si="5"/>
        <v>343.04555077673371</v>
      </c>
      <c r="E106" s="232">
        <f>'10K'!$E106*(1-$K$2)+H.Marathon!$E106*$K$2</f>
        <v>0.15838518590405917</v>
      </c>
      <c r="F106" s="274"/>
      <c r="G106" s="220"/>
      <c r="H106" s="220"/>
      <c r="I106" s="220"/>
      <c r="J106" s="220"/>
      <c r="K106" s="220"/>
      <c r="L106" s="220"/>
      <c r="M106" s="220"/>
      <c r="N106" s="220"/>
      <c r="O106" s="220"/>
      <c r="P106" s="220"/>
      <c r="Q106" s="220"/>
    </row>
  </sheetData>
  <conditionalFormatting sqref="J86:K86">
    <cfRule type="expression" dxfId="11" priority="7" stopIfTrue="1">
      <formula>#REF!="unvalidatable"</formula>
    </cfRule>
    <cfRule type="expression" dxfId="10" priority="8" stopIfTrue="1">
      <formula>$AK84="record"</formula>
    </cfRule>
    <cfRule type="expression" dxfId="9" priority="9" stopIfTrue="1">
      <formula>$AK84="best"</formula>
    </cfRule>
  </conditionalFormatting>
  <conditionalFormatting sqref="N73:P74 H74 J77:K80 J82:K83">
    <cfRule type="expression" dxfId="8" priority="1" stopIfTrue="1">
      <formula>#REF!="unvalidatable"</formula>
    </cfRule>
    <cfRule type="expression" dxfId="7" priority="2" stopIfTrue="1">
      <formula>$AK73="record"</formula>
    </cfRule>
    <cfRule type="expression" dxfId="6" priority="3" stopIfTrue="1">
      <formula>$AK73="best"</formula>
    </cfRule>
  </conditionalFormatting>
  <pageMargins left="0.5" right="0.5" top="0.5" bottom="0.5" header="0" footer="0"/>
  <pageSetup orientation="portrait" verticalDpi="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W106"/>
  <sheetViews>
    <sheetView zoomScale="87" zoomScaleNormal="87" workbookViewId="0">
      <selection activeCell="F5" sqref="F5"/>
    </sheetView>
  </sheetViews>
  <sheetFormatPr defaultColWidth="9.6640625" defaultRowHeight="15"/>
  <cols>
    <col min="1" max="3" width="9.6640625" style="1" customWidth="1"/>
    <col min="4" max="4" width="11.33203125" style="1" customWidth="1"/>
    <col min="5" max="5" width="9.6640625" style="1" customWidth="1"/>
    <col min="6" max="6" width="12.5546875" style="1" customWidth="1"/>
    <col min="7" max="7" width="11.6640625" style="1" customWidth="1"/>
    <col min="8" max="8" width="10.6640625" style="1" customWidth="1"/>
    <col min="9" max="9" width="13.109375" style="1" customWidth="1"/>
    <col min="10" max="10" width="13.88671875" style="1" customWidth="1"/>
    <col min="11" max="11" width="12.44140625" style="1" customWidth="1"/>
    <col min="12" max="12" width="13" style="1" customWidth="1"/>
    <col min="13" max="13" width="13.77734375" style="1" customWidth="1"/>
    <col min="14" max="15" width="9.6640625" style="1"/>
    <col min="16" max="16" width="20.5546875" style="1" customWidth="1"/>
    <col min="17" max="17" width="20.77734375" style="1" customWidth="1"/>
    <col min="18" max="18" width="9.6640625" style="1"/>
    <col min="19" max="19" width="11.21875" style="1" customWidth="1"/>
    <col min="20" max="20" width="9.6640625" style="1" customWidth="1"/>
    <col min="21" max="16384" width="9.6640625" style="1"/>
  </cols>
  <sheetData>
    <row r="1" spans="1:23" ht="29.1" customHeight="1">
      <c r="A1" s="30" t="s">
        <v>1672</v>
      </c>
      <c r="B1" s="31"/>
      <c r="C1" s="32"/>
      <c r="D1" s="33" t="s">
        <v>32</v>
      </c>
      <c r="E1" s="33" t="s">
        <v>71</v>
      </c>
      <c r="F1" s="33" t="s">
        <v>72</v>
      </c>
      <c r="G1" s="33" t="s">
        <v>73</v>
      </c>
      <c r="H1" s="33" t="s">
        <v>74</v>
      </c>
      <c r="I1" s="33" t="s">
        <v>75</v>
      </c>
      <c r="M1" s="222"/>
      <c r="N1" s="223"/>
    </row>
    <row r="2" spans="1:23" ht="18" customHeight="1">
      <c r="A2" s="30"/>
      <c r="B2" s="31"/>
      <c r="C2" s="32"/>
      <c r="D2" s="33"/>
      <c r="E2" s="33"/>
      <c r="F2" s="84">
        <f>(+H$3-H$4)*F$4/2</f>
        <v>5.0000000000000001E-3</v>
      </c>
      <c r="G2" s="85">
        <f>(+I$4-I$3)*G$4/2</f>
        <v>3.1897999999999996E-2</v>
      </c>
      <c r="H2" s="86"/>
      <c r="I2" s="86"/>
      <c r="M2" s="222"/>
      <c r="N2" s="223"/>
    </row>
    <row r="3" spans="1:23" ht="18" customHeight="1">
      <c r="A3" s="30"/>
      <c r="B3" s="31"/>
      <c r="C3" s="32"/>
      <c r="D3" s="33"/>
      <c r="E3" s="33"/>
      <c r="F3" s="84">
        <f>F4/(2*(+H3-H4))</f>
        <v>5.0000000000000001E-3</v>
      </c>
      <c r="G3" s="85">
        <f>G4/(2*(+I4-I3))</f>
        <v>4.7439024390243903E-4</v>
      </c>
      <c r="H3" s="31">
        <v>20</v>
      </c>
      <c r="I3" s="31">
        <v>31.3</v>
      </c>
      <c r="M3" s="222"/>
      <c r="N3" s="223"/>
    </row>
    <row r="4" spans="1:23" ht="15.75">
      <c r="A4" s="31"/>
      <c r="B4" s="31"/>
      <c r="C4" s="31">
        <f>Parameters!$AG$23</f>
        <v>57.516666666666673</v>
      </c>
      <c r="D4" s="35">
        <f>Parameters!G23</f>
        <v>3.9942129629629633E-2</v>
      </c>
      <c r="E4" s="36">
        <f>D4*1440</f>
        <v>57.516666666666673</v>
      </c>
      <c r="F4" s="34">
        <v>0.01</v>
      </c>
      <c r="G4" s="319">
        <v>7.7799999999999996E-3</v>
      </c>
      <c r="H4" s="31">
        <v>19</v>
      </c>
      <c r="I4" s="31">
        <v>39.5</v>
      </c>
    </row>
    <row r="5" spans="1:23" ht="15.75">
      <c r="A5" s="31"/>
      <c r="B5" s="31"/>
      <c r="C5" s="31"/>
      <c r="D5" s="35"/>
      <c r="E5" s="31">
        <f>E4*60</f>
        <v>3451.0000000000005</v>
      </c>
      <c r="F5" s="34">
        <v>2.8700000000000002E-3</v>
      </c>
      <c r="G5" s="319">
        <v>3.4099999999999999E-4</v>
      </c>
      <c r="H5" s="31">
        <v>16.7</v>
      </c>
      <c r="I5" s="31">
        <v>68.3</v>
      </c>
      <c r="K5" s="1">
        <f>E4</f>
        <v>57.516666666666673</v>
      </c>
    </row>
    <row r="6" spans="1:23" ht="63">
      <c r="A6" s="320" t="s">
        <v>69</v>
      </c>
      <c r="B6" s="320" t="s">
        <v>393</v>
      </c>
      <c r="C6" s="320" t="s">
        <v>1044</v>
      </c>
      <c r="D6" s="320" t="s">
        <v>408</v>
      </c>
      <c r="E6" s="320" t="s">
        <v>153</v>
      </c>
      <c r="F6" s="320" t="s">
        <v>382</v>
      </c>
      <c r="G6" s="320" t="s">
        <v>152</v>
      </c>
      <c r="H6" s="320" t="s">
        <v>381</v>
      </c>
      <c r="I6" s="320" t="s">
        <v>69</v>
      </c>
      <c r="J6" s="377" t="s">
        <v>409</v>
      </c>
      <c r="K6" s="147" t="s">
        <v>396</v>
      </c>
      <c r="L6" s="320" t="s">
        <v>1944</v>
      </c>
      <c r="M6" s="378" t="s">
        <v>237</v>
      </c>
      <c r="N6" s="378" t="s">
        <v>238</v>
      </c>
      <c r="O6" s="378" t="s">
        <v>239</v>
      </c>
      <c r="P6" s="346" t="s">
        <v>240</v>
      </c>
      <c r="Q6" s="379" t="s">
        <v>241</v>
      </c>
      <c r="R6" s="380" t="s">
        <v>242</v>
      </c>
      <c r="S6" s="346" t="s">
        <v>243</v>
      </c>
      <c r="T6" s="179"/>
      <c r="U6" s="37"/>
      <c r="V6" s="179"/>
      <c r="W6" s="179"/>
    </row>
    <row r="7" spans="1:23" ht="15.75">
      <c r="A7" s="1">
        <v>1</v>
      </c>
      <c r="F7" s="25"/>
      <c r="G7" s="25"/>
      <c r="I7" s="1">
        <v>1</v>
      </c>
      <c r="J7" s="327"/>
      <c r="K7" s="148"/>
      <c r="L7" s="326"/>
      <c r="M7" s="381"/>
      <c r="N7" s="381"/>
      <c r="O7" s="381"/>
      <c r="P7" s="381"/>
      <c r="Q7" s="381"/>
      <c r="R7" s="381"/>
      <c r="S7" s="381"/>
    </row>
    <row r="8" spans="1:23">
      <c r="A8" s="1">
        <v>2</v>
      </c>
      <c r="F8" s="25"/>
      <c r="G8" s="25"/>
      <c r="I8" s="1">
        <v>2</v>
      </c>
      <c r="J8" s="328"/>
      <c r="K8" s="149"/>
      <c r="L8" s="326"/>
      <c r="M8" s="326"/>
      <c r="N8" s="326"/>
      <c r="O8" s="326"/>
      <c r="P8" s="326"/>
      <c r="Q8" s="326"/>
      <c r="R8" s="326"/>
      <c r="S8" s="326"/>
      <c r="T8" s="25"/>
    </row>
    <row r="9" spans="1:23">
      <c r="A9" s="1">
        <v>3</v>
      </c>
      <c r="B9" s="376"/>
      <c r="C9" s="25"/>
      <c r="D9" s="25"/>
      <c r="E9" s="4">
        <f t="shared" ref="E9:E31" si="0">ROUND(1-IF(A9&gt;=H$3,0,IF(A9&gt;=H$4,F$3*(A9-H$3)^2,F$2+F$4*(H$4-A9)+(A9&lt;H$5)*F$5*(H$5-A9)^2)),4)</f>
        <v>0.29630000000000001</v>
      </c>
      <c r="F9" s="25">
        <v>120.22926963207028</v>
      </c>
      <c r="G9" s="25"/>
      <c r="H9" s="167"/>
      <c r="I9" s="1">
        <v>3</v>
      </c>
      <c r="J9" s="328"/>
      <c r="K9" s="149"/>
      <c r="L9" s="382"/>
      <c r="M9" s="326"/>
      <c r="N9" s="326"/>
      <c r="O9" s="383"/>
      <c r="P9" s="326"/>
      <c r="Q9" s="326"/>
      <c r="R9" s="326"/>
      <c r="S9" s="326"/>
      <c r="T9" s="25"/>
    </row>
    <row r="10" spans="1:23">
      <c r="A10" s="1">
        <v>4</v>
      </c>
      <c r="B10" s="8"/>
      <c r="C10" s="25"/>
      <c r="D10" s="25"/>
      <c r="E10" s="4">
        <f t="shared" si="0"/>
        <v>0.3821</v>
      </c>
      <c r="F10" s="25">
        <v>106.61675188702216</v>
      </c>
      <c r="G10" s="25"/>
      <c r="H10" s="167"/>
      <c r="I10" s="1">
        <v>4</v>
      </c>
      <c r="J10" s="328"/>
      <c r="K10" s="149"/>
      <c r="L10" s="384"/>
      <c r="M10" s="385"/>
      <c r="N10" s="385"/>
      <c r="O10" s="385"/>
      <c r="P10" s="331"/>
      <c r="Q10" s="386"/>
      <c r="R10" s="387"/>
      <c r="S10" s="331"/>
      <c r="T10" s="25"/>
    </row>
    <row r="11" spans="1:23">
      <c r="A11" s="1">
        <v>5</v>
      </c>
      <c r="B11" s="395" t="s">
        <v>1780</v>
      </c>
      <c r="C11" s="25">
        <f t="shared" ref="C11:C75" si="1">B11*1440</f>
        <v>182.96666666666667</v>
      </c>
      <c r="D11" s="25">
        <f t="shared" ref="D11:D42" si="2">E$4/E11</f>
        <v>124.46800836759721</v>
      </c>
      <c r="E11" s="4">
        <f t="shared" si="0"/>
        <v>0.46210000000000001</v>
      </c>
      <c r="F11" s="25">
        <v>96.405768383971818</v>
      </c>
      <c r="G11" s="25">
        <v>182.96666666666667</v>
      </c>
      <c r="H11" s="167">
        <f t="shared" ref="H11:H73" si="3">((F11-D11)/F11)</f>
        <v>-0.29108465659292382</v>
      </c>
      <c r="I11" s="1">
        <v>5</v>
      </c>
      <c r="J11" s="328">
        <f t="shared" ref="J11:J19" si="4">100*(+F11/C11)</f>
        <v>52.690345263602744</v>
      </c>
      <c r="K11" s="149">
        <f t="shared" ref="K11:K74" si="5">100*(+D11/C11)</f>
        <v>68.027696320421143</v>
      </c>
      <c r="L11" s="352">
        <v>0.12706018518518519</v>
      </c>
      <c r="M11" s="330" t="s">
        <v>1673</v>
      </c>
      <c r="N11" s="330" t="s">
        <v>1674</v>
      </c>
      <c r="O11" s="330" t="s">
        <v>155</v>
      </c>
      <c r="P11" s="388">
        <v>39252</v>
      </c>
      <c r="Q11" s="332"/>
      <c r="R11" s="330" t="s">
        <v>1675</v>
      </c>
      <c r="S11" s="388">
        <v>41398</v>
      </c>
      <c r="T11" s="159"/>
    </row>
    <row r="12" spans="1:23">
      <c r="A12" s="1">
        <v>6</v>
      </c>
      <c r="B12" s="396" t="s">
        <v>1781</v>
      </c>
      <c r="C12" s="25">
        <f t="shared" si="1"/>
        <v>126.85000000000001</v>
      </c>
      <c r="D12" s="25">
        <f t="shared" si="2"/>
        <v>107.22719363658962</v>
      </c>
      <c r="E12" s="4">
        <f t="shared" si="0"/>
        <v>0.53639999999999999</v>
      </c>
      <c r="F12" s="25">
        <v>88.513240347685468</v>
      </c>
      <c r="G12" s="25">
        <v>126.85000000000001</v>
      </c>
      <c r="H12" s="167">
        <f t="shared" si="3"/>
        <v>-0.21142546827338585</v>
      </c>
      <c r="I12" s="1">
        <v>6</v>
      </c>
      <c r="J12" s="328">
        <f t="shared" si="4"/>
        <v>69.777879659192322</v>
      </c>
      <c r="K12" s="149">
        <f t="shared" si="5"/>
        <v>84.530700541261027</v>
      </c>
      <c r="L12" s="389">
        <v>8.8090277777777781E-2</v>
      </c>
      <c r="M12" s="330" t="s">
        <v>1676</v>
      </c>
      <c r="N12" s="330" t="s">
        <v>421</v>
      </c>
      <c r="O12" s="330" t="s">
        <v>155</v>
      </c>
      <c r="P12" s="388">
        <v>40405</v>
      </c>
      <c r="Q12" s="332"/>
      <c r="R12" s="330" t="s">
        <v>156</v>
      </c>
      <c r="S12" s="388">
        <v>42686</v>
      </c>
      <c r="T12" s="159"/>
    </row>
    <row r="13" spans="1:23">
      <c r="A13" s="1">
        <v>7</v>
      </c>
      <c r="B13" s="396" t="s">
        <v>1782</v>
      </c>
      <c r="C13" s="25">
        <f t="shared" si="1"/>
        <v>103.60000000000001</v>
      </c>
      <c r="D13" s="25">
        <f t="shared" si="2"/>
        <v>95.068870523415995</v>
      </c>
      <c r="E13" s="4">
        <f t="shared" si="0"/>
        <v>0.60499999999999998</v>
      </c>
      <c r="F13" s="25">
        <v>82.276399849680573</v>
      </c>
      <c r="G13" s="25">
        <v>103.6</v>
      </c>
      <c r="H13" s="167">
        <f t="shared" si="3"/>
        <v>-0.15548165327004262</v>
      </c>
      <c r="I13" s="1">
        <v>7</v>
      </c>
      <c r="J13" s="328">
        <f t="shared" si="4"/>
        <v>79.417374372278545</v>
      </c>
      <c r="K13" s="149">
        <f t="shared" si="5"/>
        <v>91.765319038046329</v>
      </c>
      <c r="L13" s="389">
        <v>7.1944444444444436E-2</v>
      </c>
      <c r="M13" s="330" t="s">
        <v>1677</v>
      </c>
      <c r="N13" s="330" t="s">
        <v>1678</v>
      </c>
      <c r="O13" s="330" t="s">
        <v>155</v>
      </c>
      <c r="P13" s="388">
        <v>39371</v>
      </c>
      <c r="Q13" s="332"/>
      <c r="R13" s="330" t="s">
        <v>1679</v>
      </c>
      <c r="S13" s="388">
        <v>42259</v>
      </c>
      <c r="T13" s="159"/>
    </row>
    <row r="14" spans="1:23">
      <c r="A14" s="1">
        <v>8</v>
      </c>
      <c r="B14" s="396" t="s">
        <v>1783</v>
      </c>
      <c r="C14" s="25">
        <f t="shared" si="1"/>
        <v>98.36666666666666</v>
      </c>
      <c r="D14" s="25">
        <f t="shared" si="2"/>
        <v>86.128581411600294</v>
      </c>
      <c r="E14" s="4">
        <f t="shared" si="0"/>
        <v>0.66779999999999995</v>
      </c>
      <c r="F14" s="25">
        <v>77.267513675666137</v>
      </c>
      <c r="G14" s="25">
        <v>98.36666666666666</v>
      </c>
      <c r="H14" s="167">
        <f t="shared" si="3"/>
        <v>-0.1146803787828464</v>
      </c>
      <c r="I14" s="1">
        <v>8</v>
      </c>
      <c r="J14" s="328">
        <f t="shared" si="4"/>
        <v>78.550505261605707</v>
      </c>
      <c r="K14" s="149">
        <f t="shared" si="5"/>
        <v>87.558706958590619</v>
      </c>
      <c r="L14" s="389">
        <v>6.8310185185185182E-2</v>
      </c>
      <c r="M14" s="330" t="s">
        <v>1545</v>
      </c>
      <c r="N14" s="330" t="s">
        <v>1546</v>
      </c>
      <c r="O14" s="330" t="s">
        <v>155</v>
      </c>
      <c r="P14" s="388">
        <v>39139</v>
      </c>
      <c r="Q14" s="332"/>
      <c r="R14" s="330" t="s">
        <v>1680</v>
      </c>
      <c r="S14" s="388">
        <v>42385</v>
      </c>
      <c r="T14" s="159"/>
    </row>
    <row r="15" spans="1:23">
      <c r="A15" s="1">
        <v>9</v>
      </c>
      <c r="B15" s="396" t="s">
        <v>1784</v>
      </c>
      <c r="C15" s="25">
        <f t="shared" si="1"/>
        <v>88.7</v>
      </c>
      <c r="D15" s="25">
        <f t="shared" si="2"/>
        <v>79.355224429727755</v>
      </c>
      <c r="E15" s="4">
        <f t="shared" si="0"/>
        <v>0.7248</v>
      </c>
      <c r="F15" s="25">
        <v>73.198762955533269</v>
      </c>
      <c r="G15" s="25">
        <v>88.7</v>
      </c>
      <c r="H15" s="167">
        <f t="shared" si="3"/>
        <v>-8.4106086300043209E-2</v>
      </c>
      <c r="I15" s="1">
        <v>9</v>
      </c>
      <c r="J15" s="328">
        <f t="shared" si="4"/>
        <v>82.523971764975499</v>
      </c>
      <c r="K15" s="149">
        <f t="shared" si="5"/>
        <v>89.464740056062851</v>
      </c>
      <c r="L15" s="389">
        <v>6.159722222222222E-2</v>
      </c>
      <c r="M15" s="330" t="s">
        <v>1681</v>
      </c>
      <c r="N15" s="330" t="s">
        <v>1682</v>
      </c>
      <c r="O15" s="330" t="s">
        <v>155</v>
      </c>
      <c r="P15" s="388">
        <v>39466</v>
      </c>
      <c r="Q15" s="332"/>
      <c r="R15" s="330" t="s">
        <v>1683</v>
      </c>
      <c r="S15" s="388">
        <v>43022</v>
      </c>
      <c r="T15" s="159"/>
    </row>
    <row r="16" spans="1:23">
      <c r="A16" s="1">
        <v>10</v>
      </c>
      <c r="B16" s="396" t="s">
        <v>1785</v>
      </c>
      <c r="C16" s="25">
        <f t="shared" si="1"/>
        <v>85.683333333333337</v>
      </c>
      <c r="D16" s="25">
        <f t="shared" si="2"/>
        <v>74.100317787511813</v>
      </c>
      <c r="E16" s="4">
        <f t="shared" si="0"/>
        <v>0.7762</v>
      </c>
      <c r="F16" s="25">
        <v>69.869953725865642</v>
      </c>
      <c r="G16" s="25">
        <v>85.683333333333337</v>
      </c>
      <c r="H16" s="167">
        <f t="shared" si="3"/>
        <v>-6.0546255379586758E-2</v>
      </c>
      <c r="I16" s="1">
        <v>10</v>
      </c>
      <c r="J16" s="328">
        <f t="shared" si="4"/>
        <v>81.544392599726478</v>
      </c>
      <c r="K16" s="149">
        <f t="shared" si="5"/>
        <v>86.4816002188428</v>
      </c>
      <c r="L16" s="389">
        <v>5.950231481481482E-2</v>
      </c>
      <c r="M16" s="330" t="s">
        <v>1684</v>
      </c>
      <c r="N16" s="330" t="s">
        <v>1685</v>
      </c>
      <c r="O16" s="330" t="s">
        <v>155</v>
      </c>
      <c r="P16" s="388">
        <v>27092</v>
      </c>
      <c r="Q16" s="332"/>
      <c r="R16" s="330" t="s">
        <v>317</v>
      </c>
      <c r="S16" s="388">
        <v>30975</v>
      </c>
      <c r="T16" s="159"/>
    </row>
    <row r="17" spans="1:20">
      <c r="A17" s="1">
        <v>11</v>
      </c>
      <c r="B17" s="396" t="s">
        <v>1786</v>
      </c>
      <c r="C17" s="25">
        <f t="shared" si="1"/>
        <v>83.966666666666669</v>
      </c>
      <c r="D17" s="25">
        <f t="shared" si="2"/>
        <v>69.988642816581503</v>
      </c>
      <c r="E17" s="4">
        <f t="shared" si="0"/>
        <v>0.82179999999999997</v>
      </c>
      <c r="F17" s="25">
        <v>67.138147807421035</v>
      </c>
      <c r="G17" s="25">
        <v>83.966666666666669</v>
      </c>
      <c r="H17" s="167">
        <f t="shared" si="3"/>
        <v>-4.2457158891794633E-2</v>
      </c>
      <c r="I17" s="1">
        <v>11</v>
      </c>
      <c r="J17" s="328">
        <f t="shared" si="4"/>
        <v>79.958095840517302</v>
      </c>
      <c r="K17" s="149">
        <f t="shared" si="5"/>
        <v>83.352889420303498</v>
      </c>
      <c r="L17" s="389">
        <v>5.8310185185185187E-2</v>
      </c>
      <c r="M17" s="330" t="s">
        <v>1686</v>
      </c>
      <c r="N17" s="330" t="s">
        <v>1687</v>
      </c>
      <c r="O17" s="330" t="s">
        <v>155</v>
      </c>
      <c r="P17" s="388">
        <v>38769</v>
      </c>
      <c r="Q17" s="332"/>
      <c r="R17" s="330" t="s">
        <v>1688</v>
      </c>
      <c r="S17" s="388">
        <v>43044</v>
      </c>
      <c r="T17" s="159"/>
    </row>
    <row r="18" spans="1:20">
      <c r="A18" s="1">
        <v>12</v>
      </c>
      <c r="B18" s="396" t="s">
        <v>1787</v>
      </c>
      <c r="C18" s="25">
        <f t="shared" si="1"/>
        <v>79.433333333333337</v>
      </c>
      <c r="D18" s="25">
        <f t="shared" si="2"/>
        <v>66.755648406066243</v>
      </c>
      <c r="E18" s="4">
        <f t="shared" si="0"/>
        <v>0.86160000000000003</v>
      </c>
      <c r="F18" s="25">
        <v>64.899214465688459</v>
      </c>
      <c r="G18" s="25">
        <v>79.433333333333337</v>
      </c>
      <c r="H18" s="167">
        <f t="shared" si="3"/>
        <v>-2.8604875354219596E-2</v>
      </c>
      <c r="I18" s="1">
        <v>12</v>
      </c>
      <c r="J18" s="328">
        <f t="shared" si="4"/>
        <v>81.70274586532328</v>
      </c>
      <c r="K18" s="149">
        <f t="shared" si="5"/>
        <v>84.039842726898328</v>
      </c>
      <c r="L18" s="389">
        <v>5.5162037037037037E-2</v>
      </c>
      <c r="M18" s="330" t="s">
        <v>1689</v>
      </c>
      <c r="N18" s="330" t="s">
        <v>1690</v>
      </c>
      <c r="O18" s="330" t="s">
        <v>155</v>
      </c>
      <c r="P18" s="388">
        <v>25228</v>
      </c>
      <c r="Q18" s="332"/>
      <c r="R18" s="330" t="s">
        <v>1691</v>
      </c>
      <c r="S18" s="388">
        <v>29744</v>
      </c>
      <c r="T18" s="159"/>
    </row>
    <row r="19" spans="1:20">
      <c r="A19" s="1">
        <v>13</v>
      </c>
      <c r="B19" s="396" t="s">
        <v>1788</v>
      </c>
      <c r="C19" s="25">
        <f t="shared" si="1"/>
        <v>78.88333333333334</v>
      </c>
      <c r="D19" s="25">
        <f t="shared" si="2"/>
        <v>64.214208626400207</v>
      </c>
      <c r="E19" s="4">
        <f t="shared" si="0"/>
        <v>0.89570000000000005</v>
      </c>
      <c r="F19" s="25">
        <v>63.076202823393835</v>
      </c>
      <c r="G19" s="25">
        <v>78.883333333333326</v>
      </c>
      <c r="H19" s="167">
        <f t="shared" si="3"/>
        <v>-1.8041761426138135E-2</v>
      </c>
      <c r="I19" s="1">
        <v>13</v>
      </c>
      <c r="J19" s="328">
        <f t="shared" si="4"/>
        <v>79.961381141002107</v>
      </c>
      <c r="K19" s="149">
        <f t="shared" si="5"/>
        <v>81.404025302852574</v>
      </c>
      <c r="L19" s="389">
        <v>5.4780092592592589E-2</v>
      </c>
      <c r="M19" s="330" t="s">
        <v>1498</v>
      </c>
      <c r="N19" s="330" t="s">
        <v>1692</v>
      </c>
      <c r="O19" s="330" t="s">
        <v>302</v>
      </c>
      <c r="P19" s="388">
        <v>36661</v>
      </c>
      <c r="Q19" s="332"/>
      <c r="R19" s="330" t="s">
        <v>1693</v>
      </c>
      <c r="S19" s="388">
        <v>41490</v>
      </c>
      <c r="T19" s="159"/>
    </row>
    <row r="20" spans="1:20">
      <c r="A20" s="1">
        <v>14</v>
      </c>
      <c r="B20" s="396" t="s">
        <v>1789</v>
      </c>
      <c r="C20" s="25">
        <f t="shared" si="1"/>
        <v>73.3</v>
      </c>
      <c r="D20" s="25">
        <f t="shared" si="2"/>
        <v>62.240738736788956</v>
      </c>
      <c r="E20" s="4">
        <f t="shared" si="0"/>
        <v>0.92410000000000003</v>
      </c>
      <c r="F20" s="25">
        <v>61.61179119178275</v>
      </c>
      <c r="G20" s="25">
        <v>73.3</v>
      </c>
      <c r="H20" s="167">
        <f t="shared" si="3"/>
        <v>-1.0208233405330525E-2</v>
      </c>
      <c r="I20" s="1">
        <v>14</v>
      </c>
      <c r="J20" s="328">
        <f>100*(+F20/C20)</f>
        <v>84.05428539124523</v>
      </c>
      <c r="K20" s="149">
        <f t="shared" si="5"/>
        <v>84.912331155237325</v>
      </c>
      <c r="L20" s="389">
        <v>5.0902777777777776E-2</v>
      </c>
      <c r="M20" s="330" t="s">
        <v>1694</v>
      </c>
      <c r="N20" s="330" t="s">
        <v>1695</v>
      </c>
      <c r="O20" s="330" t="s">
        <v>155</v>
      </c>
      <c r="P20" s="388">
        <v>24381</v>
      </c>
      <c r="Q20" s="332"/>
      <c r="R20" s="330" t="s">
        <v>318</v>
      </c>
      <c r="S20" s="388">
        <v>29849</v>
      </c>
      <c r="T20" s="159"/>
    </row>
    <row r="21" spans="1:20">
      <c r="A21" s="1">
        <v>15</v>
      </c>
      <c r="B21" s="396" t="s">
        <v>1790</v>
      </c>
      <c r="C21" s="25">
        <f t="shared" si="1"/>
        <v>62.733333333333334</v>
      </c>
      <c r="D21" s="25">
        <f t="shared" si="2"/>
        <v>60.754902996373374</v>
      </c>
      <c r="E21" s="4">
        <f t="shared" si="0"/>
        <v>0.94669999999999999</v>
      </c>
      <c r="F21" s="25">
        <v>60.463269814968243</v>
      </c>
      <c r="G21" s="25">
        <v>62.733333333333334</v>
      </c>
      <c r="H21" s="167">
        <f t="shared" si="3"/>
        <v>-4.8233114467278668E-3</v>
      </c>
      <c r="I21" s="1">
        <v>15</v>
      </c>
      <c r="J21" s="328">
        <f t="shared" ref="J21:J84" si="6">100*(+F21/C21)</f>
        <v>96.381407781564675</v>
      </c>
      <c r="K21" s="149">
        <f t="shared" si="5"/>
        <v>96.846285328969245</v>
      </c>
      <c r="L21" s="389">
        <v>4.3564814814814813E-2</v>
      </c>
      <c r="M21" s="330" t="s">
        <v>1696</v>
      </c>
      <c r="N21" s="330" t="s">
        <v>1697</v>
      </c>
      <c r="O21" s="330" t="s">
        <v>163</v>
      </c>
      <c r="P21" s="388">
        <v>30127</v>
      </c>
      <c r="Q21" s="332"/>
      <c r="R21" s="330" t="s">
        <v>320</v>
      </c>
      <c r="S21" s="388">
        <v>35707</v>
      </c>
      <c r="T21" s="159"/>
    </row>
    <row r="22" spans="1:20">
      <c r="A22" s="1">
        <v>16</v>
      </c>
      <c r="B22" s="396" t="s">
        <v>1791</v>
      </c>
      <c r="C22" s="25">
        <f t="shared" si="1"/>
        <v>60.750000000000007</v>
      </c>
      <c r="D22" s="25">
        <f t="shared" si="2"/>
        <v>59.689359346893596</v>
      </c>
      <c r="E22" s="4">
        <f t="shared" si="0"/>
        <v>0.96360000000000001</v>
      </c>
      <c r="F22" s="25">
        <v>59.599156118143455</v>
      </c>
      <c r="G22" s="25">
        <v>60.749999999999993</v>
      </c>
      <c r="H22" s="167">
        <f t="shared" si="3"/>
        <v>-1.5134984222147604E-3</v>
      </c>
      <c r="I22" s="1">
        <v>16</v>
      </c>
      <c r="J22" s="328">
        <f t="shared" si="6"/>
        <v>98.105606778836957</v>
      </c>
      <c r="K22" s="149">
        <f t="shared" si="5"/>
        <v>98.254089459907149</v>
      </c>
      <c r="L22" s="389">
        <v>4.2187499999999996E-2</v>
      </c>
      <c r="M22" s="330" t="s">
        <v>1698</v>
      </c>
      <c r="N22" s="330" t="s">
        <v>1699</v>
      </c>
      <c r="O22" s="330" t="s">
        <v>738</v>
      </c>
      <c r="P22" s="388">
        <v>30101</v>
      </c>
      <c r="Q22" s="332"/>
      <c r="R22" s="330" t="s">
        <v>1700</v>
      </c>
      <c r="S22" s="388">
        <v>36261</v>
      </c>
      <c r="T22" s="159"/>
    </row>
    <row r="23" spans="1:20">
      <c r="A23" s="1">
        <v>17</v>
      </c>
      <c r="B23" s="396">
        <v>4.1631944444444444E-2</v>
      </c>
      <c r="C23" s="25">
        <f t="shared" si="1"/>
        <v>59.949999999999996</v>
      </c>
      <c r="D23" s="25">
        <f t="shared" si="2"/>
        <v>58.991452991453002</v>
      </c>
      <c r="E23" s="4">
        <f t="shared" si="0"/>
        <v>0.97499999999999998</v>
      </c>
      <c r="F23" s="25">
        <v>58.877907758504769</v>
      </c>
      <c r="G23" s="25">
        <v>59.95000000000001</v>
      </c>
      <c r="H23" s="167">
        <f t="shared" si="3"/>
        <v>-1.9284862059629156E-3</v>
      </c>
      <c r="I23" s="1">
        <v>17</v>
      </c>
      <c r="J23" s="328">
        <f t="shared" si="6"/>
        <v>98.211689338623472</v>
      </c>
      <c r="K23" s="149">
        <f t="shared" si="5"/>
        <v>98.40108922677733</v>
      </c>
      <c r="L23" s="389">
        <v>4.1631944444444451E-2</v>
      </c>
      <c r="M23" s="330" t="s">
        <v>1565</v>
      </c>
      <c r="N23" s="330" t="s">
        <v>1566</v>
      </c>
      <c r="O23" s="330" t="s">
        <v>160</v>
      </c>
      <c r="P23" s="388">
        <v>33966</v>
      </c>
      <c r="Q23" s="332"/>
      <c r="R23" s="330" t="s">
        <v>339</v>
      </c>
      <c r="S23" s="388">
        <v>40251</v>
      </c>
      <c r="T23" s="159"/>
    </row>
    <row r="24" spans="1:20">
      <c r="A24" s="1">
        <v>18</v>
      </c>
      <c r="B24" s="396">
        <v>4.1157407407407406E-2</v>
      </c>
      <c r="C24" s="25">
        <f t="shared" si="1"/>
        <v>59.266666666666666</v>
      </c>
      <c r="D24" s="25">
        <f t="shared" si="2"/>
        <v>58.392554991539768</v>
      </c>
      <c r="E24" s="4">
        <f t="shared" si="0"/>
        <v>0.98499999999999999</v>
      </c>
      <c r="F24" s="25">
        <v>58.423395089966455</v>
      </c>
      <c r="G24" s="25">
        <v>59.266666666666666</v>
      </c>
      <c r="H24" s="167">
        <f t="shared" si="3"/>
        <v>5.2787241102979329E-4</v>
      </c>
      <c r="I24" s="1">
        <v>18</v>
      </c>
      <c r="J24" s="328">
        <f t="shared" si="6"/>
        <v>98.577157069684688</v>
      </c>
      <c r="K24" s="149">
        <f t="shared" si="5"/>
        <v>98.525120908109841</v>
      </c>
      <c r="L24" s="389">
        <v>4.1157407407407406E-2</v>
      </c>
      <c r="M24" s="330" t="s">
        <v>1701</v>
      </c>
      <c r="N24" s="330" t="s">
        <v>1702</v>
      </c>
      <c r="O24" s="330" t="s">
        <v>160</v>
      </c>
      <c r="P24" s="388">
        <v>31726</v>
      </c>
      <c r="Q24" s="332"/>
      <c r="R24" s="330" t="s">
        <v>1641</v>
      </c>
      <c r="S24" s="388">
        <v>38606</v>
      </c>
      <c r="T24" s="159"/>
    </row>
    <row r="25" spans="1:20">
      <c r="A25" s="1">
        <v>19</v>
      </c>
      <c r="B25" s="396">
        <v>4.0833333333333333E-2</v>
      </c>
      <c r="C25" s="25">
        <f t="shared" si="1"/>
        <v>58.8</v>
      </c>
      <c r="D25" s="25">
        <f t="shared" si="2"/>
        <v>57.805695142378568</v>
      </c>
      <c r="E25" s="4">
        <f t="shared" si="0"/>
        <v>0.995</v>
      </c>
      <c r="F25" s="25">
        <v>58.383333333333333</v>
      </c>
      <c r="G25" s="25">
        <v>58.8</v>
      </c>
      <c r="H25" s="167">
        <f t="shared" si="3"/>
        <v>9.8938885119286071E-3</v>
      </c>
      <c r="I25" s="1">
        <v>19</v>
      </c>
      <c r="J25" s="328">
        <f t="shared" si="6"/>
        <v>99.291383219954653</v>
      </c>
      <c r="K25" s="149">
        <f t="shared" si="5"/>
        <v>98.309005344181244</v>
      </c>
      <c r="L25" s="389">
        <v>4.0833333333333333E-2</v>
      </c>
      <c r="M25" s="330" t="s">
        <v>1703</v>
      </c>
      <c r="N25" s="330" t="s">
        <v>1704</v>
      </c>
      <c r="O25" s="330" t="s">
        <v>160</v>
      </c>
      <c r="P25" s="388">
        <v>35774</v>
      </c>
      <c r="Q25" s="332"/>
      <c r="R25" s="330" t="s">
        <v>321</v>
      </c>
      <c r="S25" s="388">
        <v>42995</v>
      </c>
      <c r="T25" s="159"/>
    </row>
    <row r="26" spans="1:20">
      <c r="A26" s="1">
        <v>20</v>
      </c>
      <c r="B26" s="396">
        <v>4.0011574074074074E-2</v>
      </c>
      <c r="C26" s="25">
        <f t="shared" si="1"/>
        <v>57.616666666666667</v>
      </c>
      <c r="D26" s="25">
        <f t="shared" si="2"/>
        <v>57.516666666666673</v>
      </c>
      <c r="E26" s="4">
        <f t="shared" si="0"/>
        <v>1</v>
      </c>
      <c r="F26" s="25">
        <v>58.383333333333333</v>
      </c>
      <c r="G26" s="25">
        <v>58.55</v>
      </c>
      <c r="H26" s="167">
        <f t="shared" si="3"/>
        <v>1.4844419069368999E-2</v>
      </c>
      <c r="I26" s="1">
        <v>20</v>
      </c>
      <c r="J26" s="328">
        <f t="shared" si="6"/>
        <v>101.33063349725195</v>
      </c>
      <c r="K26" s="149">
        <f t="shared" si="5"/>
        <v>99.826439109054093</v>
      </c>
      <c r="L26" s="389">
        <v>4.0659722222222222E-2</v>
      </c>
      <c r="M26" s="330" t="s">
        <v>1701</v>
      </c>
      <c r="N26" s="330" t="s">
        <v>1702</v>
      </c>
      <c r="O26" s="330" t="s">
        <v>160</v>
      </c>
      <c r="P26" s="388">
        <v>31726</v>
      </c>
      <c r="Q26" s="332"/>
      <c r="R26" s="330" t="s">
        <v>339</v>
      </c>
      <c r="S26" s="388">
        <v>39158</v>
      </c>
      <c r="T26" s="159"/>
    </row>
    <row r="27" spans="1:20">
      <c r="A27" s="1">
        <v>21</v>
      </c>
      <c r="B27" s="396">
        <v>3.9942129629629633E-2</v>
      </c>
      <c r="C27" s="25">
        <f t="shared" si="1"/>
        <v>57.516666666666673</v>
      </c>
      <c r="D27" s="25">
        <f t="shared" si="2"/>
        <v>57.516666666666673</v>
      </c>
      <c r="E27" s="4">
        <f t="shared" si="0"/>
        <v>1</v>
      </c>
      <c r="F27" s="25">
        <v>58.383333333333333</v>
      </c>
      <c r="G27" s="25">
        <v>58.733333333333334</v>
      </c>
      <c r="H27" s="167">
        <f t="shared" si="3"/>
        <v>1.4844419069368999E-2</v>
      </c>
      <c r="I27" s="1">
        <v>21</v>
      </c>
      <c r="J27" s="328">
        <f t="shared" si="6"/>
        <v>101.50680962039986</v>
      </c>
      <c r="K27" s="149">
        <f t="shared" si="5"/>
        <v>100</v>
      </c>
      <c r="L27" s="389">
        <v>4.0787037037037038E-2</v>
      </c>
      <c r="M27" s="390" t="s">
        <v>1705</v>
      </c>
      <c r="N27" s="390" t="s">
        <v>1706</v>
      </c>
      <c r="O27" s="390" t="s">
        <v>163</v>
      </c>
      <c r="P27" s="391">
        <v>35592</v>
      </c>
      <c r="Q27" s="392" t="s">
        <v>403</v>
      </c>
      <c r="R27" s="390" t="s">
        <v>324</v>
      </c>
      <c r="S27" s="391">
        <v>43401</v>
      </c>
      <c r="T27" s="159"/>
    </row>
    <row r="28" spans="1:20">
      <c r="A28" s="1">
        <v>22</v>
      </c>
      <c r="B28" s="396">
        <v>4.0381944444444443E-2</v>
      </c>
      <c r="C28" s="25">
        <f t="shared" si="1"/>
        <v>58.15</v>
      </c>
      <c r="D28" s="25">
        <f t="shared" si="2"/>
        <v>57.516666666666673</v>
      </c>
      <c r="E28" s="4">
        <f t="shared" si="0"/>
        <v>1</v>
      </c>
      <c r="F28" s="25">
        <v>58.383333333333333</v>
      </c>
      <c r="G28" s="25">
        <v>58.55</v>
      </c>
      <c r="H28" s="167">
        <f t="shared" si="3"/>
        <v>1.4844419069368999E-2</v>
      </c>
      <c r="I28" s="1">
        <v>22</v>
      </c>
      <c r="J28" s="328">
        <f t="shared" si="6"/>
        <v>100.4012611063342</v>
      </c>
      <c r="K28" s="149">
        <f t="shared" si="5"/>
        <v>98.910862711378627</v>
      </c>
      <c r="L28" s="389">
        <v>4.0659722222222222E-2</v>
      </c>
      <c r="M28" s="390" t="s">
        <v>1707</v>
      </c>
      <c r="N28" s="390" t="s">
        <v>1708</v>
      </c>
      <c r="O28" s="390" t="s">
        <v>163</v>
      </c>
      <c r="P28" s="391">
        <v>35319</v>
      </c>
      <c r="Q28" s="392" t="s">
        <v>403</v>
      </c>
      <c r="R28" s="390" t="s">
        <v>324</v>
      </c>
      <c r="S28" s="391">
        <v>43401</v>
      </c>
      <c r="T28" s="159"/>
    </row>
    <row r="29" spans="1:20">
      <c r="A29" s="1">
        <v>23</v>
      </c>
      <c r="B29" s="396">
        <v>4.0578703703703707E-2</v>
      </c>
      <c r="C29" s="25">
        <f t="shared" si="1"/>
        <v>58.433333333333337</v>
      </c>
      <c r="D29" s="25">
        <f t="shared" si="2"/>
        <v>57.516666666666673</v>
      </c>
      <c r="E29" s="4">
        <f t="shared" si="0"/>
        <v>1</v>
      </c>
      <c r="F29" s="25">
        <v>58.383333333333333</v>
      </c>
      <c r="G29" s="25">
        <v>58.866666666666674</v>
      </c>
      <c r="H29" s="167">
        <f t="shared" si="3"/>
        <v>1.4844419069368999E-2</v>
      </c>
      <c r="I29" s="1">
        <v>23</v>
      </c>
      <c r="J29" s="328">
        <f t="shared" si="6"/>
        <v>99.914432401597253</v>
      </c>
      <c r="K29" s="149">
        <f t="shared" si="5"/>
        <v>98.431260695949803</v>
      </c>
      <c r="L29" s="389">
        <v>4.0879629629629634E-2</v>
      </c>
      <c r="M29" s="330" t="s">
        <v>1632</v>
      </c>
      <c r="N29" s="330" t="s">
        <v>1709</v>
      </c>
      <c r="O29" s="330" t="s">
        <v>160</v>
      </c>
      <c r="P29" s="388">
        <v>31108</v>
      </c>
      <c r="Q29" s="332"/>
      <c r="R29" s="330" t="s">
        <v>322</v>
      </c>
      <c r="S29" s="388">
        <v>39864</v>
      </c>
      <c r="T29" s="188"/>
    </row>
    <row r="30" spans="1:20">
      <c r="A30" s="1">
        <v>24</v>
      </c>
      <c r="B30" s="396">
        <v>3.9953703703703707E-2</v>
      </c>
      <c r="C30" s="25">
        <f t="shared" si="1"/>
        <v>57.533333333333339</v>
      </c>
      <c r="D30" s="25">
        <f t="shared" si="2"/>
        <v>57.516666666666673</v>
      </c>
      <c r="E30" s="4">
        <f t="shared" si="0"/>
        <v>1</v>
      </c>
      <c r="F30" s="25">
        <v>58.383333333333333</v>
      </c>
      <c r="G30" s="25">
        <v>58.666666666666664</v>
      </c>
      <c r="H30" s="167">
        <f t="shared" si="3"/>
        <v>1.4844419069368999E-2</v>
      </c>
      <c r="I30" s="1">
        <v>24</v>
      </c>
      <c r="J30" s="328">
        <f t="shared" si="6"/>
        <v>101.47740440324449</v>
      </c>
      <c r="K30" s="149">
        <f t="shared" si="5"/>
        <v>99.971031286210902</v>
      </c>
      <c r="L30" s="389">
        <v>4.0740740740740737E-2</v>
      </c>
      <c r="M30" s="330" t="s">
        <v>1423</v>
      </c>
      <c r="N30" s="330" t="s">
        <v>1710</v>
      </c>
      <c r="O30" s="330" t="s">
        <v>325</v>
      </c>
      <c r="P30" s="388">
        <v>33888</v>
      </c>
      <c r="Q30" s="332"/>
      <c r="R30" s="330" t="s">
        <v>321</v>
      </c>
      <c r="S30" s="388">
        <v>42995</v>
      </c>
      <c r="T30" s="159"/>
    </row>
    <row r="31" spans="1:20">
      <c r="A31" s="1">
        <v>25</v>
      </c>
      <c r="B31" s="396">
        <v>4.0902777777777781E-2</v>
      </c>
      <c r="C31" s="25">
        <f t="shared" si="1"/>
        <v>58.900000000000006</v>
      </c>
      <c r="D31" s="25">
        <f t="shared" si="2"/>
        <v>57.516666666666673</v>
      </c>
      <c r="E31" s="4">
        <f t="shared" si="0"/>
        <v>1</v>
      </c>
      <c r="F31" s="25">
        <v>58.383333333333333</v>
      </c>
      <c r="G31" s="25">
        <v>58.900000000000006</v>
      </c>
      <c r="H31" s="167">
        <f t="shared" si="3"/>
        <v>1.4844419069368999E-2</v>
      </c>
      <c r="I31" s="1">
        <v>25</v>
      </c>
      <c r="J31" s="328">
        <f t="shared" si="6"/>
        <v>99.122807017543849</v>
      </c>
      <c r="K31" s="149">
        <f t="shared" si="5"/>
        <v>97.65138653084324</v>
      </c>
      <c r="L31" s="389">
        <v>4.0902777777777781E-2</v>
      </c>
      <c r="M31" s="330" t="s">
        <v>1711</v>
      </c>
      <c r="N31" s="330" t="s">
        <v>1712</v>
      </c>
      <c r="O31" s="330" t="s">
        <v>160</v>
      </c>
      <c r="P31" s="388">
        <v>31725</v>
      </c>
      <c r="Q31" s="332"/>
      <c r="R31" s="330" t="s">
        <v>339</v>
      </c>
      <c r="S31" s="388">
        <v>40979</v>
      </c>
      <c r="T31" s="159"/>
    </row>
    <row r="32" spans="1:20">
      <c r="A32" s="1">
        <v>26</v>
      </c>
      <c r="B32" s="396">
        <v>4.0289351851851854E-2</v>
      </c>
      <c r="C32" s="25">
        <f t="shared" si="1"/>
        <v>58.016666666666673</v>
      </c>
      <c r="D32" s="25">
        <f t="shared" si="2"/>
        <v>57.516666666666673</v>
      </c>
      <c r="E32" s="4">
        <f>1-IF(A32&gt;=H$3,0,IF(A32&gt;=H$4,F$3*(A32-H$3)^2,F$2+F$4*(H$4-A32)+(A32&lt;H$5)*F$5*(H$5-A32)^2))</f>
        <v>1</v>
      </c>
      <c r="F32" s="25">
        <v>58.383333333333333</v>
      </c>
      <c r="G32" s="25">
        <v>58.016666666666659</v>
      </c>
      <c r="H32" s="167">
        <f t="shared" si="3"/>
        <v>1.4844419069368999E-2</v>
      </c>
      <c r="I32" s="1">
        <v>26</v>
      </c>
      <c r="J32" s="328">
        <f t="shared" si="6"/>
        <v>100.63200229819016</v>
      </c>
      <c r="K32" s="149">
        <f t="shared" si="5"/>
        <v>99.138178684286132</v>
      </c>
      <c r="L32" s="389">
        <v>4.0289351851851847E-2</v>
      </c>
      <c r="M32" s="330" t="s">
        <v>1713</v>
      </c>
      <c r="N32" s="330" t="s">
        <v>1714</v>
      </c>
      <c r="O32" s="330" t="s">
        <v>160</v>
      </c>
      <c r="P32" s="388">
        <v>33227</v>
      </c>
      <c r="Q32" s="332"/>
      <c r="R32" s="330" t="s">
        <v>321</v>
      </c>
      <c r="S32" s="388">
        <v>42995</v>
      </c>
      <c r="T32" s="159"/>
    </row>
    <row r="33" spans="1:23">
      <c r="A33" s="1">
        <v>27</v>
      </c>
      <c r="B33" s="396">
        <v>4.1053240740740737E-2</v>
      </c>
      <c r="C33" s="25">
        <f t="shared" si="1"/>
        <v>59.11666666666666</v>
      </c>
      <c r="D33" s="25">
        <f t="shared" si="2"/>
        <v>57.516666666666673</v>
      </c>
      <c r="E33" s="4">
        <f>1-IF(A33&gt;=H$3,0,IF(A33&gt;=H$4,F$3*(A33-H$3)^2,F$2+F$4*(H$4-A33)+(A33&lt;H$5)*F$5*(H$5-A33)^2))</f>
        <v>1</v>
      </c>
      <c r="F33" s="25">
        <v>58.383333333333333</v>
      </c>
      <c r="G33" s="25">
        <v>59.116666666666674</v>
      </c>
      <c r="H33" s="167">
        <f t="shared" si="3"/>
        <v>1.4844419069368999E-2</v>
      </c>
      <c r="I33" s="1">
        <v>27</v>
      </c>
      <c r="J33" s="328">
        <f t="shared" si="6"/>
        <v>98.759515083168878</v>
      </c>
      <c r="K33" s="149">
        <f t="shared" si="5"/>
        <v>97.293487454186661</v>
      </c>
      <c r="L33" s="389">
        <v>4.1053240740740744E-2</v>
      </c>
      <c r="M33" s="330" t="s">
        <v>1440</v>
      </c>
      <c r="N33" s="330" t="s">
        <v>1715</v>
      </c>
      <c r="O33" s="330" t="s">
        <v>160</v>
      </c>
      <c r="P33" s="388">
        <v>28602</v>
      </c>
      <c r="Q33" s="332"/>
      <c r="R33" s="330" t="s">
        <v>261</v>
      </c>
      <c r="S33" s="388">
        <v>38809</v>
      </c>
      <c r="T33" s="159"/>
    </row>
    <row r="34" spans="1:23">
      <c r="A34" s="1">
        <v>28</v>
      </c>
      <c r="B34" s="396">
        <v>4.0543981481481479E-2</v>
      </c>
      <c r="C34" s="25">
        <f t="shared" si="1"/>
        <v>58.383333333333333</v>
      </c>
      <c r="D34" s="25">
        <f t="shared" si="2"/>
        <v>57.516666666666673</v>
      </c>
      <c r="E34" s="4">
        <f t="shared" ref="E34:E65" si="7">ROUND(1-IF(A34&lt;I$3,0,IF(A34&lt;I$4,G$3*(A34-I$3)^2,G$2+G$4*(A34-I$4)+(A34&gt;I$5)*G$5*(A34-I$5)^2)),4)</f>
        <v>1</v>
      </c>
      <c r="F34" s="25">
        <v>58.383333333333333</v>
      </c>
      <c r="G34" s="25">
        <v>58.383333333333333</v>
      </c>
      <c r="H34" s="167">
        <f t="shared" si="3"/>
        <v>1.4844419069368999E-2</v>
      </c>
      <c r="I34" s="1">
        <v>28</v>
      </c>
      <c r="J34" s="328">
        <f t="shared" si="6"/>
        <v>100</v>
      </c>
      <c r="K34" s="149">
        <f t="shared" si="5"/>
        <v>98.515558093063106</v>
      </c>
      <c r="L34" s="389">
        <v>4.0543981481481479E-2</v>
      </c>
      <c r="M34" s="330" t="s">
        <v>1716</v>
      </c>
      <c r="N34" s="330" t="s">
        <v>1570</v>
      </c>
      <c r="O34" s="330" t="s">
        <v>1717</v>
      </c>
      <c r="P34" s="388">
        <v>29990</v>
      </c>
      <c r="Q34" s="332"/>
      <c r="R34" s="330" t="s">
        <v>1718</v>
      </c>
      <c r="S34" s="388">
        <v>40258</v>
      </c>
      <c r="T34" s="159"/>
    </row>
    <row r="35" spans="1:23">
      <c r="A35" s="1">
        <v>29</v>
      </c>
      <c r="B35" s="396">
        <v>4.0486111111111112E-2</v>
      </c>
      <c r="C35" s="25">
        <f t="shared" si="1"/>
        <v>58.3</v>
      </c>
      <c r="D35" s="25">
        <f t="shared" si="2"/>
        <v>57.516666666666673</v>
      </c>
      <c r="E35" s="4">
        <f t="shared" si="7"/>
        <v>1</v>
      </c>
      <c r="F35" s="25">
        <v>58.383333333333333</v>
      </c>
      <c r="G35" s="25">
        <v>58.29999999999999</v>
      </c>
      <c r="H35" s="167">
        <f t="shared" si="3"/>
        <v>1.4844419069368999E-2</v>
      </c>
      <c r="I35" s="1">
        <v>29</v>
      </c>
      <c r="J35" s="328">
        <f t="shared" si="6"/>
        <v>100.14293882218411</v>
      </c>
      <c r="K35" s="149">
        <f t="shared" si="5"/>
        <v>98.656375071469427</v>
      </c>
      <c r="L35" s="389">
        <v>4.0486111111111105E-2</v>
      </c>
      <c r="M35" s="390" t="s">
        <v>1423</v>
      </c>
      <c r="N35" s="390" t="s">
        <v>1719</v>
      </c>
      <c r="O35" s="390" t="s">
        <v>160</v>
      </c>
      <c r="P35" s="391">
        <v>32766</v>
      </c>
      <c r="Q35" s="392" t="s">
        <v>403</v>
      </c>
      <c r="R35" s="390" t="s">
        <v>324</v>
      </c>
      <c r="S35" s="391">
        <v>43401</v>
      </c>
      <c r="T35" s="159"/>
    </row>
    <row r="36" spans="1:23">
      <c r="A36" s="1">
        <v>30</v>
      </c>
      <c r="B36" s="396">
        <v>4.0983796296296296E-2</v>
      </c>
      <c r="C36" s="25">
        <f t="shared" si="1"/>
        <v>59.016666666666666</v>
      </c>
      <c r="D36" s="25">
        <f t="shared" si="2"/>
        <v>57.516666666666673</v>
      </c>
      <c r="E36" s="4">
        <f t="shared" si="7"/>
        <v>1</v>
      </c>
      <c r="F36" s="25">
        <v>58.383333333333333</v>
      </c>
      <c r="G36" s="25">
        <v>59.016666666666666</v>
      </c>
      <c r="H36" s="167">
        <f t="shared" si="3"/>
        <v>1.4844419069368999E-2</v>
      </c>
      <c r="I36" s="1">
        <v>30</v>
      </c>
      <c r="J36" s="328">
        <f t="shared" si="6"/>
        <v>98.926856820107318</v>
      </c>
      <c r="K36" s="149">
        <f t="shared" si="5"/>
        <v>97.458345100254178</v>
      </c>
      <c r="L36" s="389">
        <v>4.0983796296296296E-2</v>
      </c>
      <c r="M36" s="330" t="s">
        <v>1720</v>
      </c>
      <c r="N36" s="330" t="s">
        <v>1721</v>
      </c>
      <c r="O36" s="330" t="s">
        <v>160</v>
      </c>
      <c r="P36" s="388">
        <v>30896</v>
      </c>
      <c r="Q36" s="332"/>
      <c r="R36" s="330" t="s">
        <v>324</v>
      </c>
      <c r="S36" s="388">
        <v>41931</v>
      </c>
      <c r="T36" s="159"/>
      <c r="V36" s="4"/>
      <c r="W36" s="4"/>
    </row>
    <row r="37" spans="1:23">
      <c r="A37" s="1">
        <v>31</v>
      </c>
      <c r="B37" s="396">
        <v>4.0949074074074075E-2</v>
      </c>
      <c r="C37" s="25">
        <f t="shared" si="1"/>
        <v>58.966666666666669</v>
      </c>
      <c r="D37" s="25">
        <f t="shared" si="2"/>
        <v>57.516666666666673</v>
      </c>
      <c r="E37" s="4">
        <f t="shared" si="7"/>
        <v>1</v>
      </c>
      <c r="F37" s="25">
        <v>58.383333333333333</v>
      </c>
      <c r="G37" s="25">
        <v>58.966666666666669</v>
      </c>
      <c r="H37" s="167">
        <f t="shared" si="3"/>
        <v>1.4844419069368999E-2</v>
      </c>
      <c r="I37" s="1">
        <v>31</v>
      </c>
      <c r="J37" s="328">
        <f t="shared" si="6"/>
        <v>99.010740531373656</v>
      </c>
      <c r="K37" s="149">
        <f t="shared" si="5"/>
        <v>97.54098360655739</v>
      </c>
      <c r="L37" s="389">
        <v>4.0949074074074075E-2</v>
      </c>
      <c r="M37" s="330" t="s">
        <v>1516</v>
      </c>
      <c r="N37" s="330" t="s">
        <v>1584</v>
      </c>
      <c r="O37" s="330" t="s">
        <v>160</v>
      </c>
      <c r="P37" s="388">
        <v>29866</v>
      </c>
      <c r="Q37" s="332"/>
      <c r="R37" s="330" t="s">
        <v>322</v>
      </c>
      <c r="S37" s="388">
        <v>41320</v>
      </c>
      <c r="T37" s="159"/>
      <c r="V37" s="4"/>
      <c r="W37" s="4"/>
    </row>
    <row r="38" spans="1:23">
      <c r="A38" s="1">
        <v>32</v>
      </c>
      <c r="B38" s="396">
        <v>4.1296296296296296E-2</v>
      </c>
      <c r="C38" s="25">
        <f t="shared" si="1"/>
        <v>59.466666666666669</v>
      </c>
      <c r="D38" s="25">
        <f t="shared" si="2"/>
        <v>57.528172301126894</v>
      </c>
      <c r="E38" s="4">
        <f t="shared" si="7"/>
        <v>0.99980000000000002</v>
      </c>
      <c r="F38" s="25">
        <v>58.393735604308603</v>
      </c>
      <c r="G38" s="25">
        <v>59.466666666666669</v>
      </c>
      <c r="H38" s="167">
        <f t="shared" si="3"/>
        <v>1.4822879444586228E-2</v>
      </c>
      <c r="I38" s="1">
        <v>32</v>
      </c>
      <c r="J38" s="328">
        <f t="shared" si="6"/>
        <v>98.195743729218492</v>
      </c>
      <c r="K38" s="149">
        <f t="shared" si="5"/>
        <v>96.740200057948812</v>
      </c>
      <c r="L38" s="389">
        <v>4.1296296296296296E-2</v>
      </c>
      <c r="M38" s="330" t="s">
        <v>1713</v>
      </c>
      <c r="N38" s="330" t="s">
        <v>1714</v>
      </c>
      <c r="O38" s="330" t="s">
        <v>160</v>
      </c>
      <c r="P38" s="388">
        <v>30216</v>
      </c>
      <c r="Q38" s="332"/>
      <c r="R38" s="330" t="s">
        <v>321</v>
      </c>
      <c r="S38" s="388">
        <v>42260</v>
      </c>
      <c r="T38" s="159"/>
      <c r="V38" s="4"/>
      <c r="W38" s="4"/>
    </row>
    <row r="39" spans="1:23">
      <c r="A39" s="1">
        <v>33</v>
      </c>
      <c r="B39" s="396">
        <v>4.1250000000000002E-2</v>
      </c>
      <c r="C39" s="25">
        <f t="shared" si="1"/>
        <v>59.400000000000006</v>
      </c>
      <c r="D39" s="25">
        <f t="shared" si="2"/>
        <v>57.597302890713671</v>
      </c>
      <c r="E39" s="4">
        <f t="shared" si="7"/>
        <v>0.99860000000000004</v>
      </c>
      <c r="F39" s="25">
        <v>58.444739090466875</v>
      </c>
      <c r="G39" s="25">
        <v>59.400000000000006</v>
      </c>
      <c r="H39" s="167">
        <f t="shared" si="3"/>
        <v>1.4499785830876136E-2</v>
      </c>
      <c r="I39" s="1">
        <v>33</v>
      </c>
      <c r="J39" s="328">
        <f t="shared" si="6"/>
        <v>98.391816650617628</v>
      </c>
      <c r="K39" s="149">
        <f t="shared" si="5"/>
        <v>96.965156381672841</v>
      </c>
      <c r="L39" s="389">
        <v>4.1250000000000002E-2</v>
      </c>
      <c r="M39" s="330" t="s">
        <v>1716</v>
      </c>
      <c r="N39" s="330" t="s">
        <v>1570</v>
      </c>
      <c r="O39" s="330" t="s">
        <v>1717</v>
      </c>
      <c r="P39" s="388">
        <v>29990</v>
      </c>
      <c r="Q39" s="332"/>
      <c r="R39" s="330" t="s">
        <v>1722</v>
      </c>
      <c r="S39" s="388">
        <v>42337</v>
      </c>
      <c r="T39" s="159"/>
      <c r="V39" s="4"/>
      <c r="W39" s="4"/>
    </row>
    <row r="40" spans="1:23">
      <c r="A40" s="1">
        <v>34</v>
      </c>
      <c r="B40" s="396">
        <v>4.1145833333333333E-2</v>
      </c>
      <c r="C40" s="25">
        <f t="shared" si="1"/>
        <v>59.25</v>
      </c>
      <c r="D40" s="25">
        <f t="shared" si="2"/>
        <v>57.718682053855161</v>
      </c>
      <c r="E40" s="4">
        <f t="shared" si="7"/>
        <v>0.99650000000000005</v>
      </c>
      <c r="F40" s="25">
        <v>58.538477257812289</v>
      </c>
      <c r="G40" s="25">
        <v>59.25</v>
      </c>
      <c r="H40" s="167">
        <f t="shared" si="3"/>
        <v>1.4004382115144981E-2</v>
      </c>
      <c r="I40" s="1">
        <v>34</v>
      </c>
      <c r="J40" s="328">
        <f t="shared" si="6"/>
        <v>98.799117734704282</v>
      </c>
      <c r="K40" s="149">
        <f t="shared" si="5"/>
        <v>97.415497137308293</v>
      </c>
      <c r="L40" s="389">
        <v>4.1145833333333333E-2</v>
      </c>
      <c r="M40" s="330" t="s">
        <v>1594</v>
      </c>
      <c r="N40" s="330" t="s">
        <v>1595</v>
      </c>
      <c r="O40" s="330" t="s">
        <v>163</v>
      </c>
      <c r="P40" s="388">
        <v>26772</v>
      </c>
      <c r="Q40" s="332"/>
      <c r="R40" s="330" t="s">
        <v>1718</v>
      </c>
      <c r="S40" s="388">
        <v>39523</v>
      </c>
      <c r="T40" s="159"/>
      <c r="V40" s="4"/>
      <c r="W40" s="4"/>
    </row>
    <row r="41" spans="1:23">
      <c r="A41" s="1">
        <v>35</v>
      </c>
      <c r="B41" s="396">
        <v>4.1331018518518517E-2</v>
      </c>
      <c r="C41" s="25">
        <f t="shared" si="1"/>
        <v>59.516666666666666</v>
      </c>
      <c r="D41" s="25">
        <f t="shared" si="2"/>
        <v>57.892970978023826</v>
      </c>
      <c r="E41" s="4">
        <f t="shared" si="7"/>
        <v>0.99350000000000005</v>
      </c>
      <c r="F41" s="25">
        <v>58.675361705276224</v>
      </c>
      <c r="G41" s="25">
        <v>59.516666666666666</v>
      </c>
      <c r="H41" s="167">
        <f t="shared" si="3"/>
        <v>1.3334229300235294E-2</v>
      </c>
      <c r="I41" s="1">
        <v>35</v>
      </c>
      <c r="J41" s="328">
        <f t="shared" si="6"/>
        <v>98.58643803742855</v>
      </c>
      <c r="K41" s="149">
        <f t="shared" si="5"/>
        <v>97.271863866744042</v>
      </c>
      <c r="L41" s="389">
        <v>4.1331018518518517E-2</v>
      </c>
      <c r="M41" s="330" t="s">
        <v>1593</v>
      </c>
      <c r="N41" s="330" t="s">
        <v>279</v>
      </c>
      <c r="O41" s="330" t="s">
        <v>160</v>
      </c>
      <c r="P41" s="388">
        <v>29726</v>
      </c>
      <c r="Q41" s="332"/>
      <c r="R41" s="330" t="s">
        <v>321</v>
      </c>
      <c r="S41" s="388">
        <v>42631</v>
      </c>
      <c r="T41" s="159"/>
      <c r="V41" s="4"/>
      <c r="W41" s="4"/>
    </row>
    <row r="42" spans="1:23">
      <c r="A42" s="1">
        <v>36</v>
      </c>
      <c r="B42" s="396">
        <v>4.1655092592592591E-2</v>
      </c>
      <c r="C42" s="25">
        <f t="shared" si="1"/>
        <v>59.983333333333334</v>
      </c>
      <c r="D42" s="25">
        <f t="shared" si="2"/>
        <v>58.127000168435238</v>
      </c>
      <c r="E42" s="4">
        <f t="shared" si="7"/>
        <v>0.98950000000000005</v>
      </c>
      <c r="F42" s="25">
        <v>58.855997044702583</v>
      </c>
      <c r="G42" s="25">
        <v>59.983333333333341</v>
      </c>
      <c r="H42" s="167">
        <f t="shared" si="3"/>
        <v>1.238611038589074E-2</v>
      </c>
      <c r="I42" s="1">
        <v>36</v>
      </c>
      <c r="J42" s="328">
        <f t="shared" si="6"/>
        <v>98.120584125650325</v>
      </c>
      <c r="K42" s="149">
        <f t="shared" si="5"/>
        <v>96.905251739541924</v>
      </c>
      <c r="L42" s="389">
        <v>4.1655092592592598E-2</v>
      </c>
      <c r="M42" s="330" t="s">
        <v>1723</v>
      </c>
      <c r="N42" s="330" t="s">
        <v>1724</v>
      </c>
      <c r="O42" s="330" t="s">
        <v>1381</v>
      </c>
      <c r="P42" s="388">
        <v>26441</v>
      </c>
      <c r="Q42" s="332"/>
      <c r="R42" s="330" t="s">
        <v>1718</v>
      </c>
      <c r="S42" s="388">
        <v>39894</v>
      </c>
      <c r="T42" s="159"/>
      <c r="V42" s="4"/>
      <c r="W42" s="4"/>
    </row>
    <row r="43" spans="1:23">
      <c r="A43" s="1">
        <v>37</v>
      </c>
      <c r="B43" s="396" t="s">
        <v>1792</v>
      </c>
      <c r="C43" s="25">
        <f t="shared" si="1"/>
        <v>60.300000000000004</v>
      </c>
      <c r="D43" s="25">
        <f t="shared" ref="D43:D74" si="8">E$4/E43</f>
        <v>58.416277337666742</v>
      </c>
      <c r="E43" s="4">
        <f t="shared" si="7"/>
        <v>0.98460000000000003</v>
      </c>
      <c r="F43" s="25">
        <v>59.08118762182783</v>
      </c>
      <c r="G43" s="25">
        <v>60.3</v>
      </c>
      <c r="H43" s="167">
        <f t="shared" si="3"/>
        <v>1.1254179391536707E-2</v>
      </c>
      <c r="I43" s="1">
        <v>37</v>
      </c>
      <c r="J43" s="328">
        <f t="shared" si="6"/>
        <v>97.978752275004695</v>
      </c>
      <c r="K43" s="149">
        <f t="shared" si="5"/>
        <v>96.876081820342847</v>
      </c>
      <c r="L43" s="389">
        <v>4.1874999999999996E-2</v>
      </c>
      <c r="M43" s="330" t="s">
        <v>1594</v>
      </c>
      <c r="N43" s="330" t="s">
        <v>1595</v>
      </c>
      <c r="O43" s="330" t="s">
        <v>163</v>
      </c>
      <c r="P43" s="388">
        <v>26772</v>
      </c>
      <c r="Q43" s="332"/>
      <c r="R43" s="330" t="s">
        <v>363</v>
      </c>
      <c r="S43" s="388">
        <v>40650</v>
      </c>
      <c r="T43" s="159"/>
      <c r="V43" s="4"/>
      <c r="W43" s="4"/>
    </row>
    <row r="44" spans="1:23">
      <c r="A44" s="1">
        <v>38</v>
      </c>
      <c r="B44" s="396" t="s">
        <v>1793</v>
      </c>
      <c r="C44" s="25">
        <f t="shared" si="1"/>
        <v>60.866666666666667</v>
      </c>
      <c r="D44" s="25">
        <f t="shared" si="8"/>
        <v>58.768434317632241</v>
      </c>
      <c r="E44" s="4">
        <f t="shared" si="7"/>
        <v>0.97870000000000001</v>
      </c>
      <c r="F44" s="25">
        <v>59.351946562096046</v>
      </c>
      <c r="G44" s="25">
        <v>60.866666666666667</v>
      </c>
      <c r="H44" s="167">
        <f t="shared" si="3"/>
        <v>9.8313918626630713E-3</v>
      </c>
      <c r="I44" s="1">
        <v>38</v>
      </c>
      <c r="J44" s="328">
        <f t="shared" si="6"/>
        <v>97.511412752622192</v>
      </c>
      <c r="K44" s="149">
        <f t="shared" si="5"/>
        <v>96.552739842769284</v>
      </c>
      <c r="L44" s="389">
        <v>4.2268518518518518E-2</v>
      </c>
      <c r="M44" s="330" t="s">
        <v>1594</v>
      </c>
      <c r="N44" s="330" t="s">
        <v>1595</v>
      </c>
      <c r="O44" s="330" t="s">
        <v>163</v>
      </c>
      <c r="P44" s="388">
        <v>26772</v>
      </c>
      <c r="Q44" s="332"/>
      <c r="R44" s="330" t="s">
        <v>363</v>
      </c>
      <c r="S44" s="388">
        <v>41014</v>
      </c>
      <c r="T44" s="159"/>
      <c r="V44" s="4"/>
      <c r="W44" s="4"/>
    </row>
    <row r="45" spans="1:23">
      <c r="A45" s="1">
        <v>39</v>
      </c>
      <c r="B45" s="396" t="s">
        <v>1794</v>
      </c>
      <c r="C45" s="25">
        <f t="shared" si="1"/>
        <v>61.233333333333334</v>
      </c>
      <c r="D45" s="25">
        <f t="shared" si="8"/>
        <v>59.179613814864361</v>
      </c>
      <c r="E45" s="4">
        <f t="shared" si="7"/>
        <v>0.97189999999999999</v>
      </c>
      <c r="F45" s="25">
        <v>59.669507333266097</v>
      </c>
      <c r="G45" s="25">
        <v>61.233333333333334</v>
      </c>
      <c r="H45" s="167">
        <f t="shared" si="3"/>
        <v>8.2101150201489542E-3</v>
      </c>
      <c r="I45" s="1">
        <v>39</v>
      </c>
      <c r="J45" s="328">
        <f t="shared" si="6"/>
        <v>97.446119760369228</v>
      </c>
      <c r="K45" s="149">
        <f t="shared" si="5"/>
        <v>96.646075908869406</v>
      </c>
      <c r="L45" s="389">
        <v>4.252314814814815E-2</v>
      </c>
      <c r="M45" s="330" t="s">
        <v>1594</v>
      </c>
      <c r="N45" s="330" t="s">
        <v>1595</v>
      </c>
      <c r="O45" s="330" t="s">
        <v>163</v>
      </c>
      <c r="P45" s="388">
        <v>26772</v>
      </c>
      <c r="Q45" s="332"/>
      <c r="R45" s="330" t="s">
        <v>363</v>
      </c>
      <c r="S45" s="388">
        <v>41378</v>
      </c>
      <c r="T45" s="159"/>
      <c r="V45" s="4"/>
      <c r="W45" s="4"/>
    </row>
    <row r="46" spans="1:23">
      <c r="A46" s="1">
        <v>40</v>
      </c>
      <c r="B46" s="396">
        <v>4.2326388888888886E-2</v>
      </c>
      <c r="C46" s="25">
        <f t="shared" si="1"/>
        <v>60.949999999999996</v>
      </c>
      <c r="D46" s="25">
        <f t="shared" si="8"/>
        <v>59.652215999446874</v>
      </c>
      <c r="E46" s="4">
        <f t="shared" si="7"/>
        <v>0.96419999999999995</v>
      </c>
      <c r="F46" s="25">
        <v>60.035338074853442</v>
      </c>
      <c r="G46" s="25">
        <v>61.15</v>
      </c>
      <c r="H46" s="167">
        <f t="shared" si="3"/>
        <v>6.381609360288483E-3</v>
      </c>
      <c r="I46" s="1">
        <v>40</v>
      </c>
      <c r="J46" s="328">
        <f t="shared" si="6"/>
        <v>98.49932415890639</v>
      </c>
      <c r="K46" s="149">
        <f t="shared" si="5"/>
        <v>97.870739949871819</v>
      </c>
      <c r="L46" s="389">
        <v>4.2465277777777775E-2</v>
      </c>
      <c r="M46" s="330" t="s">
        <v>1594</v>
      </c>
      <c r="N46" s="330" t="s">
        <v>1595</v>
      </c>
      <c r="O46" s="330" t="s">
        <v>163</v>
      </c>
      <c r="P46" s="388">
        <v>26772</v>
      </c>
      <c r="Q46" s="332"/>
      <c r="R46" s="330" t="s">
        <v>297</v>
      </c>
      <c r="S46" s="388">
        <v>41553</v>
      </c>
      <c r="T46" s="159"/>
      <c r="V46" s="4"/>
      <c r="W46" s="4"/>
    </row>
    <row r="47" spans="1:23">
      <c r="A47" s="1">
        <v>41</v>
      </c>
      <c r="B47" s="396" t="s">
        <v>1795</v>
      </c>
      <c r="C47" s="25">
        <f t="shared" si="1"/>
        <v>62.466666666666669</v>
      </c>
      <c r="D47" s="25">
        <f t="shared" si="8"/>
        <v>60.13871462428552</v>
      </c>
      <c r="E47" s="4">
        <f t="shared" si="7"/>
        <v>0.95640000000000003</v>
      </c>
      <c r="F47" s="25">
        <v>60.451159011357909</v>
      </c>
      <c r="G47" s="25">
        <v>62.466666666666669</v>
      </c>
      <c r="H47" s="167">
        <f t="shared" si="3"/>
        <v>5.1685425421485395E-3</v>
      </c>
      <c r="I47" s="1">
        <v>41</v>
      </c>
      <c r="J47" s="328">
        <f t="shared" si="6"/>
        <v>96.773466933870708</v>
      </c>
      <c r="K47" s="149">
        <f t="shared" si="5"/>
        <v>96.273289153071801</v>
      </c>
      <c r="L47" s="389">
        <v>4.3379629629629629E-2</v>
      </c>
      <c r="M47" s="330" t="s">
        <v>1450</v>
      </c>
      <c r="N47" s="330" t="s">
        <v>1725</v>
      </c>
      <c r="O47" s="330" t="s">
        <v>338</v>
      </c>
      <c r="P47" s="388">
        <v>17935</v>
      </c>
      <c r="Q47" s="332"/>
      <c r="R47" s="330" t="s">
        <v>318</v>
      </c>
      <c r="S47" s="388">
        <v>33132</v>
      </c>
      <c r="T47" s="159"/>
      <c r="V47" s="4"/>
      <c r="W47" s="4"/>
    </row>
    <row r="48" spans="1:23">
      <c r="A48" s="1">
        <v>42</v>
      </c>
      <c r="B48" s="396" t="s">
        <v>1796</v>
      </c>
      <c r="C48" s="25">
        <f t="shared" si="1"/>
        <v>63.033333333333339</v>
      </c>
      <c r="D48" s="25">
        <f t="shared" si="8"/>
        <v>60.626822669618079</v>
      </c>
      <c r="E48" s="4">
        <f t="shared" si="7"/>
        <v>0.94869999999999999</v>
      </c>
      <c r="F48" s="25">
        <v>60.918963344626732</v>
      </c>
      <c r="G48" s="25">
        <v>63.033333333333331</v>
      </c>
      <c r="H48" s="167">
        <f t="shared" si="3"/>
        <v>4.7955621528878349E-3</v>
      </c>
      <c r="I48" s="1">
        <v>42</v>
      </c>
      <c r="J48" s="328">
        <f t="shared" si="6"/>
        <v>96.645631958688611</v>
      </c>
      <c r="K48" s="149">
        <f t="shared" si="5"/>
        <v>96.182161823825609</v>
      </c>
      <c r="L48" s="389">
        <v>4.3773148148148144E-2</v>
      </c>
      <c r="M48" s="393" t="s">
        <v>1459</v>
      </c>
      <c r="N48" s="393" t="s">
        <v>1460</v>
      </c>
      <c r="O48" s="390" t="s">
        <v>155</v>
      </c>
      <c r="P48" s="391"/>
      <c r="Q48" s="393" t="s">
        <v>1726</v>
      </c>
      <c r="R48" s="393" t="s">
        <v>1727</v>
      </c>
      <c r="S48" s="394">
        <v>42988</v>
      </c>
      <c r="T48" s="159"/>
      <c r="V48" s="4"/>
      <c r="W48" s="4"/>
    </row>
    <row r="49" spans="1:23">
      <c r="A49" s="1">
        <v>43</v>
      </c>
      <c r="B49" s="396" t="s">
        <v>1797</v>
      </c>
      <c r="C49" s="25">
        <f t="shared" si="1"/>
        <v>62</v>
      </c>
      <c r="D49" s="25">
        <f t="shared" si="8"/>
        <v>61.129415099018679</v>
      </c>
      <c r="E49" s="4">
        <f t="shared" si="7"/>
        <v>0.94089999999999996</v>
      </c>
      <c r="F49" s="25">
        <v>61.417544273055071</v>
      </c>
      <c r="G49" s="25">
        <v>62.000000000000007</v>
      </c>
      <c r="H49" s="167">
        <f t="shared" si="3"/>
        <v>4.6913170731054327E-3</v>
      </c>
      <c r="I49" s="1">
        <v>43</v>
      </c>
      <c r="J49" s="328">
        <f t="shared" si="6"/>
        <v>99.06055527912109</v>
      </c>
      <c r="K49" s="149">
        <f t="shared" si="5"/>
        <v>98.595830804868839</v>
      </c>
      <c r="L49" s="389">
        <v>4.3055555555555562E-2</v>
      </c>
      <c r="M49" s="393" t="s">
        <v>1459</v>
      </c>
      <c r="N49" s="393" t="s">
        <v>1460</v>
      </c>
      <c r="O49" s="390" t="s">
        <v>155</v>
      </c>
      <c r="P49" s="391"/>
      <c r="Q49" s="393" t="s">
        <v>1728</v>
      </c>
      <c r="R49" s="393" t="s">
        <v>220</v>
      </c>
      <c r="S49" s="391">
        <v>43114</v>
      </c>
      <c r="T49" s="159"/>
      <c r="V49" s="4"/>
      <c r="W49" s="4"/>
    </row>
    <row r="50" spans="1:23">
      <c r="A50" s="1">
        <v>44</v>
      </c>
      <c r="B50" s="396" t="s">
        <v>1309</v>
      </c>
      <c r="C50" s="25">
        <f t="shared" si="1"/>
        <v>64.849999999999994</v>
      </c>
      <c r="D50" s="25">
        <f t="shared" si="8"/>
        <v>61.640410102525635</v>
      </c>
      <c r="E50" s="4">
        <f t="shared" si="7"/>
        <v>0.93310000000000004</v>
      </c>
      <c r="F50" s="25">
        <v>61.924353647986123</v>
      </c>
      <c r="G50" s="25">
        <v>64.849999999999994</v>
      </c>
      <c r="H50" s="167">
        <f t="shared" si="3"/>
        <v>4.5853291755710143E-3</v>
      </c>
      <c r="I50" s="1">
        <v>44</v>
      </c>
      <c r="J50" s="328">
        <f t="shared" si="6"/>
        <v>95.488594676925402</v>
      </c>
      <c r="K50" s="149">
        <f t="shared" si="5"/>
        <v>95.050748037819034</v>
      </c>
      <c r="L50" s="389">
        <v>4.5034722222222219E-2</v>
      </c>
      <c r="M50" s="330" t="s">
        <v>1488</v>
      </c>
      <c r="N50" s="330" t="s">
        <v>1729</v>
      </c>
      <c r="O50" s="330" t="s">
        <v>338</v>
      </c>
      <c r="P50" s="388">
        <v>11832</v>
      </c>
      <c r="Q50" s="332"/>
      <c r="R50" s="330" t="s">
        <v>1730</v>
      </c>
      <c r="S50" s="388">
        <v>28162</v>
      </c>
      <c r="T50" s="159"/>
      <c r="V50" s="4"/>
      <c r="W50" s="4"/>
    </row>
    <row r="51" spans="1:23">
      <c r="A51" s="1">
        <v>45</v>
      </c>
      <c r="B51" s="396" t="s">
        <v>551</v>
      </c>
      <c r="C51" s="25">
        <f t="shared" si="1"/>
        <v>65.016666666666666</v>
      </c>
      <c r="D51" s="25">
        <f t="shared" si="8"/>
        <v>62.160020173637385</v>
      </c>
      <c r="E51" s="4">
        <f t="shared" si="7"/>
        <v>0.92530000000000001</v>
      </c>
      <c r="F51" s="25">
        <v>62.439596864437803</v>
      </c>
      <c r="G51" s="25">
        <v>65.016666666666666</v>
      </c>
      <c r="H51" s="167">
        <f t="shared" si="3"/>
        <v>4.477554385999726E-3</v>
      </c>
      <c r="I51" s="1">
        <v>45</v>
      </c>
      <c r="J51" s="328">
        <f t="shared" si="6"/>
        <v>96.036293562324232</v>
      </c>
      <c r="K51" s="149">
        <f t="shared" si="5"/>
        <v>95.606285834869084</v>
      </c>
      <c r="L51" s="389">
        <v>4.5150462962962962E-2</v>
      </c>
      <c r="M51" s="330" t="s">
        <v>1463</v>
      </c>
      <c r="N51" s="330" t="s">
        <v>1464</v>
      </c>
      <c r="O51" s="330" t="s">
        <v>160</v>
      </c>
      <c r="P51" s="388">
        <v>22144</v>
      </c>
      <c r="Q51" s="332"/>
      <c r="R51" s="330" t="s">
        <v>1731</v>
      </c>
      <c r="S51" s="388">
        <v>38753</v>
      </c>
      <c r="T51" s="159"/>
      <c r="V51" s="4"/>
      <c r="W51" s="4"/>
    </row>
    <row r="52" spans="1:23">
      <c r="A52" s="1">
        <v>46</v>
      </c>
      <c r="B52" s="396" t="s">
        <v>1798</v>
      </c>
      <c r="C52" s="25">
        <f t="shared" si="1"/>
        <v>66.55</v>
      </c>
      <c r="D52" s="25">
        <f t="shared" si="8"/>
        <v>62.688465031789292</v>
      </c>
      <c r="E52" s="4">
        <f t="shared" si="7"/>
        <v>0.91749999999999998</v>
      </c>
      <c r="F52" s="25">
        <v>62.963486210762852</v>
      </c>
      <c r="G52" s="25">
        <v>66.55</v>
      </c>
      <c r="H52" s="167">
        <f t="shared" si="3"/>
        <v>4.3679471313414755E-3</v>
      </c>
      <c r="I52" s="1">
        <v>46</v>
      </c>
      <c r="J52" s="328">
        <f t="shared" si="6"/>
        <v>94.610798213017063</v>
      </c>
      <c r="K52" s="149">
        <f t="shared" si="5"/>
        <v>94.197543248368589</v>
      </c>
      <c r="L52" s="389">
        <v>4.6215277777777779E-2</v>
      </c>
      <c r="M52" s="330" t="s">
        <v>215</v>
      </c>
      <c r="N52" s="330" t="s">
        <v>1609</v>
      </c>
      <c r="O52" s="330" t="s">
        <v>1176</v>
      </c>
      <c r="P52" s="388">
        <v>19418</v>
      </c>
      <c r="Q52" s="332"/>
      <c r="R52" s="330" t="s">
        <v>1732</v>
      </c>
      <c r="S52" s="388">
        <v>36429</v>
      </c>
      <c r="T52" s="159"/>
      <c r="V52" s="4"/>
      <c r="W52" s="4"/>
    </row>
    <row r="53" spans="1:23">
      <c r="A53" s="1">
        <v>47</v>
      </c>
      <c r="B53" s="396" t="s">
        <v>1799</v>
      </c>
      <c r="C53" s="25">
        <f t="shared" si="1"/>
        <v>65.733333333333334</v>
      </c>
      <c r="D53" s="25">
        <f t="shared" si="8"/>
        <v>63.219022495786625</v>
      </c>
      <c r="E53" s="4">
        <f t="shared" si="7"/>
        <v>0.90980000000000005</v>
      </c>
      <c r="F53" s="25">
        <v>63.496241160282786</v>
      </c>
      <c r="G53" s="25">
        <v>65.733333333333334</v>
      </c>
      <c r="H53" s="167">
        <f t="shared" si="3"/>
        <v>4.3659066966874631E-3</v>
      </c>
      <c r="I53" s="1">
        <v>47</v>
      </c>
      <c r="J53" s="328">
        <f t="shared" si="6"/>
        <v>96.596715761079281</v>
      </c>
      <c r="K53" s="149">
        <f t="shared" si="5"/>
        <v>96.174983512859981</v>
      </c>
      <c r="L53" s="389">
        <v>4.5648148148148153E-2</v>
      </c>
      <c r="M53" s="330" t="s">
        <v>1488</v>
      </c>
      <c r="N53" s="330" t="s">
        <v>1729</v>
      </c>
      <c r="O53" s="330" t="s">
        <v>338</v>
      </c>
      <c r="P53" s="388">
        <v>11832</v>
      </c>
      <c r="Q53" s="332"/>
      <c r="R53" s="330" t="s">
        <v>1733</v>
      </c>
      <c r="S53" s="388">
        <v>29196</v>
      </c>
      <c r="T53" s="159"/>
      <c r="V53" s="4"/>
      <c r="W53" s="4"/>
    </row>
    <row r="54" spans="1:23">
      <c r="A54" s="1">
        <v>48</v>
      </c>
      <c r="B54" s="396" t="s">
        <v>1800</v>
      </c>
      <c r="C54" s="25">
        <f t="shared" si="1"/>
        <v>66.483333333333334</v>
      </c>
      <c r="D54" s="25">
        <f t="shared" si="8"/>
        <v>63.765705838876578</v>
      </c>
      <c r="E54" s="4">
        <f t="shared" si="7"/>
        <v>0.90200000000000002</v>
      </c>
      <c r="F54" s="25">
        <v>64.038088677853864</v>
      </c>
      <c r="G54" s="25">
        <v>66.483333333333334</v>
      </c>
      <c r="H54" s="167">
        <f t="shared" si="3"/>
        <v>4.2534504792533529E-3</v>
      </c>
      <c r="I54" s="1">
        <v>48</v>
      </c>
      <c r="J54" s="328">
        <f t="shared" si="6"/>
        <v>96.322018567842363</v>
      </c>
      <c r="K54" s="149">
        <f t="shared" si="5"/>
        <v>95.912317631802324</v>
      </c>
      <c r="L54" s="389">
        <v>4.6168981481481484E-2</v>
      </c>
      <c r="M54" s="330" t="s">
        <v>215</v>
      </c>
      <c r="N54" s="330" t="s">
        <v>1609</v>
      </c>
      <c r="O54" s="330" t="s">
        <v>1176</v>
      </c>
      <c r="P54" s="388">
        <v>19418</v>
      </c>
      <c r="Q54" s="332"/>
      <c r="R54" s="330" t="s">
        <v>1734</v>
      </c>
      <c r="S54" s="388">
        <v>37205</v>
      </c>
      <c r="T54" s="159"/>
      <c r="V54" s="4"/>
      <c r="W54" s="4"/>
    </row>
    <row r="55" spans="1:23">
      <c r="A55" s="1">
        <v>49</v>
      </c>
      <c r="B55" s="396" t="s">
        <v>1801</v>
      </c>
      <c r="C55" s="25">
        <f t="shared" si="1"/>
        <v>66.733333333333334</v>
      </c>
      <c r="D55" s="25">
        <f t="shared" si="8"/>
        <v>64.321926489226882</v>
      </c>
      <c r="E55" s="4">
        <f t="shared" si="7"/>
        <v>0.89419999999999999</v>
      </c>
      <c r="F55" s="25">
        <v>64.58926354226476</v>
      </c>
      <c r="G55" s="25">
        <v>66.733333333333334</v>
      </c>
      <c r="H55" s="167">
        <f t="shared" si="3"/>
        <v>4.1390323774622758E-3</v>
      </c>
      <c r="I55" s="1">
        <v>49</v>
      </c>
      <c r="J55" s="328">
        <f t="shared" si="6"/>
        <v>96.787108205191956</v>
      </c>
      <c r="K55" s="149">
        <f t="shared" si="5"/>
        <v>96.386503230609705</v>
      </c>
      <c r="L55" s="389">
        <v>4.6342592592592595E-2</v>
      </c>
      <c r="M55" s="330" t="s">
        <v>215</v>
      </c>
      <c r="N55" s="330" t="s">
        <v>1609</v>
      </c>
      <c r="O55" s="330" t="s">
        <v>1176</v>
      </c>
      <c r="P55" s="388">
        <v>19418</v>
      </c>
      <c r="Q55" s="332"/>
      <c r="R55" s="330" t="s">
        <v>343</v>
      </c>
      <c r="S55" s="388">
        <v>37332</v>
      </c>
      <c r="T55" s="159"/>
      <c r="V55" s="4"/>
      <c r="W55" s="4"/>
    </row>
    <row r="56" spans="1:23">
      <c r="A56" s="1">
        <v>50</v>
      </c>
      <c r="B56" s="396" t="s">
        <v>1802</v>
      </c>
      <c r="C56" s="25">
        <f t="shared" si="1"/>
        <v>66.383333333333326</v>
      </c>
      <c r="D56" s="25">
        <f t="shared" si="8"/>
        <v>64.887936221419992</v>
      </c>
      <c r="E56" s="4">
        <f t="shared" si="7"/>
        <v>0.88639999999999997</v>
      </c>
      <c r="F56" s="25">
        <v>65.150008685427935</v>
      </c>
      <c r="G56" s="25">
        <v>66.383333333333326</v>
      </c>
      <c r="H56" s="167">
        <f t="shared" si="3"/>
        <v>4.0226005996920246E-3</v>
      </c>
      <c r="I56" s="1">
        <v>50</v>
      </c>
      <c r="J56" s="328">
        <f t="shared" si="6"/>
        <v>98.142117025500283</v>
      </c>
      <c r="K56" s="149">
        <f t="shared" si="5"/>
        <v>97.747330486698473</v>
      </c>
      <c r="L56" s="389">
        <v>4.6099537037037036E-2</v>
      </c>
      <c r="M56" s="330" t="s">
        <v>1735</v>
      </c>
      <c r="N56" s="330" t="s">
        <v>1736</v>
      </c>
      <c r="O56" s="330" t="s">
        <v>176</v>
      </c>
      <c r="P56" s="388">
        <v>14987</v>
      </c>
      <c r="Q56" s="332"/>
      <c r="R56" s="330" t="s">
        <v>1737</v>
      </c>
      <c r="S56" s="388">
        <v>33376</v>
      </c>
      <c r="T56" s="159"/>
      <c r="V56" s="4"/>
      <c r="W56" s="4"/>
    </row>
    <row r="57" spans="1:23">
      <c r="A57" s="1">
        <v>51</v>
      </c>
      <c r="B57" s="396" t="s">
        <v>1803</v>
      </c>
      <c r="C57" s="25">
        <f t="shared" si="1"/>
        <v>68.816666666666663</v>
      </c>
      <c r="D57" s="25">
        <f t="shared" si="8"/>
        <v>65.463995750815698</v>
      </c>
      <c r="E57" s="4">
        <f t="shared" si="7"/>
        <v>0.87860000000000005</v>
      </c>
      <c r="F57" s="25">
        <v>65.720575549394368</v>
      </c>
      <c r="G57" s="25">
        <v>68.816666666666663</v>
      </c>
      <c r="H57" s="167">
        <f t="shared" si="3"/>
        <v>3.9041015151461897E-3</v>
      </c>
      <c r="I57" s="1">
        <v>51</v>
      </c>
      <c r="J57" s="328">
        <f t="shared" si="6"/>
        <v>95.500957446443749</v>
      </c>
      <c r="K57" s="149">
        <f t="shared" si="5"/>
        <v>95.128112013779173</v>
      </c>
      <c r="L57" s="389">
        <v>4.7789351851851847E-2</v>
      </c>
      <c r="M57" s="330" t="s">
        <v>215</v>
      </c>
      <c r="N57" s="330" t="s">
        <v>1609</v>
      </c>
      <c r="O57" s="330" t="s">
        <v>1176</v>
      </c>
      <c r="P57" s="388">
        <v>19418</v>
      </c>
      <c r="Q57" s="332"/>
      <c r="R57" s="330" t="s">
        <v>1474</v>
      </c>
      <c r="S57" s="388">
        <v>38193</v>
      </c>
      <c r="T57" s="159"/>
      <c r="V57" s="4"/>
      <c r="W57" s="4"/>
    </row>
    <row r="58" spans="1:23">
      <c r="A58" s="1">
        <v>52</v>
      </c>
      <c r="B58" s="396" t="s">
        <v>1804</v>
      </c>
      <c r="C58" s="25">
        <f t="shared" si="1"/>
        <v>69.5</v>
      </c>
      <c r="D58" s="25">
        <f t="shared" si="8"/>
        <v>66.042790982508521</v>
      </c>
      <c r="E58" s="4">
        <f t="shared" si="7"/>
        <v>0.87090000000000001</v>
      </c>
      <c r="F58" s="25">
        <v>66.301224462293845</v>
      </c>
      <c r="G58" s="25">
        <v>69.5</v>
      </c>
      <c r="H58" s="167">
        <f t="shared" si="3"/>
        <v>3.8978688837383109E-3</v>
      </c>
      <c r="I58" s="1">
        <v>52</v>
      </c>
      <c r="J58" s="328">
        <f t="shared" si="6"/>
        <v>95.397445269487548</v>
      </c>
      <c r="K58" s="149">
        <f t="shared" si="5"/>
        <v>95.025598535983477</v>
      </c>
      <c r="L58" s="389">
        <v>4.8263888888888884E-2</v>
      </c>
      <c r="M58" s="330" t="s">
        <v>1738</v>
      </c>
      <c r="N58" s="330" t="s">
        <v>1739</v>
      </c>
      <c r="O58" s="330" t="s">
        <v>155</v>
      </c>
      <c r="P58" s="388">
        <v>11867</v>
      </c>
      <c r="Q58" s="332"/>
      <c r="R58" s="330" t="s">
        <v>318</v>
      </c>
      <c r="S58" s="388">
        <v>30941</v>
      </c>
      <c r="T58" s="159"/>
      <c r="V58" s="4"/>
      <c r="W58" s="4"/>
    </row>
    <row r="59" spans="1:23">
      <c r="A59" s="1">
        <v>53</v>
      </c>
      <c r="B59" s="396" t="s">
        <v>1805</v>
      </c>
      <c r="C59" s="25">
        <f t="shared" si="1"/>
        <v>69.95</v>
      </c>
      <c r="D59" s="25">
        <f t="shared" si="8"/>
        <v>66.639632333063005</v>
      </c>
      <c r="E59" s="4">
        <f t="shared" si="7"/>
        <v>0.86309999999999998</v>
      </c>
      <c r="F59" s="25">
        <v>66.892225034381795</v>
      </c>
      <c r="G59" s="25">
        <v>69.949999999999989</v>
      </c>
      <c r="H59" s="167">
        <f t="shared" si="3"/>
        <v>3.7761145064162545E-3</v>
      </c>
      <c r="I59" s="1">
        <v>53</v>
      </c>
      <c r="J59" s="328">
        <f t="shared" si="6"/>
        <v>95.628627640288471</v>
      </c>
      <c r="K59" s="149">
        <f t="shared" si="5"/>
        <v>95.267522992227299</v>
      </c>
      <c r="L59" s="389">
        <v>4.8576388888888884E-2</v>
      </c>
      <c r="M59" s="330" t="s">
        <v>215</v>
      </c>
      <c r="N59" s="330" t="s">
        <v>1609</v>
      </c>
      <c r="O59" s="330" t="s">
        <v>1176</v>
      </c>
      <c r="P59" s="388">
        <v>19418</v>
      </c>
      <c r="Q59" s="332"/>
      <c r="R59" s="330" t="s">
        <v>343</v>
      </c>
      <c r="S59" s="388">
        <v>38795</v>
      </c>
      <c r="T59" s="159"/>
      <c r="V59" s="4"/>
      <c r="W59" s="4"/>
    </row>
    <row r="60" spans="1:23">
      <c r="A60" s="1">
        <v>54</v>
      </c>
      <c r="B60" s="396" t="s">
        <v>1806</v>
      </c>
      <c r="C60" s="25">
        <f t="shared" si="1"/>
        <v>70.183333333333337</v>
      </c>
      <c r="D60" s="25">
        <f t="shared" si="8"/>
        <v>67.247359600919765</v>
      </c>
      <c r="E60" s="4">
        <f t="shared" si="7"/>
        <v>0.85529999999999995</v>
      </c>
      <c r="F60" s="25">
        <v>67.493856575458437</v>
      </c>
      <c r="G60" s="25">
        <v>70.183333333333323</v>
      </c>
      <c r="H60" s="167">
        <f t="shared" si="3"/>
        <v>3.6521394249132547E-3</v>
      </c>
      <c r="I60" s="1">
        <v>54</v>
      </c>
      <c r="J60" s="328">
        <f t="shared" si="6"/>
        <v>96.16792672827134</v>
      </c>
      <c r="K60" s="149">
        <f t="shared" si="5"/>
        <v>95.816708051654857</v>
      </c>
      <c r="L60" s="389">
        <v>4.8738425925925921E-2</v>
      </c>
      <c r="M60" s="330" t="s">
        <v>215</v>
      </c>
      <c r="N60" s="330" t="s">
        <v>1609</v>
      </c>
      <c r="O60" s="330" t="s">
        <v>1176</v>
      </c>
      <c r="P60" s="388">
        <v>19418</v>
      </c>
      <c r="Q60" s="332"/>
      <c r="R60" s="330" t="s">
        <v>343</v>
      </c>
      <c r="S60" s="388">
        <v>39166</v>
      </c>
      <c r="T60" s="159"/>
      <c r="V60" s="4"/>
      <c r="W60" s="4"/>
    </row>
    <row r="61" spans="1:23">
      <c r="A61" s="1">
        <v>55</v>
      </c>
      <c r="B61" s="396" t="s">
        <v>1807</v>
      </c>
      <c r="C61" s="25">
        <f t="shared" si="1"/>
        <v>69.283333333333331</v>
      </c>
      <c r="D61" s="25">
        <f t="shared" si="8"/>
        <v>67.866273352999016</v>
      </c>
      <c r="E61" s="4">
        <f t="shared" si="7"/>
        <v>0.84750000000000003</v>
      </c>
      <c r="F61" s="25">
        <v>68.106408535018119</v>
      </c>
      <c r="G61" s="25">
        <v>69.283333333333331</v>
      </c>
      <c r="H61" s="167">
        <f t="shared" si="3"/>
        <v>3.5258823242108367E-3</v>
      </c>
      <c r="I61" s="1">
        <v>55</v>
      </c>
      <c r="J61" s="328">
        <f t="shared" si="6"/>
        <v>98.301287276908525</v>
      </c>
      <c r="K61" s="149">
        <f t="shared" si="5"/>
        <v>97.954688505651703</v>
      </c>
      <c r="L61" s="389">
        <v>4.8113425925925928E-2</v>
      </c>
      <c r="M61" s="390" t="s">
        <v>1617</v>
      </c>
      <c r="N61" s="390" t="s">
        <v>1546</v>
      </c>
      <c r="O61" s="390" t="s">
        <v>155</v>
      </c>
      <c r="P61" s="391">
        <v>13971</v>
      </c>
      <c r="Q61" s="392"/>
      <c r="R61" s="390" t="s">
        <v>1740</v>
      </c>
      <c r="S61" s="388">
        <v>34259</v>
      </c>
      <c r="T61" s="159"/>
      <c r="V61" s="4"/>
      <c r="W61" s="4"/>
    </row>
    <row r="62" spans="1:23">
      <c r="A62" s="1">
        <v>56</v>
      </c>
      <c r="B62" s="396" t="s">
        <v>1808</v>
      </c>
      <c r="C62" s="25">
        <f t="shared" si="1"/>
        <v>71.75</v>
      </c>
      <c r="D62" s="25">
        <f t="shared" si="8"/>
        <v>68.496685324123703</v>
      </c>
      <c r="E62" s="4">
        <f t="shared" si="7"/>
        <v>0.8397</v>
      </c>
      <c r="F62" s="25">
        <v>68.730180966586104</v>
      </c>
      <c r="G62" s="25">
        <v>71.75</v>
      </c>
      <c r="H62" s="167">
        <f t="shared" si="3"/>
        <v>3.3972796110622407E-3</v>
      </c>
      <c r="I62" s="1">
        <v>56</v>
      </c>
      <c r="J62" s="328">
        <f t="shared" si="6"/>
        <v>95.791192984788992</v>
      </c>
      <c r="K62" s="149">
        <f t="shared" si="5"/>
        <v>95.465763517942449</v>
      </c>
      <c r="L62" s="389">
        <v>4.9826388888888885E-2</v>
      </c>
      <c r="M62" s="330" t="s">
        <v>1741</v>
      </c>
      <c r="N62" s="330" t="s">
        <v>1742</v>
      </c>
      <c r="O62" s="330" t="s">
        <v>1663</v>
      </c>
      <c r="P62" s="388">
        <v>20300</v>
      </c>
      <c r="Q62" s="332"/>
      <c r="R62" s="330" t="s">
        <v>1743</v>
      </c>
      <c r="S62" s="388">
        <v>40944</v>
      </c>
      <c r="T62" s="159"/>
      <c r="V62" s="4"/>
      <c r="W62" s="4"/>
    </row>
    <row r="63" spans="1:23">
      <c r="A63" s="1">
        <v>57</v>
      </c>
      <c r="B63" s="396" t="s">
        <v>1809</v>
      </c>
      <c r="C63" s="25">
        <f t="shared" si="1"/>
        <v>72.649999999999991</v>
      </c>
      <c r="D63" s="25">
        <f t="shared" si="8"/>
        <v>69.130608974358978</v>
      </c>
      <c r="E63" s="4">
        <f t="shared" si="7"/>
        <v>0.83199999999999996</v>
      </c>
      <c r="F63" s="25">
        <v>69.3654850178077</v>
      </c>
      <c r="G63" s="25">
        <v>72.650000000000006</v>
      </c>
      <c r="H63" s="167">
        <f t="shared" si="3"/>
        <v>3.3860650349150415E-3</v>
      </c>
      <c r="I63" s="1">
        <v>57</v>
      </c>
      <c r="J63" s="328">
        <f t="shared" si="6"/>
        <v>95.478988324580456</v>
      </c>
      <c r="K63" s="149">
        <f t="shared" si="5"/>
        <v>95.155690260645542</v>
      </c>
      <c r="L63" s="389">
        <v>5.0451388888888893E-2</v>
      </c>
      <c r="M63" s="330" t="s">
        <v>1452</v>
      </c>
      <c r="N63" s="330" t="s">
        <v>1623</v>
      </c>
      <c r="O63" s="330" t="s">
        <v>172</v>
      </c>
      <c r="P63" s="388">
        <v>18512</v>
      </c>
      <c r="Q63" s="332"/>
      <c r="R63" s="330" t="s">
        <v>1744</v>
      </c>
      <c r="S63" s="388">
        <v>39529</v>
      </c>
      <c r="T63" s="159"/>
      <c r="V63" s="4"/>
      <c r="W63" s="4"/>
    </row>
    <row r="64" spans="1:23">
      <c r="A64" s="1">
        <v>58</v>
      </c>
      <c r="B64" s="396" t="s">
        <v>1810</v>
      </c>
      <c r="C64" s="25">
        <f t="shared" si="1"/>
        <v>74.3</v>
      </c>
      <c r="D64" s="25">
        <f t="shared" si="8"/>
        <v>69.784841866860802</v>
      </c>
      <c r="E64" s="4">
        <f t="shared" si="7"/>
        <v>0.82420000000000004</v>
      </c>
      <c r="F64" s="25">
        <v>70.012643447971797</v>
      </c>
      <c r="G64" s="25">
        <v>74.3</v>
      </c>
      <c r="H64" s="167">
        <f t="shared" si="3"/>
        <v>3.253720612338834E-3</v>
      </c>
      <c r="I64" s="1">
        <v>58</v>
      </c>
      <c r="J64" s="328">
        <f t="shared" si="6"/>
        <v>94.229668166853031</v>
      </c>
      <c r="K64" s="149">
        <f t="shared" si="5"/>
        <v>93.923071153244692</v>
      </c>
      <c r="L64" s="389">
        <v>5.1597222222222218E-2</v>
      </c>
      <c r="M64" s="330" t="s">
        <v>1738</v>
      </c>
      <c r="N64" s="330" t="s">
        <v>1739</v>
      </c>
      <c r="O64" s="330" t="s">
        <v>155</v>
      </c>
      <c r="P64" s="388">
        <v>11867</v>
      </c>
      <c r="Q64" s="332"/>
      <c r="R64" s="330" t="s">
        <v>318</v>
      </c>
      <c r="S64" s="388">
        <v>33132</v>
      </c>
      <c r="T64" s="159"/>
      <c r="V64" s="4"/>
      <c r="W64" s="4"/>
    </row>
    <row r="65" spans="1:23">
      <c r="A65" s="1">
        <v>59</v>
      </c>
      <c r="B65" s="396" t="s">
        <v>1811</v>
      </c>
      <c r="C65" s="25">
        <f t="shared" si="1"/>
        <v>72.25</v>
      </c>
      <c r="D65" s="25">
        <f t="shared" si="8"/>
        <v>70.451576024824433</v>
      </c>
      <c r="E65" s="4">
        <f t="shared" si="7"/>
        <v>0.81640000000000001</v>
      </c>
      <c r="F65" s="25">
        <v>70.671991174777105</v>
      </c>
      <c r="G65" s="25">
        <v>72.25</v>
      </c>
      <c r="H65" s="167">
        <f t="shared" si="3"/>
        <v>3.1188473154459243E-3</v>
      </c>
      <c r="I65" s="1">
        <v>59</v>
      </c>
      <c r="J65" s="328">
        <f t="shared" si="6"/>
        <v>97.815904740175924</v>
      </c>
      <c r="K65" s="149">
        <f t="shared" si="5"/>
        <v>97.510831868269108</v>
      </c>
      <c r="L65" s="389">
        <v>5.0173611111111106E-2</v>
      </c>
      <c r="M65" s="330" t="s">
        <v>215</v>
      </c>
      <c r="N65" s="330" t="s">
        <v>1609</v>
      </c>
      <c r="O65" s="330" t="s">
        <v>1176</v>
      </c>
      <c r="P65" s="388">
        <v>19418</v>
      </c>
      <c r="Q65" s="332"/>
      <c r="R65" s="330" t="s">
        <v>328</v>
      </c>
      <c r="S65" s="388">
        <v>41196</v>
      </c>
      <c r="T65" s="159"/>
      <c r="V65" s="4"/>
      <c r="W65" s="4"/>
    </row>
    <row r="66" spans="1:23">
      <c r="A66" s="1">
        <v>60</v>
      </c>
      <c r="B66" s="396" t="s">
        <v>1812</v>
      </c>
      <c r="C66" s="25">
        <f t="shared" si="1"/>
        <v>71.150000000000006</v>
      </c>
      <c r="D66" s="25">
        <f t="shared" si="8"/>
        <v>71.131173221205387</v>
      </c>
      <c r="E66" s="4">
        <f t="shared" ref="E66:E97" si="9">ROUND(1-IF(A66&lt;I$3,0,IF(A66&lt;I$4,G$3*(A66-I$3)^2,G$2+G$4*(A66-I$4)+(A66&gt;I$5)*G$5*(A66-I$5)^2)),4)</f>
        <v>0.80859999999999999</v>
      </c>
      <c r="F66" s="25">
        <v>71.343875852287425</v>
      </c>
      <c r="G66" s="25">
        <v>71.516666666666666</v>
      </c>
      <c r="H66" s="167">
        <f t="shared" si="3"/>
        <v>2.9813719613779391E-3</v>
      </c>
      <c r="I66" s="1">
        <v>60</v>
      </c>
      <c r="J66" s="328">
        <f t="shared" si="6"/>
        <v>100.27248889991205</v>
      </c>
      <c r="K66" s="149">
        <f t="shared" si="5"/>
        <v>99.97353931300826</v>
      </c>
      <c r="L66" s="389">
        <v>4.9664351851851855E-2</v>
      </c>
      <c r="M66" s="330" t="s">
        <v>215</v>
      </c>
      <c r="N66" s="330" t="s">
        <v>1609</v>
      </c>
      <c r="O66" s="330" t="s">
        <v>1176</v>
      </c>
      <c r="P66" s="388">
        <v>19418</v>
      </c>
      <c r="Q66" s="332"/>
      <c r="R66" s="330" t="s">
        <v>343</v>
      </c>
      <c r="S66" s="388">
        <v>41336</v>
      </c>
      <c r="T66" s="159"/>
      <c r="V66" s="4"/>
      <c r="W66" s="4"/>
    </row>
    <row r="67" spans="1:23">
      <c r="A67" s="1">
        <v>61</v>
      </c>
      <c r="B67" s="396" t="s">
        <v>1813</v>
      </c>
      <c r="C67" s="25">
        <f t="shared" si="1"/>
        <v>72.45</v>
      </c>
      <c r="D67" s="25">
        <f t="shared" si="8"/>
        <v>71.824009324009339</v>
      </c>
      <c r="E67" s="4">
        <f t="shared" si="9"/>
        <v>0.80079999999999996</v>
      </c>
      <c r="F67" s="25">
        <v>72.028658482171309</v>
      </c>
      <c r="G67" s="25">
        <v>72.45</v>
      </c>
      <c r="H67" s="167">
        <f t="shared" si="3"/>
        <v>2.8412185159970137E-3</v>
      </c>
      <c r="I67" s="1">
        <v>61</v>
      </c>
      <c r="J67" s="328">
        <f t="shared" si="6"/>
        <v>99.418438208656042</v>
      </c>
      <c r="K67" s="149">
        <f t="shared" si="5"/>
        <v>99.135968701186101</v>
      </c>
      <c r="L67" s="389">
        <v>5.0312500000000003E-2</v>
      </c>
      <c r="M67" s="330" t="s">
        <v>215</v>
      </c>
      <c r="N67" s="330" t="s">
        <v>1609</v>
      </c>
      <c r="O67" s="330" t="s">
        <v>1176</v>
      </c>
      <c r="P67" s="388">
        <v>19418</v>
      </c>
      <c r="Q67" s="332"/>
      <c r="R67" s="330" t="s">
        <v>328</v>
      </c>
      <c r="S67" s="388">
        <v>41917</v>
      </c>
      <c r="T67" s="159"/>
      <c r="V67" s="4"/>
      <c r="W67" s="4"/>
    </row>
    <row r="68" spans="1:23">
      <c r="A68" s="1">
        <v>62</v>
      </c>
      <c r="B68" s="396" t="s">
        <v>1814</v>
      </c>
      <c r="C68" s="25">
        <f t="shared" si="1"/>
        <v>73.366666666666674</v>
      </c>
      <c r="D68" s="25">
        <f t="shared" si="8"/>
        <v>72.521329802883201</v>
      </c>
      <c r="E68" s="4">
        <f t="shared" si="9"/>
        <v>0.79310000000000003</v>
      </c>
      <c r="F68" s="25">
        <v>72.726714060484198</v>
      </c>
      <c r="G68" s="25">
        <v>73.36666666666666</v>
      </c>
      <c r="H68" s="167">
        <f t="shared" si="3"/>
        <v>2.8240552354694077E-3</v>
      </c>
      <c r="I68" s="1">
        <v>62</v>
      </c>
      <c r="J68" s="328">
        <f t="shared" si="6"/>
        <v>99.127733839823975</v>
      </c>
      <c r="K68" s="149">
        <f t="shared" si="5"/>
        <v>98.847791644093405</v>
      </c>
      <c r="L68" s="389">
        <v>5.094907407407407E-2</v>
      </c>
      <c r="M68" s="330" t="s">
        <v>215</v>
      </c>
      <c r="N68" s="330" t="s">
        <v>1609</v>
      </c>
      <c r="O68" s="330" t="s">
        <v>1176</v>
      </c>
      <c r="P68" s="388">
        <v>19418</v>
      </c>
      <c r="Q68" s="332"/>
      <c r="R68" s="330" t="s">
        <v>343</v>
      </c>
      <c r="S68" s="388">
        <v>42064</v>
      </c>
      <c r="T68" s="159"/>
      <c r="V68" s="4"/>
      <c r="W68" s="4"/>
    </row>
    <row r="69" spans="1:23">
      <c r="A69" s="1">
        <v>63</v>
      </c>
      <c r="B69" s="396" t="s">
        <v>1815</v>
      </c>
      <c r="C69" s="25">
        <f t="shared" si="1"/>
        <v>73.816666666666677</v>
      </c>
      <c r="D69" s="25">
        <f t="shared" si="8"/>
        <v>73.241648626851742</v>
      </c>
      <c r="E69" s="4">
        <f t="shared" si="9"/>
        <v>0.7853</v>
      </c>
      <c r="F69" s="25">
        <v>73.438432262427824</v>
      </c>
      <c r="G69" s="25">
        <v>73.816666666666677</v>
      </c>
      <c r="H69" s="167">
        <f t="shared" si="3"/>
        <v>2.679572936318791E-3</v>
      </c>
      <c r="I69" s="1">
        <v>63</v>
      </c>
      <c r="J69" s="328">
        <f t="shared" si="6"/>
        <v>99.487602974614333</v>
      </c>
      <c r="K69" s="149">
        <f t="shared" si="5"/>
        <v>99.221018686184323</v>
      </c>
      <c r="L69" s="389">
        <v>5.1261574074074077E-2</v>
      </c>
      <c r="M69" s="330" t="s">
        <v>215</v>
      </c>
      <c r="N69" s="330" t="s">
        <v>1609</v>
      </c>
      <c r="O69" s="330" t="s">
        <v>1176</v>
      </c>
      <c r="P69" s="388">
        <v>19418</v>
      </c>
      <c r="Q69" s="332"/>
      <c r="R69" s="330" t="s">
        <v>343</v>
      </c>
      <c r="S69" s="388">
        <v>42442</v>
      </c>
      <c r="T69" s="159"/>
      <c r="V69" s="4"/>
      <c r="W69" s="4"/>
    </row>
    <row r="70" spans="1:23">
      <c r="A70" s="1">
        <v>64</v>
      </c>
      <c r="B70" s="396" t="s">
        <v>1816</v>
      </c>
      <c r="C70" s="25">
        <f t="shared" si="1"/>
        <v>77.55</v>
      </c>
      <c r="D70" s="25">
        <f t="shared" si="8"/>
        <v>73.976420150053599</v>
      </c>
      <c r="E70" s="4">
        <f t="shared" si="9"/>
        <v>0.77749999999999997</v>
      </c>
      <c r="F70" s="25">
        <v>74.164218167714026</v>
      </c>
      <c r="G70" s="25">
        <v>77.55</v>
      </c>
      <c r="H70" s="167">
        <f t="shared" si="3"/>
        <v>2.5321916997188961E-3</v>
      </c>
      <c r="I70" s="1">
        <v>64</v>
      </c>
      <c r="J70" s="328">
        <f t="shared" si="6"/>
        <v>95.634065980288881</v>
      </c>
      <c r="K70" s="149">
        <f t="shared" si="5"/>
        <v>95.391902192203233</v>
      </c>
      <c r="L70" s="389">
        <v>5.3854166666666668E-2</v>
      </c>
      <c r="M70" s="330" t="s">
        <v>1632</v>
      </c>
      <c r="N70" s="330" t="s">
        <v>1633</v>
      </c>
      <c r="O70" s="330" t="s">
        <v>283</v>
      </c>
      <c r="P70" s="388">
        <v>17245</v>
      </c>
      <c r="Q70" s="332"/>
      <c r="R70" s="330" t="s">
        <v>342</v>
      </c>
      <c r="S70" s="388">
        <v>40678</v>
      </c>
      <c r="T70" s="159"/>
      <c r="V70" s="4"/>
      <c r="W70" s="4"/>
    </row>
    <row r="71" spans="1:23">
      <c r="A71" s="1">
        <v>65</v>
      </c>
      <c r="B71" s="396" t="s">
        <v>1817</v>
      </c>
      <c r="C71" s="25">
        <f t="shared" si="1"/>
        <v>77.083333333333343</v>
      </c>
      <c r="D71" s="25">
        <f t="shared" si="8"/>
        <v>74.726083755575772</v>
      </c>
      <c r="E71" s="4">
        <f t="shared" si="9"/>
        <v>0.76970000000000005</v>
      </c>
      <c r="F71" s="25">
        <v>74.904493029370343</v>
      </c>
      <c r="G71" s="25">
        <v>77.083333333333343</v>
      </c>
      <c r="H71" s="167">
        <f t="shared" si="3"/>
        <v>2.3818233937531129E-3</v>
      </c>
      <c r="I71" s="1">
        <v>65</v>
      </c>
      <c r="J71" s="328">
        <f t="shared" si="6"/>
        <v>97.173396362426374</v>
      </c>
      <c r="K71" s="149">
        <f t="shared" si="5"/>
        <v>96.941946493719911</v>
      </c>
      <c r="L71" s="389">
        <v>5.3530092592592594E-2</v>
      </c>
      <c r="M71" s="330" t="s">
        <v>1632</v>
      </c>
      <c r="N71" s="330" t="s">
        <v>1633</v>
      </c>
      <c r="O71" s="330" t="s">
        <v>283</v>
      </c>
      <c r="P71" s="388">
        <v>17245</v>
      </c>
      <c r="Q71" s="332"/>
      <c r="R71" s="330" t="s">
        <v>1745</v>
      </c>
      <c r="S71" s="388">
        <v>41189</v>
      </c>
      <c r="T71" s="159"/>
      <c r="V71" s="4"/>
      <c r="W71" s="4"/>
    </row>
    <row r="72" spans="1:23">
      <c r="A72" s="1">
        <v>66</v>
      </c>
      <c r="B72" s="396" t="s">
        <v>1818</v>
      </c>
      <c r="C72" s="25">
        <f t="shared" si="1"/>
        <v>79.316666666666663</v>
      </c>
      <c r="D72" s="25">
        <f t="shared" si="8"/>
        <v>75.491096819355121</v>
      </c>
      <c r="E72" s="4">
        <f t="shared" si="9"/>
        <v>0.76190000000000002</v>
      </c>
      <c r="F72" s="25">
        <v>75.659695089052946</v>
      </c>
      <c r="G72" s="25">
        <v>79.316666666666663</v>
      </c>
      <c r="H72" s="167">
        <f t="shared" si="3"/>
        <v>2.2283762774801146E-3</v>
      </c>
      <c r="I72" s="1">
        <v>66</v>
      </c>
      <c r="J72" s="328">
        <f t="shared" si="6"/>
        <v>95.389403348249147</v>
      </c>
      <c r="K72" s="149">
        <f t="shared" si="5"/>
        <v>95.176839864704931</v>
      </c>
      <c r="L72" s="389">
        <v>5.5081018518518515E-2</v>
      </c>
      <c r="M72" s="330" t="s">
        <v>1648</v>
      </c>
      <c r="N72" s="330" t="s">
        <v>1649</v>
      </c>
      <c r="O72" s="330" t="s">
        <v>331</v>
      </c>
      <c r="P72" s="388">
        <v>11235</v>
      </c>
      <c r="Q72" s="332"/>
      <c r="R72" s="330" t="s">
        <v>1746</v>
      </c>
      <c r="S72" s="388">
        <v>35540</v>
      </c>
      <c r="T72" s="159"/>
      <c r="V72" s="4"/>
      <c r="W72" s="4"/>
    </row>
    <row r="73" spans="1:23">
      <c r="A73" s="1">
        <v>67</v>
      </c>
      <c r="B73" s="396" t="s">
        <v>1819</v>
      </c>
      <c r="C73" s="25">
        <f t="shared" si="1"/>
        <v>76.416666666666671</v>
      </c>
      <c r="D73" s="25">
        <f t="shared" si="8"/>
        <v>76.261822681870427</v>
      </c>
      <c r="E73" s="4">
        <f t="shared" si="9"/>
        <v>0.75419999999999998</v>
      </c>
      <c r="F73" s="25">
        <v>76.430280442182877</v>
      </c>
      <c r="G73" s="25">
        <v>76.416666666666671</v>
      </c>
      <c r="H73" s="167">
        <f t="shared" si="3"/>
        <v>2.2040709433204628E-3</v>
      </c>
      <c r="I73" s="1">
        <v>67</v>
      </c>
      <c r="J73" s="328">
        <f t="shared" si="6"/>
        <v>100.0178151915152</v>
      </c>
      <c r="K73" s="149">
        <f t="shared" si="5"/>
        <v>99.797368831237193</v>
      </c>
      <c r="L73" s="389">
        <v>5.3067129629629638E-2</v>
      </c>
      <c r="M73" s="330" t="s">
        <v>1747</v>
      </c>
      <c r="N73" s="330" t="s">
        <v>1748</v>
      </c>
      <c r="O73" s="330" t="s">
        <v>179</v>
      </c>
      <c r="P73" s="388">
        <v>10889</v>
      </c>
      <c r="Q73" s="332"/>
      <c r="R73" s="330" t="s">
        <v>1749</v>
      </c>
      <c r="S73" s="388">
        <v>35526</v>
      </c>
      <c r="T73" s="159"/>
      <c r="V73" s="4"/>
      <c r="W73" s="4"/>
    </row>
    <row r="74" spans="1:23">
      <c r="A74" s="1">
        <v>68</v>
      </c>
      <c r="B74" s="396" t="s">
        <v>1326</v>
      </c>
      <c r="C74" s="25">
        <f t="shared" si="1"/>
        <v>80.55</v>
      </c>
      <c r="D74" s="25">
        <f t="shared" si="8"/>
        <v>77.058770989639171</v>
      </c>
      <c r="E74" s="4">
        <f t="shared" si="9"/>
        <v>0.74639999999999995</v>
      </c>
      <c r="F74" s="25">
        <v>77.216723956494121</v>
      </c>
      <c r="G74" s="25">
        <v>80.55</v>
      </c>
      <c r="H74" s="167">
        <f t="shared" ref="H74:H106" si="10">((F74-D74)/F74)</f>
        <v>2.0455797495882431E-3</v>
      </c>
      <c r="I74" s="1">
        <v>68</v>
      </c>
      <c r="J74" s="328">
        <f t="shared" si="6"/>
        <v>95.861854694592324</v>
      </c>
      <c r="K74" s="149">
        <f t="shared" si="5"/>
        <v>95.665761625871099</v>
      </c>
      <c r="L74" s="389">
        <v>5.5937500000000001E-2</v>
      </c>
      <c r="M74" s="330" t="s">
        <v>1496</v>
      </c>
      <c r="N74" s="330" t="s">
        <v>1625</v>
      </c>
      <c r="O74" s="330" t="s">
        <v>225</v>
      </c>
      <c r="P74" s="388">
        <v>11388</v>
      </c>
      <c r="Q74" s="332"/>
      <c r="R74" s="330" t="s">
        <v>1377</v>
      </c>
      <c r="S74" s="388">
        <v>36429</v>
      </c>
      <c r="T74" s="159"/>
      <c r="V74" s="4"/>
      <c r="W74" s="4"/>
    </row>
    <row r="75" spans="1:23">
      <c r="A75" s="1">
        <v>69</v>
      </c>
      <c r="B75" s="396" t="s">
        <v>1820</v>
      </c>
      <c r="C75" s="25">
        <f t="shared" si="1"/>
        <v>80.233333333333334</v>
      </c>
      <c r="D75" s="25">
        <f t="shared" ref="D75:D106" si="11">E$4/E75</f>
        <v>77.893643914770692</v>
      </c>
      <c r="E75" s="4">
        <f t="shared" si="9"/>
        <v>0.73839999999999995</v>
      </c>
      <c r="F75" s="25">
        <v>78.019520247880692</v>
      </c>
      <c r="G75" s="25">
        <v>80.233333333333334</v>
      </c>
      <c r="H75" s="167">
        <f t="shared" si="10"/>
        <v>1.613395374773779E-3</v>
      </c>
      <c r="I75" s="1">
        <v>69</v>
      </c>
      <c r="J75" s="328">
        <f t="shared" si="6"/>
        <v>97.240781364205262</v>
      </c>
      <c r="K75" s="149">
        <f t="shared" ref="K75:K92" si="12">100*(+D75/C75)</f>
        <v>97.083893537312875</v>
      </c>
      <c r="L75" s="389">
        <v>5.5717592592592596E-2</v>
      </c>
      <c r="M75" s="330" t="s">
        <v>1496</v>
      </c>
      <c r="N75" s="330" t="s">
        <v>1625</v>
      </c>
      <c r="O75" s="330" t="s">
        <v>225</v>
      </c>
      <c r="P75" s="388">
        <v>11388</v>
      </c>
      <c r="Q75" s="332"/>
      <c r="R75" s="330" t="s">
        <v>1377</v>
      </c>
      <c r="S75" s="388">
        <v>36793</v>
      </c>
      <c r="T75" s="159"/>
      <c r="V75" s="4"/>
      <c r="W75" s="4"/>
    </row>
    <row r="76" spans="1:23">
      <c r="A76" s="1">
        <v>70</v>
      </c>
      <c r="B76" s="396" t="s">
        <v>1821</v>
      </c>
      <c r="C76" s="25">
        <f t="shared" ref="C76:C89" si="13">B76*1440</f>
        <v>82.38333333333334</v>
      </c>
      <c r="D76" s="25">
        <f t="shared" si="11"/>
        <v>78.811546542431728</v>
      </c>
      <c r="E76" s="4">
        <f t="shared" si="9"/>
        <v>0.7298</v>
      </c>
      <c r="F76" s="25">
        <v>78.839184717756623</v>
      </c>
      <c r="G76" s="25">
        <v>82.383333333333326</v>
      </c>
      <c r="H76" s="167">
        <f t="shared" si="10"/>
        <v>3.5056394131725095E-4</v>
      </c>
      <c r="I76" s="1">
        <v>70</v>
      </c>
      <c r="J76" s="328">
        <f t="shared" si="6"/>
        <v>95.697978617547989</v>
      </c>
      <c r="K76" s="149">
        <f t="shared" si="12"/>
        <v>95.664430356987722</v>
      </c>
      <c r="L76" s="389">
        <v>5.7210648148148142E-2</v>
      </c>
      <c r="M76" s="330" t="s">
        <v>1496</v>
      </c>
      <c r="N76" s="330" t="s">
        <v>1625</v>
      </c>
      <c r="O76" s="330" t="s">
        <v>225</v>
      </c>
      <c r="P76" s="388">
        <v>11388</v>
      </c>
      <c r="Q76" s="332"/>
      <c r="R76" s="330" t="s">
        <v>1750</v>
      </c>
      <c r="S76" s="388">
        <v>37002</v>
      </c>
      <c r="T76" s="159"/>
      <c r="V76" s="4"/>
      <c r="W76" s="4"/>
    </row>
    <row r="77" spans="1:23">
      <c r="A77" s="1">
        <v>71</v>
      </c>
      <c r="B77" s="396" t="s">
        <v>1822</v>
      </c>
      <c r="C77" s="25">
        <f t="shared" si="13"/>
        <v>85.516666666666666</v>
      </c>
      <c r="D77" s="25">
        <f t="shared" si="11"/>
        <v>79.828822576914192</v>
      </c>
      <c r="E77" s="4">
        <f t="shared" si="9"/>
        <v>0.72050000000000003</v>
      </c>
      <c r="F77" s="25">
        <v>79.714330056011661</v>
      </c>
      <c r="G77" s="25">
        <v>85.516666666666666</v>
      </c>
      <c r="H77" s="167">
        <f t="shared" si="10"/>
        <v>-1.4362853055665341E-3</v>
      </c>
      <c r="I77" s="1">
        <v>71</v>
      </c>
      <c r="J77" s="328">
        <f t="shared" si="6"/>
        <v>93.214964010148122</v>
      </c>
      <c r="K77" s="149">
        <f t="shared" si="12"/>
        <v>93.348847293214803</v>
      </c>
      <c r="L77" s="389">
        <v>5.9386574074074071E-2</v>
      </c>
      <c r="M77" s="330" t="s">
        <v>1530</v>
      </c>
      <c r="N77" s="330" t="s">
        <v>1751</v>
      </c>
      <c r="O77" s="330" t="s">
        <v>172</v>
      </c>
      <c r="P77" s="388">
        <v>13218</v>
      </c>
      <c r="Q77" s="332"/>
      <c r="R77" s="330" t="s">
        <v>210</v>
      </c>
      <c r="S77" s="388">
        <v>39152</v>
      </c>
      <c r="T77" s="180"/>
      <c r="V77" s="4"/>
      <c r="W77" s="4"/>
    </row>
    <row r="78" spans="1:23">
      <c r="A78" s="1">
        <v>72</v>
      </c>
      <c r="B78" s="396" t="s">
        <v>1823</v>
      </c>
      <c r="C78" s="25">
        <f t="shared" si="13"/>
        <v>86.649999999999991</v>
      </c>
      <c r="D78" s="25">
        <f t="shared" si="11"/>
        <v>80.94098883572569</v>
      </c>
      <c r="E78" s="4">
        <f t="shared" si="9"/>
        <v>0.71060000000000001</v>
      </c>
      <c r="F78" s="25">
        <v>80.687104942989265</v>
      </c>
      <c r="G78" s="25">
        <v>86.649999999999991</v>
      </c>
      <c r="H78" s="167">
        <f t="shared" si="10"/>
        <v>-3.1465237588560271E-3</v>
      </c>
      <c r="I78" s="1">
        <v>72</v>
      </c>
      <c r="J78" s="328">
        <f t="shared" si="6"/>
        <v>93.118413090581967</v>
      </c>
      <c r="K78" s="149">
        <f t="shared" si="12"/>
        <v>93.411412389758453</v>
      </c>
      <c r="L78" s="389">
        <v>6.0173611111111108E-2</v>
      </c>
      <c r="M78" s="330" t="s">
        <v>1639</v>
      </c>
      <c r="N78" s="330" t="s">
        <v>1640</v>
      </c>
      <c r="O78" s="330" t="s">
        <v>179</v>
      </c>
      <c r="P78" s="388">
        <v>12163</v>
      </c>
      <c r="Q78" s="332"/>
      <c r="R78" s="330" t="s">
        <v>1752</v>
      </c>
      <c r="S78" s="388">
        <v>38739</v>
      </c>
      <c r="T78" s="159"/>
      <c r="V78" s="4"/>
      <c r="W78" s="4"/>
    </row>
    <row r="79" spans="1:23">
      <c r="A79" s="1">
        <v>73</v>
      </c>
      <c r="B79" s="396" t="s">
        <v>1824</v>
      </c>
      <c r="C79" s="25">
        <f t="shared" si="13"/>
        <v>88.033333333333331</v>
      </c>
      <c r="D79" s="25">
        <f t="shared" si="11"/>
        <v>82.178406439015106</v>
      </c>
      <c r="E79" s="4">
        <f t="shared" si="9"/>
        <v>0.69989999999999997</v>
      </c>
      <c r="F79" s="25">
        <v>81.763992192857501</v>
      </c>
      <c r="G79" s="25">
        <v>88.033333333333331</v>
      </c>
      <c r="H79" s="167">
        <f t="shared" si="10"/>
        <v>-5.0684199125224025E-3</v>
      </c>
      <c r="I79" s="1">
        <v>73</v>
      </c>
      <c r="J79" s="328">
        <f t="shared" si="6"/>
        <v>92.878446262238739</v>
      </c>
      <c r="K79" s="149">
        <f t="shared" si="12"/>
        <v>93.349193228718406</v>
      </c>
      <c r="L79" s="389">
        <v>6.1134259259259256E-2</v>
      </c>
      <c r="M79" s="330" t="s">
        <v>1496</v>
      </c>
      <c r="N79" s="330" t="s">
        <v>1625</v>
      </c>
      <c r="O79" s="330" t="s">
        <v>225</v>
      </c>
      <c r="P79" s="388">
        <v>11388</v>
      </c>
      <c r="Q79" s="332"/>
      <c r="R79" s="330" t="s">
        <v>1753</v>
      </c>
      <c r="S79" s="388">
        <v>38095</v>
      </c>
      <c r="T79" s="159"/>
      <c r="V79" s="4"/>
      <c r="W79" s="4"/>
    </row>
    <row r="80" spans="1:23">
      <c r="A80" s="1">
        <v>74</v>
      </c>
      <c r="B80" s="396" t="s">
        <v>815</v>
      </c>
      <c r="C80" s="25">
        <f t="shared" si="13"/>
        <v>91.1</v>
      </c>
      <c r="D80" s="25">
        <f t="shared" si="11"/>
        <v>83.526962919934178</v>
      </c>
      <c r="E80" s="4">
        <f t="shared" si="9"/>
        <v>0.68859999999999999</v>
      </c>
      <c r="F80" s="25">
        <v>82.952434131788991</v>
      </c>
      <c r="G80" s="25">
        <v>91.1</v>
      </c>
      <c r="H80" s="167">
        <f t="shared" si="10"/>
        <v>-6.9260027648184062E-3</v>
      </c>
      <c r="I80" s="1">
        <v>74</v>
      </c>
      <c r="J80" s="328">
        <f t="shared" si="6"/>
        <v>91.056458981107568</v>
      </c>
      <c r="K80" s="149">
        <f t="shared" si="12"/>
        <v>91.68711626776529</v>
      </c>
      <c r="L80" s="389">
        <v>6.3263888888888883E-2</v>
      </c>
      <c r="M80" s="330" t="s">
        <v>1500</v>
      </c>
      <c r="N80" s="330" t="s">
        <v>1636</v>
      </c>
      <c r="O80" s="330" t="s">
        <v>155</v>
      </c>
      <c r="P80" s="388">
        <v>7482</v>
      </c>
      <c r="Q80" s="332"/>
      <c r="R80" s="330" t="s">
        <v>1754</v>
      </c>
      <c r="S80" s="388">
        <v>34609</v>
      </c>
      <c r="T80" s="159"/>
      <c r="V80" s="4"/>
      <c r="W80" s="4"/>
    </row>
    <row r="81" spans="1:23">
      <c r="A81" s="1">
        <v>75</v>
      </c>
      <c r="B81" s="396" t="s">
        <v>1825</v>
      </c>
      <c r="C81" s="25">
        <f t="shared" si="13"/>
        <v>90.233333333333348</v>
      </c>
      <c r="D81" s="25">
        <f t="shared" si="11"/>
        <v>85.008375209380247</v>
      </c>
      <c r="E81" s="4">
        <f t="shared" si="9"/>
        <v>0.67659999999999998</v>
      </c>
      <c r="F81" s="25">
        <v>84.260973771095905</v>
      </c>
      <c r="G81" s="25">
        <v>90.233333333333348</v>
      </c>
      <c r="H81" s="167">
        <f t="shared" si="10"/>
        <v>-8.8700783391696784E-3</v>
      </c>
      <c r="I81" s="1">
        <v>75</v>
      </c>
      <c r="J81" s="328">
        <f t="shared" si="6"/>
        <v>93.381204770331621</v>
      </c>
      <c r="K81" s="149">
        <f t="shared" si="12"/>
        <v>94.209503372050492</v>
      </c>
      <c r="L81" s="389">
        <v>6.2662037037037044E-2</v>
      </c>
      <c r="M81" s="330" t="s">
        <v>1755</v>
      </c>
      <c r="N81" s="330" t="s">
        <v>1756</v>
      </c>
      <c r="O81" s="330" t="s">
        <v>209</v>
      </c>
      <c r="P81" s="388">
        <v>14525</v>
      </c>
      <c r="Q81" s="332"/>
      <c r="R81" s="330" t="s">
        <v>374</v>
      </c>
      <c r="S81" s="388">
        <v>41965</v>
      </c>
      <c r="T81" s="159"/>
      <c r="V81" s="4"/>
      <c r="W81" s="4"/>
    </row>
    <row r="82" spans="1:23">
      <c r="A82" s="1">
        <v>76</v>
      </c>
      <c r="B82" s="396" t="s">
        <v>1826</v>
      </c>
      <c r="C82" s="25">
        <f t="shared" si="13"/>
        <v>89.433333333333337</v>
      </c>
      <c r="D82" s="25">
        <f t="shared" si="11"/>
        <v>86.634533313249989</v>
      </c>
      <c r="E82" s="4">
        <f t="shared" si="9"/>
        <v>0.66390000000000005</v>
      </c>
      <c r="F82" s="25">
        <v>85.699425229147494</v>
      </c>
      <c r="G82" s="25">
        <v>89.433333333333337</v>
      </c>
      <c r="H82" s="167">
        <f t="shared" si="10"/>
        <v>-1.0911486064254872E-2</v>
      </c>
      <c r="I82" s="1">
        <v>76</v>
      </c>
      <c r="J82" s="328">
        <f t="shared" si="6"/>
        <v>95.824925712800024</v>
      </c>
      <c r="K82" s="149">
        <f t="shared" si="12"/>
        <v>96.870518054323512</v>
      </c>
      <c r="L82" s="389">
        <v>6.2106481481481485E-2</v>
      </c>
      <c r="M82" s="330" t="s">
        <v>1496</v>
      </c>
      <c r="N82" s="330" t="s">
        <v>1625</v>
      </c>
      <c r="O82" s="330" t="s">
        <v>225</v>
      </c>
      <c r="P82" s="388">
        <v>11388</v>
      </c>
      <c r="Q82" s="332"/>
      <c r="R82" s="330" t="s">
        <v>1757</v>
      </c>
      <c r="S82" s="388">
        <v>39215</v>
      </c>
      <c r="T82" s="159"/>
      <c r="V82" s="4"/>
      <c r="W82" s="4"/>
    </row>
    <row r="83" spans="1:23">
      <c r="A83" s="1">
        <v>77</v>
      </c>
      <c r="B83" s="396" t="s">
        <v>1827</v>
      </c>
      <c r="C83" s="25">
        <f t="shared" si="13"/>
        <v>96.666666666666671</v>
      </c>
      <c r="D83" s="25">
        <f t="shared" si="11"/>
        <v>88.419164745067917</v>
      </c>
      <c r="E83" s="4">
        <f t="shared" si="9"/>
        <v>0.65049999999999997</v>
      </c>
      <c r="F83" s="25">
        <v>87.279080278316357</v>
      </c>
      <c r="G83" s="25">
        <v>96.666666666666671</v>
      </c>
      <c r="H83" s="167">
        <f t="shared" si="10"/>
        <v>-1.3062516964157365E-2</v>
      </c>
      <c r="I83" s="1">
        <v>77</v>
      </c>
      <c r="J83" s="328">
        <f t="shared" si="6"/>
        <v>90.288703736189333</v>
      </c>
      <c r="K83" s="149">
        <f t="shared" si="12"/>
        <v>91.468101460415085</v>
      </c>
      <c r="L83" s="389">
        <v>6.7129629629629636E-2</v>
      </c>
      <c r="M83" s="330" t="s">
        <v>1500</v>
      </c>
      <c r="N83" s="330" t="s">
        <v>1636</v>
      </c>
      <c r="O83" s="330" t="s">
        <v>155</v>
      </c>
      <c r="P83" s="388">
        <v>7482</v>
      </c>
      <c r="Q83" s="332"/>
      <c r="R83" s="330" t="s">
        <v>1758</v>
      </c>
      <c r="S83" s="388">
        <v>35916</v>
      </c>
      <c r="T83" s="159"/>
      <c r="V83" s="4"/>
      <c r="W83" s="4"/>
    </row>
    <row r="84" spans="1:23">
      <c r="A84" s="1">
        <v>78</v>
      </c>
      <c r="B84" s="396" t="s">
        <v>315</v>
      </c>
      <c r="C84" s="25">
        <f t="shared" si="13"/>
        <v>97.63333333333334</v>
      </c>
      <c r="D84" s="25">
        <f t="shared" si="11"/>
        <v>90.36396962555645</v>
      </c>
      <c r="E84" s="4">
        <f t="shared" si="9"/>
        <v>0.63649999999999995</v>
      </c>
      <c r="F84" s="25">
        <v>89.012959860059325</v>
      </c>
      <c r="G84" s="25">
        <v>97.633333333333326</v>
      </c>
      <c r="H84" s="167">
        <f t="shared" si="10"/>
        <v>-1.5177674887129905E-2</v>
      </c>
      <c r="I84" s="1">
        <v>78</v>
      </c>
      <c r="J84" s="328">
        <f t="shared" si="6"/>
        <v>91.170665612897906</v>
      </c>
      <c r="K84" s="149">
        <f t="shared" si="12"/>
        <v>92.554424334813703</v>
      </c>
      <c r="L84" s="389">
        <v>6.7800925925925917E-2</v>
      </c>
      <c r="M84" s="330" t="s">
        <v>1496</v>
      </c>
      <c r="N84" s="330" t="s">
        <v>1625</v>
      </c>
      <c r="O84" s="330" t="s">
        <v>225</v>
      </c>
      <c r="P84" s="388">
        <v>11388</v>
      </c>
      <c r="Q84" s="332"/>
      <c r="R84" s="330" t="s">
        <v>1377</v>
      </c>
      <c r="S84" s="388">
        <v>40083</v>
      </c>
      <c r="T84" s="159"/>
      <c r="V84" s="4"/>
      <c r="W84" s="4"/>
    </row>
    <row r="85" spans="1:23">
      <c r="A85" s="1">
        <v>79</v>
      </c>
      <c r="B85" s="396" t="s">
        <v>1828</v>
      </c>
      <c r="C85" s="25">
        <f t="shared" si="13"/>
        <v>94.45</v>
      </c>
      <c r="D85" s="25">
        <f t="shared" si="11"/>
        <v>92.500268039026494</v>
      </c>
      <c r="E85" s="4">
        <f t="shared" si="9"/>
        <v>0.62180000000000002</v>
      </c>
      <c r="F85" s="25">
        <v>90.916122026409525</v>
      </c>
      <c r="G85" s="25">
        <v>94.45</v>
      </c>
      <c r="H85" s="167">
        <f t="shared" si="10"/>
        <v>-1.7424258506723404E-2</v>
      </c>
      <c r="I85" s="1">
        <v>79</v>
      </c>
      <c r="J85" s="328">
        <f t="shared" ref="J85:J97" si="14">100*(+F85/C85)</f>
        <v>96.258466941672339</v>
      </c>
      <c r="K85" s="149">
        <f t="shared" si="12"/>
        <v>97.935699353124932</v>
      </c>
      <c r="L85" s="389">
        <v>6.5590277777777775E-2</v>
      </c>
      <c r="M85" s="330" t="s">
        <v>1496</v>
      </c>
      <c r="N85" s="330" t="s">
        <v>1625</v>
      </c>
      <c r="O85" s="330" t="s">
        <v>225</v>
      </c>
      <c r="P85" s="388">
        <v>11388</v>
      </c>
      <c r="Q85" s="332"/>
      <c r="R85" s="330" t="s">
        <v>1377</v>
      </c>
      <c r="S85" s="388">
        <v>40447</v>
      </c>
      <c r="T85" s="159"/>
      <c r="V85" s="4"/>
      <c r="W85" s="4"/>
    </row>
    <row r="86" spans="1:23">
      <c r="A86" s="1">
        <v>80</v>
      </c>
      <c r="B86" s="396" t="s">
        <v>1829</v>
      </c>
      <c r="C86" s="25">
        <f t="shared" si="13"/>
        <v>99.466666666666669</v>
      </c>
      <c r="D86" s="25">
        <f t="shared" si="11"/>
        <v>94.865028313816055</v>
      </c>
      <c r="E86" s="4">
        <f t="shared" si="9"/>
        <v>0.60629999999999995</v>
      </c>
      <c r="F86" s="25">
        <v>93.006041277371466</v>
      </c>
      <c r="G86" s="25">
        <v>99.466666666666669</v>
      </c>
      <c r="H86" s="167">
        <f t="shared" si="10"/>
        <v>-1.9987809511218101E-2</v>
      </c>
      <c r="I86" s="1">
        <v>80</v>
      </c>
      <c r="J86" s="328">
        <f t="shared" si="14"/>
        <v>93.504733187705895</v>
      </c>
      <c r="K86" s="149">
        <f t="shared" si="12"/>
        <v>95.373687983059028</v>
      </c>
      <c r="L86" s="389">
        <v>6.9074074074074079E-2</v>
      </c>
      <c r="M86" s="330" t="s">
        <v>1450</v>
      </c>
      <c r="N86" s="330" t="s">
        <v>1759</v>
      </c>
      <c r="O86" s="330" t="s">
        <v>155</v>
      </c>
      <c r="P86" s="388">
        <v>9106</v>
      </c>
      <c r="Q86" s="332"/>
      <c r="R86" s="330" t="s">
        <v>1760</v>
      </c>
      <c r="S86" s="388">
        <v>38458</v>
      </c>
      <c r="T86" s="159"/>
      <c r="V86" s="4"/>
      <c r="W86" s="4"/>
    </row>
    <row r="87" spans="1:23">
      <c r="A87" s="1">
        <v>81</v>
      </c>
      <c r="B87" s="396" t="s">
        <v>1830</v>
      </c>
      <c r="C87" s="25">
        <f t="shared" si="13"/>
        <v>98.983333333333334</v>
      </c>
      <c r="D87" s="25">
        <f t="shared" si="11"/>
        <v>97.45284084491135</v>
      </c>
      <c r="E87" s="4">
        <f t="shared" si="9"/>
        <v>0.59019999999999995</v>
      </c>
      <c r="F87" s="25">
        <v>95.303079026738729</v>
      </c>
      <c r="G87" s="25">
        <v>98.983333333333334</v>
      </c>
      <c r="H87" s="167">
        <f t="shared" si="10"/>
        <v>-2.2557107704458033E-2</v>
      </c>
      <c r="I87" s="1">
        <v>81</v>
      </c>
      <c r="J87" s="328">
        <f t="shared" si="14"/>
        <v>96.281945472374531</v>
      </c>
      <c r="K87" s="149">
        <f t="shared" si="12"/>
        <v>98.453787686389646</v>
      </c>
      <c r="L87" s="389">
        <v>6.8738425925925925E-2</v>
      </c>
      <c r="M87" s="330" t="s">
        <v>1496</v>
      </c>
      <c r="N87" s="330" t="s">
        <v>1625</v>
      </c>
      <c r="O87" s="330" t="s">
        <v>225</v>
      </c>
      <c r="P87" s="388">
        <v>11388</v>
      </c>
      <c r="Q87" s="332"/>
      <c r="R87" s="330" t="s">
        <v>1761</v>
      </c>
      <c r="S87" s="388">
        <v>41168</v>
      </c>
      <c r="T87" s="159"/>
      <c r="V87" s="4"/>
      <c r="W87" s="4"/>
    </row>
    <row r="88" spans="1:23">
      <c r="A88" s="1">
        <v>82</v>
      </c>
      <c r="B88" s="396" t="s">
        <v>1831</v>
      </c>
      <c r="C88" s="25">
        <f t="shared" si="13"/>
        <v>119.35</v>
      </c>
      <c r="D88" s="25">
        <f t="shared" si="11"/>
        <v>100.30810370887107</v>
      </c>
      <c r="E88" s="4">
        <f t="shared" si="9"/>
        <v>0.57340000000000002</v>
      </c>
      <c r="F88" s="25">
        <v>97.831071461087362</v>
      </c>
      <c r="G88" s="25">
        <v>119.35000000000001</v>
      </c>
      <c r="H88" s="167">
        <f t="shared" si="10"/>
        <v>-2.5319483992046015E-2</v>
      </c>
      <c r="I88" s="1">
        <v>82</v>
      </c>
      <c r="J88" s="328">
        <f t="shared" si="14"/>
        <v>81.969896490228209</v>
      </c>
      <c r="K88" s="149">
        <f t="shared" si="12"/>
        <v>84.045331972242209</v>
      </c>
      <c r="L88" s="389">
        <v>8.2881944444444453E-2</v>
      </c>
      <c r="M88" s="330" t="s">
        <v>1762</v>
      </c>
      <c r="N88" s="330" t="s">
        <v>1763</v>
      </c>
      <c r="O88" s="330" t="s">
        <v>155</v>
      </c>
      <c r="P88" s="388">
        <v>2806</v>
      </c>
      <c r="Q88" s="332"/>
      <c r="R88" s="330" t="s">
        <v>1764</v>
      </c>
      <c r="S88" s="388">
        <v>33020</v>
      </c>
      <c r="T88" s="159"/>
      <c r="V88" s="4"/>
      <c r="W88" s="4"/>
    </row>
    <row r="89" spans="1:23">
      <c r="A89" s="1">
        <v>83</v>
      </c>
      <c r="B89" s="396" t="s">
        <v>1832</v>
      </c>
      <c r="C89" s="25">
        <f t="shared" si="13"/>
        <v>106.19999999999999</v>
      </c>
      <c r="D89" s="25">
        <f t="shared" si="11"/>
        <v>103.44724220623502</v>
      </c>
      <c r="E89" s="4">
        <f t="shared" si="9"/>
        <v>0.55600000000000005</v>
      </c>
      <c r="F89" s="25">
        <v>100.61807012071297</v>
      </c>
      <c r="G89" s="25">
        <v>106.19999999999999</v>
      </c>
      <c r="H89" s="167">
        <f t="shared" si="10"/>
        <v>-2.8117932317006746E-2</v>
      </c>
      <c r="I89" s="1">
        <v>83</v>
      </c>
      <c r="J89" s="328">
        <f t="shared" si="14"/>
        <v>94.743945499729747</v>
      </c>
      <c r="K89" s="149">
        <f t="shared" si="12"/>
        <v>97.407949346737311</v>
      </c>
      <c r="L89" s="389">
        <v>7.3749999999999996E-2</v>
      </c>
      <c r="M89" s="330" t="s">
        <v>1496</v>
      </c>
      <c r="N89" s="330" t="s">
        <v>1625</v>
      </c>
      <c r="O89" s="330" t="s">
        <v>225</v>
      </c>
      <c r="P89" s="388">
        <v>11388</v>
      </c>
      <c r="Q89" s="332"/>
      <c r="R89" s="330" t="s">
        <v>1765</v>
      </c>
      <c r="S89" s="388">
        <v>41756</v>
      </c>
      <c r="T89" s="159"/>
      <c r="V89" s="4"/>
      <c r="W89" s="4"/>
    </row>
    <row r="90" spans="1:23">
      <c r="A90" s="1">
        <v>84</v>
      </c>
      <c r="B90" s="396" t="s">
        <v>1833</v>
      </c>
      <c r="C90" s="25">
        <f>B90*1440</f>
        <v>107.55000000000001</v>
      </c>
      <c r="D90" s="25">
        <f t="shared" si="11"/>
        <v>106.94805999752079</v>
      </c>
      <c r="E90" s="4">
        <f t="shared" si="9"/>
        <v>0.53779999999999994</v>
      </c>
      <c r="F90" s="25">
        <v>103.69728326734953</v>
      </c>
      <c r="G90" s="25">
        <v>107.55000000000001</v>
      </c>
      <c r="H90" s="167">
        <f t="shared" si="10"/>
        <v>-3.1348716453739572E-2</v>
      </c>
      <c r="I90" s="1">
        <v>84</v>
      </c>
      <c r="J90" s="328">
        <f t="shared" si="14"/>
        <v>96.417743623755953</v>
      </c>
      <c r="K90" s="149">
        <f t="shared" si="12"/>
        <v>99.440316129726426</v>
      </c>
      <c r="L90" s="389">
        <v>7.4687500000000004E-2</v>
      </c>
      <c r="M90" s="330" t="s">
        <v>1496</v>
      </c>
      <c r="N90" s="330" t="s">
        <v>1766</v>
      </c>
      <c r="O90" s="330" t="s">
        <v>155</v>
      </c>
      <c r="P90" s="388">
        <v>2750</v>
      </c>
      <c r="Q90" s="332"/>
      <c r="R90" s="330" t="s">
        <v>1767</v>
      </c>
      <c r="S90" s="388">
        <v>33615</v>
      </c>
      <c r="T90" s="159"/>
      <c r="V90" s="4"/>
      <c r="W90" s="4"/>
    </row>
    <row r="91" spans="1:23">
      <c r="A91" s="1">
        <v>85</v>
      </c>
      <c r="B91" s="396" t="s">
        <v>1834</v>
      </c>
      <c r="C91" s="25">
        <f>B91*1440</f>
        <v>110.78333333333333</v>
      </c>
      <c r="D91" s="25">
        <f t="shared" si="11"/>
        <v>110.82209377007065</v>
      </c>
      <c r="E91" s="4">
        <f t="shared" si="9"/>
        <v>0.51900000000000002</v>
      </c>
      <c r="F91" s="25">
        <v>107.10828424331039</v>
      </c>
      <c r="G91" s="25">
        <v>110.78333333333333</v>
      </c>
      <c r="H91" s="167">
        <f t="shared" si="10"/>
        <v>-3.4673410679643198E-2</v>
      </c>
      <c r="I91" s="1">
        <v>85</v>
      </c>
      <c r="J91" s="328">
        <f t="shared" si="14"/>
        <v>96.682669694578365</v>
      </c>
      <c r="K91" s="149">
        <f t="shared" si="12"/>
        <v>100.03498760650278</v>
      </c>
      <c r="L91" s="389">
        <v>7.6932870370370374E-2</v>
      </c>
      <c r="M91" s="330" t="s">
        <v>1496</v>
      </c>
      <c r="N91" s="330" t="s">
        <v>1625</v>
      </c>
      <c r="O91" s="330" t="s">
        <v>225</v>
      </c>
      <c r="P91" s="388">
        <v>11388</v>
      </c>
      <c r="Q91" s="332"/>
      <c r="R91" s="330" t="s">
        <v>1765</v>
      </c>
      <c r="S91" s="388">
        <v>42484</v>
      </c>
      <c r="T91" s="159"/>
      <c r="V91" s="4"/>
      <c r="W91" s="4"/>
    </row>
    <row r="92" spans="1:23">
      <c r="A92" s="1">
        <v>86</v>
      </c>
      <c r="B92" s="396" t="s">
        <v>1835</v>
      </c>
      <c r="C92" s="25">
        <f t="shared" ref="C92:C97" si="15">B92*1440</f>
        <v>129.26666666666668</v>
      </c>
      <c r="D92" s="25">
        <f t="shared" si="11"/>
        <v>115.1484818151485</v>
      </c>
      <c r="E92" s="4">
        <f t="shared" si="9"/>
        <v>0.4995</v>
      </c>
      <c r="F92" s="25">
        <v>110.89857924452201</v>
      </c>
      <c r="G92" s="25"/>
      <c r="H92" s="167">
        <f t="shared" si="10"/>
        <v>-3.8322425765760372E-2</v>
      </c>
      <c r="I92" s="1">
        <v>86</v>
      </c>
      <c r="J92" s="328">
        <f t="shared" si="14"/>
        <v>85.790546089109327</v>
      </c>
      <c r="K92" s="149">
        <f t="shared" si="12"/>
        <v>89.078247923013279</v>
      </c>
      <c r="L92" s="389">
        <v>8.9768518518518525E-2</v>
      </c>
      <c r="M92" s="330" t="s">
        <v>1507</v>
      </c>
      <c r="N92" s="330" t="s">
        <v>1768</v>
      </c>
      <c r="O92" s="330" t="s">
        <v>283</v>
      </c>
      <c r="P92" s="388">
        <v>10817</v>
      </c>
      <c r="Q92" s="332"/>
      <c r="R92" s="330" t="s">
        <v>1769</v>
      </c>
      <c r="S92" s="388">
        <v>42274</v>
      </c>
      <c r="T92" s="180"/>
      <c r="V92" s="4"/>
      <c r="W92" s="4"/>
    </row>
    <row r="93" spans="1:23">
      <c r="A93" s="1">
        <v>87</v>
      </c>
      <c r="B93" s="396" t="s">
        <v>1836</v>
      </c>
      <c r="C93" s="25">
        <f t="shared" si="15"/>
        <v>150.6</v>
      </c>
      <c r="D93" s="25">
        <f t="shared" si="11"/>
        <v>120.00139091730998</v>
      </c>
      <c r="E93" s="4">
        <f t="shared" si="9"/>
        <v>0.4793</v>
      </c>
      <c r="F93" s="25">
        <v>115.12566543160455</v>
      </c>
      <c r="G93" s="25"/>
      <c r="H93" s="167">
        <f t="shared" si="10"/>
        <v>-4.235133380055961E-2</v>
      </c>
      <c r="I93" s="1">
        <v>87</v>
      </c>
      <c r="J93" s="328">
        <f t="shared" si="14"/>
        <v>76.444664961224788</v>
      </c>
      <c r="K93" s="149"/>
      <c r="L93" s="389">
        <v>0.10458333333333332</v>
      </c>
      <c r="M93" s="330" t="s">
        <v>1770</v>
      </c>
      <c r="N93" s="330" t="s">
        <v>1771</v>
      </c>
      <c r="O93" s="330" t="s">
        <v>1176</v>
      </c>
      <c r="P93" s="388">
        <v>10319</v>
      </c>
      <c r="Q93" s="332"/>
      <c r="R93" s="330" t="s">
        <v>1772</v>
      </c>
      <c r="S93" s="388">
        <v>42141</v>
      </c>
      <c r="T93" s="159"/>
      <c r="V93" s="4"/>
      <c r="W93" s="4"/>
    </row>
    <row r="94" spans="1:23">
      <c r="A94" s="1">
        <v>88</v>
      </c>
      <c r="B94" s="396" t="s">
        <v>1837</v>
      </c>
      <c r="C94" s="25">
        <f t="shared" si="15"/>
        <v>156.46666666666667</v>
      </c>
      <c r="D94" s="25">
        <f t="shared" si="11"/>
        <v>125.47265852239676</v>
      </c>
      <c r="E94" s="4">
        <f t="shared" si="9"/>
        <v>0.45839999999999997</v>
      </c>
      <c r="F94" s="25">
        <v>119.85976783542769</v>
      </c>
      <c r="G94" s="25">
        <v>156.46666666666667</v>
      </c>
      <c r="H94" s="167">
        <f t="shared" si="10"/>
        <v>-4.6828813273489672E-2</v>
      </c>
      <c r="I94" s="1">
        <v>88</v>
      </c>
      <c r="J94" s="328">
        <f t="shared" si="14"/>
        <v>76.604027163673422</v>
      </c>
      <c r="K94" s="149">
        <f>100*(+D94/C94)</f>
        <v>80.191302847718418</v>
      </c>
      <c r="L94" s="389">
        <v>0.10865740740740741</v>
      </c>
      <c r="M94" s="330" t="s">
        <v>1773</v>
      </c>
      <c r="N94" s="330" t="s">
        <v>1774</v>
      </c>
      <c r="O94" s="330" t="s">
        <v>292</v>
      </c>
      <c r="P94" s="388">
        <v>10186</v>
      </c>
      <c r="Q94" s="332"/>
      <c r="R94" s="330" t="s">
        <v>1775</v>
      </c>
      <c r="S94" s="388">
        <v>42499</v>
      </c>
      <c r="T94" s="180"/>
      <c r="V94" s="4"/>
      <c r="W94" s="4"/>
    </row>
    <row r="95" spans="1:23">
      <c r="A95" s="1">
        <v>89</v>
      </c>
      <c r="B95" s="395" t="s">
        <v>1838</v>
      </c>
      <c r="C95" s="25">
        <f t="shared" si="15"/>
        <v>166.63333333333333</v>
      </c>
      <c r="D95" s="25">
        <f t="shared" si="11"/>
        <v>131.64721141374838</v>
      </c>
      <c r="E95" s="4">
        <f t="shared" si="9"/>
        <v>0.43690000000000001</v>
      </c>
      <c r="F95" s="25">
        <v>125.1875311360652</v>
      </c>
      <c r="G95" s="25">
        <v>166.63333333333333</v>
      </c>
      <c r="H95" s="167">
        <f t="shared" si="10"/>
        <v>-5.1600029324503638E-2</v>
      </c>
      <c r="I95" s="1">
        <v>89</v>
      </c>
      <c r="J95" s="328">
        <f t="shared" si="14"/>
        <v>75.127544190477224</v>
      </c>
      <c r="K95" s="149">
        <f>100*(+D95/C95)</f>
        <v>79.004127673783785</v>
      </c>
      <c r="L95" s="352">
        <v>0.11571759259259258</v>
      </c>
      <c r="M95" s="330" t="s">
        <v>1773</v>
      </c>
      <c r="N95" s="330" t="s">
        <v>1774</v>
      </c>
      <c r="O95" s="330" t="s">
        <v>292</v>
      </c>
      <c r="P95" s="388">
        <v>10186</v>
      </c>
      <c r="Q95" s="332"/>
      <c r="R95" s="330" t="s">
        <v>1775</v>
      </c>
      <c r="S95" s="388">
        <v>42987</v>
      </c>
      <c r="T95" s="159"/>
      <c r="V95" s="4"/>
      <c r="W95" s="4"/>
    </row>
    <row r="96" spans="1:23">
      <c r="A96" s="1">
        <v>90</v>
      </c>
      <c r="B96" s="395" t="s">
        <v>1839</v>
      </c>
      <c r="C96" s="25">
        <f t="shared" si="15"/>
        <v>175.93333333333334</v>
      </c>
      <c r="D96" s="25">
        <f t="shared" si="11"/>
        <v>138.72809133301175</v>
      </c>
      <c r="E96" s="4">
        <f t="shared" si="9"/>
        <v>0.41460000000000002</v>
      </c>
      <c r="F96" s="25">
        <v>131.21707867256112</v>
      </c>
      <c r="G96" s="25">
        <v>175.93333333333334</v>
      </c>
      <c r="H96" s="167">
        <f t="shared" si="10"/>
        <v>-5.7241120869590469E-2</v>
      </c>
      <c r="I96" s="1">
        <v>90</v>
      </c>
      <c r="J96" s="328">
        <f t="shared" si="14"/>
        <v>74.583409628208287</v>
      </c>
      <c r="K96" s="149">
        <f>100*(+D96/C96)</f>
        <v>78.852647593602725</v>
      </c>
      <c r="L96" s="352">
        <v>0.12217592592592592</v>
      </c>
      <c r="M96" s="390" t="s">
        <v>1776</v>
      </c>
      <c r="N96" s="390" t="s">
        <v>1777</v>
      </c>
      <c r="O96" s="390" t="s">
        <v>155</v>
      </c>
      <c r="P96" s="391">
        <v>8090</v>
      </c>
      <c r="Q96" s="392"/>
      <c r="R96" s="390" t="s">
        <v>1778</v>
      </c>
      <c r="S96" s="391">
        <v>41140</v>
      </c>
      <c r="T96" s="25"/>
      <c r="V96" s="4"/>
      <c r="W96" s="4"/>
    </row>
    <row r="97" spans="1:23">
      <c r="A97" s="1">
        <v>91</v>
      </c>
      <c r="B97" s="395" t="s">
        <v>1840</v>
      </c>
      <c r="C97" s="25">
        <f t="shared" si="15"/>
        <v>183.93333333333331</v>
      </c>
      <c r="D97" s="25">
        <f t="shared" si="11"/>
        <v>146.83856693047403</v>
      </c>
      <c r="E97" s="4">
        <f t="shared" si="9"/>
        <v>0.39169999999999999</v>
      </c>
      <c r="F97" s="25">
        <v>138.08506797033476</v>
      </c>
      <c r="G97" s="25">
        <v>183.93333333333331</v>
      </c>
      <c r="H97" s="167">
        <f t="shared" si="10"/>
        <v>-6.3392074818834201E-2</v>
      </c>
      <c r="I97" s="1">
        <v>91</v>
      </c>
      <c r="J97" s="328">
        <f t="shared" si="14"/>
        <v>75.073433111816669</v>
      </c>
      <c r="K97" s="149">
        <f>100*(+D97/C97)</f>
        <v>79.832493800547695</v>
      </c>
      <c r="L97" s="352">
        <v>0.12773148148148147</v>
      </c>
      <c r="M97" s="390" t="s">
        <v>1776</v>
      </c>
      <c r="N97" s="390" t="s">
        <v>1777</v>
      </c>
      <c r="O97" s="390" t="s">
        <v>155</v>
      </c>
      <c r="P97" s="391">
        <v>8090</v>
      </c>
      <c r="Q97" s="392"/>
      <c r="R97" s="390" t="s">
        <v>1779</v>
      </c>
      <c r="S97" s="391">
        <v>41371</v>
      </c>
      <c r="T97" s="25"/>
      <c r="V97" s="4"/>
      <c r="W97" s="4"/>
    </row>
    <row r="98" spans="1:23">
      <c r="A98" s="1">
        <v>92</v>
      </c>
      <c r="B98" s="88"/>
      <c r="C98" s="25"/>
      <c r="D98" s="25">
        <f t="shared" si="11"/>
        <v>156.2528298469619</v>
      </c>
      <c r="E98" s="4">
        <f t="shared" ref="E98:E106" si="16">ROUND(1-IF(A98&lt;I$3,0,IF(A98&lt;I$4,G$3*(A98-I$3)^2,G$2+G$4*(A98-I$4)+(A98&gt;I$5)*G$5*(A98-I$5)^2)),4)</f>
        <v>0.36809999999999998</v>
      </c>
      <c r="F98" s="25">
        <v>145.96672642010248</v>
      </c>
      <c r="G98" s="25"/>
      <c r="H98" s="167">
        <f t="shared" si="10"/>
        <v>-7.0468823129288385E-2</v>
      </c>
      <c r="I98" s="1">
        <v>92</v>
      </c>
      <c r="J98" s="146"/>
      <c r="K98" s="149"/>
      <c r="M98" s="156"/>
      <c r="N98" s="156"/>
      <c r="O98" s="153"/>
      <c r="P98" s="154"/>
      <c r="Q98" s="156"/>
      <c r="R98" s="156"/>
      <c r="S98" s="162"/>
      <c r="T98" s="25"/>
      <c r="V98" s="4"/>
      <c r="W98" s="4"/>
    </row>
    <row r="99" spans="1:23">
      <c r="A99" s="1">
        <v>93</v>
      </c>
      <c r="B99" s="88"/>
      <c r="C99" s="25"/>
      <c r="D99" s="25">
        <f t="shared" si="11"/>
        <v>167.29687802986234</v>
      </c>
      <c r="E99" s="4">
        <f t="shared" si="16"/>
        <v>0.34379999999999999</v>
      </c>
      <c r="F99" s="25">
        <v>155.09044655245847</v>
      </c>
      <c r="G99" s="25"/>
      <c r="H99" s="167">
        <f t="shared" si="10"/>
        <v>-7.8705244254197892E-2</v>
      </c>
      <c r="I99" s="1">
        <v>93</v>
      </c>
      <c r="J99" s="146"/>
      <c r="K99" s="149"/>
      <c r="L99" s="157"/>
      <c r="M99" s="153"/>
      <c r="N99" s="153"/>
      <c r="O99" s="153"/>
      <c r="P99" s="154"/>
      <c r="Q99" s="155"/>
      <c r="R99" s="153"/>
      <c r="S99" s="161"/>
      <c r="T99" s="25"/>
      <c r="V99" s="4"/>
      <c r="W99" s="4"/>
    </row>
    <row r="100" spans="1:23">
      <c r="A100" s="1">
        <v>94</v>
      </c>
      <c r="B100" s="88"/>
      <c r="C100" s="25"/>
      <c r="D100" s="25">
        <f t="shared" si="11"/>
        <v>180.35956935298424</v>
      </c>
      <c r="E100" s="4">
        <f t="shared" si="16"/>
        <v>0.31890000000000002</v>
      </c>
      <c r="F100" s="25">
        <v>165.75955542558518</v>
      </c>
      <c r="G100" s="25"/>
      <c r="H100" s="167">
        <f t="shared" si="10"/>
        <v>-8.8079470833001119E-2</v>
      </c>
      <c r="I100" s="1">
        <v>94</v>
      </c>
      <c r="J100" s="146"/>
      <c r="K100" s="149"/>
      <c r="T100" s="25"/>
      <c r="V100" s="4"/>
      <c r="W100" s="4"/>
    </row>
    <row r="101" spans="1:23">
      <c r="A101" s="1">
        <v>95</v>
      </c>
      <c r="B101" s="88"/>
      <c r="C101" s="25"/>
      <c r="D101" s="25">
        <f t="shared" si="11"/>
        <v>196.16871305138702</v>
      </c>
      <c r="E101" s="4">
        <f t="shared" si="16"/>
        <v>0.29320000000000002</v>
      </c>
      <c r="F101" s="25">
        <v>178.38573891823791</v>
      </c>
      <c r="G101" s="25"/>
      <c r="H101" s="167">
        <f t="shared" si="10"/>
        <v>-9.9688317244350094E-2</v>
      </c>
      <c r="I101" s="1">
        <v>95</v>
      </c>
      <c r="J101" s="146"/>
      <c r="K101" s="149"/>
      <c r="T101" s="25"/>
      <c r="V101" s="4"/>
      <c r="W101" s="4"/>
    </row>
    <row r="102" spans="1:23">
      <c r="A102" s="1">
        <v>96</v>
      </c>
      <c r="B102" s="88"/>
      <c r="C102" s="25"/>
      <c r="D102" s="25">
        <f t="shared" si="11"/>
        <v>215.49893842887474</v>
      </c>
      <c r="E102" s="4">
        <f t="shared" si="16"/>
        <v>0.26690000000000003</v>
      </c>
      <c r="F102" s="25">
        <v>193.54211350418967</v>
      </c>
      <c r="G102" s="25"/>
      <c r="H102" s="167">
        <f t="shared" si="10"/>
        <v>-0.11344727267437719</v>
      </c>
      <c r="I102" s="1">
        <v>96</v>
      </c>
      <c r="J102" s="146"/>
      <c r="K102" s="149"/>
      <c r="T102" s="25"/>
      <c r="V102" s="4"/>
      <c r="W102" s="4"/>
    </row>
    <row r="103" spans="1:23">
      <c r="A103" s="1">
        <v>97</v>
      </c>
      <c r="B103" s="88"/>
      <c r="C103" s="25"/>
      <c r="D103" s="25">
        <f t="shared" si="11"/>
        <v>239.75267472558014</v>
      </c>
      <c r="E103" s="4">
        <f t="shared" si="16"/>
        <v>0.2399</v>
      </c>
      <c r="F103" s="25">
        <v>212.05088252635352</v>
      </c>
      <c r="G103" s="25"/>
      <c r="H103" s="167">
        <f t="shared" si="10"/>
        <v>-0.1306374765772732</v>
      </c>
      <c r="I103" s="1">
        <v>97</v>
      </c>
      <c r="J103" s="146"/>
      <c r="K103" s="149"/>
      <c r="T103" s="25"/>
      <c r="V103" s="4"/>
      <c r="W103" s="4"/>
    </row>
    <row r="104" spans="1:23">
      <c r="A104" s="1">
        <v>98</v>
      </c>
      <c r="B104" s="88"/>
      <c r="C104" s="25"/>
      <c r="D104" s="25">
        <f t="shared" si="11"/>
        <v>271.04932453660069</v>
      </c>
      <c r="E104" s="4">
        <f t="shared" si="16"/>
        <v>0.2122</v>
      </c>
      <c r="F104" s="25">
        <v>235.13507345369985</v>
      </c>
      <c r="G104" s="25"/>
      <c r="H104" s="167">
        <f t="shared" si="10"/>
        <v>-0.15273880904021184</v>
      </c>
      <c r="I104" s="1">
        <v>98</v>
      </c>
      <c r="J104" s="146"/>
      <c r="K104" s="149"/>
      <c r="T104" s="25"/>
      <c r="V104" s="4"/>
      <c r="W104" s="4"/>
    </row>
    <row r="105" spans="1:23">
      <c r="A105" s="1">
        <v>99</v>
      </c>
      <c r="B105" s="88"/>
      <c r="C105" s="25"/>
      <c r="D105" s="25">
        <f t="shared" si="11"/>
        <v>312.93072179905698</v>
      </c>
      <c r="E105" s="4">
        <f t="shared" si="16"/>
        <v>0.18379999999999999</v>
      </c>
      <c r="F105" s="25">
        <v>264.69659256975575</v>
      </c>
      <c r="G105" s="25"/>
      <c r="H105" s="167">
        <f t="shared" si="10"/>
        <v>-0.18222421664377883</v>
      </c>
      <c r="I105" s="1">
        <v>99</v>
      </c>
      <c r="J105" s="146"/>
      <c r="K105" s="149"/>
      <c r="T105" s="25"/>
      <c r="V105" s="4"/>
      <c r="W105" s="4"/>
    </row>
    <row r="106" spans="1:23">
      <c r="A106" s="1">
        <v>100</v>
      </c>
      <c r="B106" s="88"/>
      <c r="D106" s="25">
        <f t="shared" si="11"/>
        <v>371.79487179487182</v>
      </c>
      <c r="E106" s="4">
        <f t="shared" si="16"/>
        <v>0.1547</v>
      </c>
      <c r="F106" s="25">
        <v>303.86304216956302</v>
      </c>
      <c r="G106" s="25"/>
      <c r="H106" s="167">
        <f t="shared" si="10"/>
        <v>-0.22356068424866615</v>
      </c>
      <c r="I106" s="1">
        <v>100</v>
      </c>
      <c r="J106" s="146"/>
      <c r="K106" s="149"/>
      <c r="T106" s="25"/>
      <c r="V106" s="4"/>
      <c r="W106" s="4"/>
    </row>
  </sheetData>
  <pageMargins left="0.5" right="0.5" top="0.5" bottom="0.5" header="0" footer="0"/>
  <pageSetup orientation="portrait" verticalDpi="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06"/>
  <sheetViews>
    <sheetView zoomScale="87" zoomScaleNormal="87" workbookViewId="0">
      <selection activeCell="A2" sqref="A2"/>
    </sheetView>
  </sheetViews>
  <sheetFormatPr defaultColWidth="9.6640625" defaultRowHeight="15"/>
  <cols>
    <col min="1" max="1" width="9.6640625" style="1" customWidth="1"/>
    <col min="2" max="2" width="10.88671875" style="1" customWidth="1"/>
    <col min="3" max="5" width="9.6640625" style="1" customWidth="1"/>
    <col min="6" max="6" width="15" style="1" customWidth="1"/>
    <col min="7" max="7" width="11.6640625" style="1" customWidth="1"/>
    <col min="8" max="9" width="10.6640625" style="1" customWidth="1"/>
    <col min="10" max="13" width="9.6640625" style="1"/>
    <col min="14" max="14" width="24.6640625" style="1" customWidth="1"/>
    <col min="15" max="15" width="18.109375" style="1" customWidth="1"/>
    <col min="16" max="16" width="16.21875" style="1" customWidth="1"/>
    <col min="17" max="16384" width="9.6640625" style="1"/>
  </cols>
  <sheetData>
    <row r="1" spans="1:16" ht="29.1" customHeight="1">
      <c r="A1" s="30" t="s">
        <v>1946</v>
      </c>
      <c r="B1" s="31"/>
      <c r="C1" s="32"/>
      <c r="D1" s="33" t="s">
        <v>32</v>
      </c>
      <c r="E1" s="33" t="s">
        <v>71</v>
      </c>
      <c r="F1" s="33" t="s">
        <v>72</v>
      </c>
      <c r="G1" s="33" t="s">
        <v>73</v>
      </c>
      <c r="H1" s="33" t="s">
        <v>74</v>
      </c>
      <c r="I1" s="33" t="s">
        <v>75</v>
      </c>
      <c r="K1" s="220" t="s">
        <v>1358</v>
      </c>
    </row>
    <row r="2" spans="1:16" ht="18" customHeight="1">
      <c r="A2" s="30"/>
      <c r="B2" s="31"/>
      <c r="C2" s="32"/>
      <c r="D2" s="33"/>
      <c r="E2" s="33"/>
      <c r="F2" s="84">
        <f>(+H$3-H$4)*F$4/2</f>
        <v>4.7500000000000001E-2</v>
      </c>
      <c r="G2" s="85">
        <f>(+I$4-I$3)*G$4/2</f>
        <v>2.8941860554695515E-2</v>
      </c>
      <c r="H2" s="86"/>
      <c r="I2" s="86"/>
      <c r="K2" s="225">
        <f>Parameters!Z24</f>
        <v>0.24485604151359389</v>
      </c>
    </row>
    <row r="3" spans="1:16" ht="18" customHeight="1">
      <c r="A3" s="30"/>
      <c r="B3" s="31"/>
      <c r="C3" s="32"/>
      <c r="D3" s="33"/>
      <c r="E3" s="33"/>
      <c r="F3" s="84">
        <f>F4/(2*(+H3-H4))</f>
        <v>1.9E-3</v>
      </c>
      <c r="G3" s="85">
        <f>G4/(2*(+I4-I3))</f>
        <v>5.3675850465389487E-4</v>
      </c>
      <c r="H3" s="222">
        <v>22</v>
      </c>
      <c r="I3" s="124">
        <f>Parameters!$AA$24</f>
        <v>32.2059673536003</v>
      </c>
    </row>
    <row r="4" spans="1:16" ht="15.75">
      <c r="A4" s="31"/>
      <c r="B4" s="31"/>
      <c r="C4" s="31"/>
      <c r="D4" s="35">
        <f>Parameters!G24</f>
        <v>4.7569444444444442E-2</v>
      </c>
      <c r="E4" s="36">
        <f>D4*1440</f>
        <v>68.5</v>
      </c>
      <c r="F4" s="34">
        <v>1.9E-2</v>
      </c>
      <c r="G4" s="84">
        <f>Parameters!$AD$24</f>
        <v>7.8828395374357096E-3</v>
      </c>
      <c r="H4" s="222">
        <v>17</v>
      </c>
      <c r="I4" s="124">
        <f>Parameters!$AB$24</f>
        <v>39.548971208302717</v>
      </c>
      <c r="J4" s="25"/>
    </row>
    <row r="5" spans="1:16" ht="15.75">
      <c r="A5" s="31"/>
      <c r="B5" s="31"/>
      <c r="C5" s="31"/>
      <c r="D5" s="35"/>
      <c r="E5" s="31">
        <f>E4*60</f>
        <v>4110</v>
      </c>
      <c r="F5" s="34">
        <v>9.1E-4</v>
      </c>
      <c r="G5" s="84">
        <f>Parameters!$AE$24</f>
        <v>3.6034362727957393E-4</v>
      </c>
      <c r="H5" s="222">
        <v>15</v>
      </c>
      <c r="I5" s="124">
        <f>Parameters!$AC$24</f>
        <v>68.936625707935349</v>
      </c>
      <c r="J5" s="25"/>
    </row>
    <row r="6" spans="1:16" ht="57" customHeight="1">
      <c r="A6" s="320" t="s">
        <v>69</v>
      </c>
      <c r="B6" s="320" t="s">
        <v>880</v>
      </c>
      <c r="C6" s="320" t="s">
        <v>70</v>
      </c>
      <c r="D6" s="320" t="s">
        <v>139</v>
      </c>
      <c r="E6" s="320" t="s">
        <v>143</v>
      </c>
      <c r="F6" s="436" t="s">
        <v>142</v>
      </c>
      <c r="G6" s="320" t="s">
        <v>69</v>
      </c>
      <c r="H6" s="324" t="s">
        <v>316</v>
      </c>
      <c r="I6" s="325" t="s">
        <v>423</v>
      </c>
      <c r="J6" s="437" t="s">
        <v>237</v>
      </c>
      <c r="K6" s="437" t="s">
        <v>238</v>
      </c>
      <c r="L6" s="438" t="s">
        <v>239</v>
      </c>
      <c r="M6" s="439" t="s">
        <v>240</v>
      </c>
      <c r="N6" s="437" t="s">
        <v>241</v>
      </c>
      <c r="O6" s="438" t="s">
        <v>242</v>
      </c>
      <c r="P6" s="439" t="s">
        <v>243</v>
      </c>
    </row>
    <row r="7" spans="1:16">
      <c r="A7" s="1">
        <v>1</v>
      </c>
      <c r="B7" s="39"/>
      <c r="G7" s="1">
        <v>1</v>
      </c>
    </row>
    <row r="8" spans="1:16">
      <c r="A8" s="1">
        <v>2</v>
      </c>
      <c r="B8" s="39"/>
      <c r="G8" s="1">
        <v>2</v>
      </c>
      <c r="H8" s="184"/>
    </row>
    <row r="9" spans="1:16">
      <c r="A9" s="1">
        <v>3</v>
      </c>
      <c r="B9" s="39"/>
      <c r="C9" s="25"/>
      <c r="D9" s="25"/>
      <c r="E9" s="232">
        <f>H.Marathon!$E9*(1-$K$2)+Marathon!$E9*$K$2</f>
        <v>0.29593271593772963</v>
      </c>
      <c r="G9" s="1">
        <v>3</v>
      </c>
      <c r="H9" s="209"/>
    </row>
    <row r="10" spans="1:16">
      <c r="A10" s="1">
        <v>4</v>
      </c>
      <c r="B10" s="39"/>
      <c r="C10" s="25"/>
      <c r="D10" s="25"/>
      <c r="E10" s="232">
        <f>H.Marathon!$E10*(1-$K$2)+Marathon!$E10*$K$2</f>
        <v>0.37921069871013957</v>
      </c>
      <c r="F10" s="19"/>
      <c r="G10" s="1">
        <v>4</v>
      </c>
      <c r="H10" s="209"/>
    </row>
    <row r="11" spans="1:16">
      <c r="A11" s="1">
        <v>5</v>
      </c>
      <c r="B11" s="39"/>
      <c r="C11" s="25"/>
      <c r="D11" s="25">
        <f t="shared" ref="D11:D42" si="0">E$4/E11</f>
        <v>149.88026647287535</v>
      </c>
      <c r="E11" s="232">
        <f>H.Marathon!$E11*(1-$K$2)+Marathon!$E11*$K$2</f>
        <v>0.45703147994066862</v>
      </c>
      <c r="F11" s="19"/>
      <c r="G11" s="1">
        <v>5</v>
      </c>
      <c r="H11" s="209"/>
    </row>
    <row r="12" spans="1:16">
      <c r="A12" s="1">
        <v>6</v>
      </c>
      <c r="B12" s="39"/>
      <c r="C12" s="25"/>
      <c r="D12" s="25">
        <f t="shared" si="0"/>
        <v>129.38050067437462</v>
      </c>
      <c r="E12" s="232">
        <f>H.Marathon!$E12*(1-$K$2)+Marathon!$E12*$K$2</f>
        <v>0.52944608842101393</v>
      </c>
      <c r="F12" s="19"/>
      <c r="G12" s="1">
        <v>6</v>
      </c>
      <c r="H12" s="209"/>
    </row>
    <row r="13" spans="1:16">
      <c r="A13" s="1">
        <v>7</v>
      </c>
      <c r="B13" s="39"/>
      <c r="C13" s="25"/>
      <c r="D13" s="25">
        <f t="shared" si="0"/>
        <v>114.84058764800189</v>
      </c>
      <c r="E13" s="232">
        <f>H.Marathon!$E13*(1-$K$2)+Marathon!$E13*$K$2</f>
        <v>0.59647900975532697</v>
      </c>
      <c r="F13" s="19"/>
      <c r="G13" s="1">
        <v>7</v>
      </c>
      <c r="H13" s="209"/>
    </row>
    <row r="14" spans="1:16">
      <c r="A14" s="1">
        <v>8</v>
      </c>
      <c r="B14" s="39"/>
      <c r="C14" s="25"/>
      <c r="D14" s="25">
        <f t="shared" si="0"/>
        <v>104.09855873717312</v>
      </c>
      <c r="E14" s="232">
        <f>H.Marathon!$E14*(1-$K$2)+Marathon!$E14*$K$2</f>
        <v>0.65803024394360765</v>
      </c>
      <c r="F14" s="19"/>
      <c r="G14" s="1">
        <v>8</v>
      </c>
      <c r="H14" s="209"/>
    </row>
    <row r="15" spans="1:16" ht="15.75">
      <c r="A15" s="1">
        <v>9</v>
      </c>
      <c r="B15" s="39">
        <v>9.7141203703703702E-2</v>
      </c>
      <c r="C15" s="25">
        <f t="shared" ref="C15:C76" si="1">B15*1440</f>
        <v>139.88333333333333</v>
      </c>
      <c r="D15" s="25">
        <f t="shared" si="0"/>
        <v>95.921679524875174</v>
      </c>
      <c r="E15" s="232">
        <f>H.Marathon!$E15*(1-$K$2)+Marathon!$E15*$K$2</f>
        <v>0.71412427659000732</v>
      </c>
      <c r="F15" s="19">
        <f>100*(D15/C15)</f>
        <v>68.572629232604669</v>
      </c>
      <c r="G15" s="1">
        <v>9</v>
      </c>
      <c r="H15" s="210" t="s">
        <v>724</v>
      </c>
      <c r="I15" s="181">
        <v>8393</v>
      </c>
      <c r="J15" s="193" t="s">
        <v>725</v>
      </c>
      <c r="K15" s="193" t="s">
        <v>726</v>
      </c>
      <c r="L15" s="193" t="s">
        <v>155</v>
      </c>
      <c r="M15" s="194">
        <v>38514</v>
      </c>
      <c r="N15" s="193" t="s">
        <v>727</v>
      </c>
      <c r="O15" s="193" t="s">
        <v>728</v>
      </c>
      <c r="P15" s="285">
        <v>42070</v>
      </c>
    </row>
    <row r="16" spans="1:16">
      <c r="A16" s="1">
        <v>10</v>
      </c>
      <c r="B16" s="39"/>
      <c r="C16" s="25"/>
      <c r="D16" s="25">
        <f t="shared" si="0"/>
        <v>89.552769177736451</v>
      </c>
      <c r="E16" s="232">
        <f>H.Marathon!$E16*(1-$K$2)+Marathon!$E16*$K$2</f>
        <v>0.76491213648622336</v>
      </c>
      <c r="F16" s="19"/>
      <c r="G16" s="1">
        <v>10</v>
      </c>
      <c r="H16" s="209"/>
      <c r="P16" s="162"/>
    </row>
    <row r="17" spans="1:16">
      <c r="A17" s="1">
        <v>11</v>
      </c>
      <c r="B17" s="39"/>
      <c r="C17" s="25"/>
      <c r="D17" s="25">
        <f t="shared" si="0"/>
        <v>84.545114840169504</v>
      </c>
      <c r="E17" s="232">
        <f>H.Marathon!$E17*(1-$K$2)+Marathon!$E17*$K$2</f>
        <v>0.81021830923640703</v>
      </c>
      <c r="F17" s="19"/>
      <c r="G17" s="1">
        <v>11</v>
      </c>
      <c r="H17" s="209"/>
      <c r="P17" s="162"/>
    </row>
    <row r="18" spans="1:16" ht="15.75">
      <c r="A18" s="1">
        <v>12</v>
      </c>
      <c r="B18" s="39">
        <v>6.7349537037037041E-2</v>
      </c>
      <c r="C18" s="25">
        <f t="shared" si="1"/>
        <v>96.983333333333334</v>
      </c>
      <c r="D18" s="25">
        <f t="shared" si="0"/>
        <v>80.581856960974264</v>
      </c>
      <c r="E18" s="232">
        <f>H.Marathon!$E18*(1-$K$2)+Marathon!$E18*$K$2</f>
        <v>0.85006728044470981</v>
      </c>
      <c r="F18" s="19">
        <f>100*(D18/C18)</f>
        <v>83.088355690985665</v>
      </c>
      <c r="G18" s="1">
        <v>12</v>
      </c>
      <c r="H18" s="210" t="s">
        <v>729</v>
      </c>
      <c r="I18" s="181">
        <v>5819</v>
      </c>
      <c r="J18" s="193" t="s">
        <v>730</v>
      </c>
      <c r="K18" s="193" t="s">
        <v>248</v>
      </c>
      <c r="L18" s="193" t="s">
        <v>155</v>
      </c>
      <c r="M18" s="194">
        <v>24921</v>
      </c>
      <c r="N18" s="193"/>
      <c r="O18" s="193" t="s">
        <v>731</v>
      </c>
      <c r="P18" s="285">
        <v>29659</v>
      </c>
    </row>
    <row r="19" spans="1:16" ht="15.75">
      <c r="A19" s="1">
        <v>13</v>
      </c>
      <c r="B19" s="39">
        <v>6.7569444444444446E-2</v>
      </c>
      <c r="C19" s="25">
        <f t="shared" si="1"/>
        <v>97.3</v>
      </c>
      <c r="D19" s="25">
        <f t="shared" si="0"/>
        <v>77.444001638703014</v>
      </c>
      <c r="E19" s="232">
        <f>H.Marathon!$E19*(1-$K$2)+Marathon!$E19*$K$2</f>
        <v>0.88451007890282873</v>
      </c>
      <c r="F19" s="19">
        <f>100*(D19/C19)</f>
        <v>79.593012989417275</v>
      </c>
      <c r="G19" s="1">
        <v>13</v>
      </c>
      <c r="H19" s="210" t="s">
        <v>732</v>
      </c>
      <c r="I19" s="181">
        <v>5838</v>
      </c>
      <c r="J19" s="193" t="s">
        <v>352</v>
      </c>
      <c r="K19" s="193" t="s">
        <v>353</v>
      </c>
      <c r="L19" s="193" t="s">
        <v>209</v>
      </c>
      <c r="M19" s="194">
        <v>27160</v>
      </c>
      <c r="N19" s="193"/>
      <c r="O19" s="193" t="s">
        <v>733</v>
      </c>
      <c r="P19" s="285">
        <v>31990</v>
      </c>
    </row>
    <row r="20" spans="1:16">
      <c r="A20" s="1">
        <v>14</v>
      </c>
      <c r="B20" s="39"/>
      <c r="C20" s="25"/>
      <c r="D20" s="25">
        <f t="shared" si="0"/>
        <v>74.980473042156177</v>
      </c>
      <c r="E20" s="232">
        <f>H.Marathon!$E20*(1-$K$2)+Marathon!$E20*$K$2</f>
        <v>0.91357119021491551</v>
      </c>
      <c r="F20" s="19"/>
      <c r="G20" s="1">
        <v>14</v>
      </c>
      <c r="H20" s="209"/>
      <c r="P20" s="162"/>
    </row>
    <row r="21" spans="1:16" ht="15.75">
      <c r="A21" s="1">
        <v>15</v>
      </c>
      <c r="B21" s="39">
        <v>7.0509259259259258E-2</v>
      </c>
      <c r="C21" s="25">
        <f t="shared" si="1"/>
        <v>101.53333333333333</v>
      </c>
      <c r="D21" s="25">
        <f t="shared" si="0"/>
        <v>73.091997430456189</v>
      </c>
      <c r="E21" s="232">
        <f>H.Marathon!$E21*(1-$K$2)+Marathon!$E21*$K$2</f>
        <v>0.93717509998512127</v>
      </c>
      <c r="F21" s="19">
        <f t="shared" ref="F21:F52" si="2">100*(D21/C21)</f>
        <v>71.988178690534653</v>
      </c>
      <c r="G21" s="1">
        <v>15</v>
      </c>
      <c r="H21" s="210" t="s">
        <v>734</v>
      </c>
      <c r="I21" s="181">
        <v>6092</v>
      </c>
      <c r="J21" s="193" t="s">
        <v>352</v>
      </c>
      <c r="K21" s="193" t="s">
        <v>353</v>
      </c>
      <c r="L21" s="193" t="s">
        <v>209</v>
      </c>
      <c r="M21" s="194">
        <v>27160</v>
      </c>
      <c r="N21" s="193"/>
      <c r="O21" s="193" t="s">
        <v>733</v>
      </c>
      <c r="P21" s="285">
        <v>32725</v>
      </c>
    </row>
    <row r="22" spans="1:16" ht="15.75">
      <c r="A22" s="1">
        <v>16</v>
      </c>
      <c r="B22" s="39">
        <v>6.2962962962962957E-2</v>
      </c>
      <c r="C22" s="25">
        <f t="shared" si="1"/>
        <v>90.666666666666657</v>
      </c>
      <c r="D22" s="25">
        <f t="shared" si="0"/>
        <v>71.699756730294425</v>
      </c>
      <c r="E22" s="232">
        <f>H.Marathon!$E22*(1-$K$2)+Marathon!$E22*$K$2</f>
        <v>0.9553728370051433</v>
      </c>
      <c r="F22" s="19">
        <f t="shared" si="2"/>
        <v>79.080614040765923</v>
      </c>
      <c r="G22" s="1">
        <v>16</v>
      </c>
      <c r="H22" s="210" t="s">
        <v>735</v>
      </c>
      <c r="I22" s="181">
        <v>5440</v>
      </c>
      <c r="J22" s="193" t="s">
        <v>736</v>
      </c>
      <c r="K22" s="193" t="s">
        <v>737</v>
      </c>
      <c r="L22" s="193" t="s">
        <v>738</v>
      </c>
      <c r="M22" s="194">
        <v>30468</v>
      </c>
      <c r="N22" s="193"/>
      <c r="O22" s="193" t="s">
        <v>261</v>
      </c>
      <c r="P22" s="285">
        <v>36646</v>
      </c>
    </row>
    <row r="23" spans="1:16" ht="15.75">
      <c r="A23" s="1">
        <v>17</v>
      </c>
      <c r="B23" s="39">
        <v>6.8449074074074079E-2</v>
      </c>
      <c r="C23" s="25">
        <f t="shared" si="1"/>
        <v>98.566666666666677</v>
      </c>
      <c r="D23" s="25">
        <f t="shared" si="0"/>
        <v>70.700292145347802</v>
      </c>
      <c r="E23" s="232">
        <f>H.Marathon!$E23*(1-$K$2)+Marathon!$E23*$K$2</f>
        <v>0.96887859896216022</v>
      </c>
      <c r="F23" s="19">
        <f t="shared" si="2"/>
        <v>71.728399200555756</v>
      </c>
      <c r="G23" s="1">
        <v>17</v>
      </c>
      <c r="H23" s="210" t="s">
        <v>739</v>
      </c>
      <c r="I23" s="181">
        <v>5914</v>
      </c>
      <c r="J23" s="193" t="s">
        <v>740</v>
      </c>
      <c r="K23" s="193" t="s">
        <v>741</v>
      </c>
      <c r="L23" s="193" t="s">
        <v>155</v>
      </c>
      <c r="M23" s="194">
        <v>23929</v>
      </c>
      <c r="N23" s="193"/>
      <c r="O23" s="193" t="s">
        <v>742</v>
      </c>
      <c r="P23" s="285">
        <v>30142</v>
      </c>
    </row>
    <row r="24" spans="1:16" ht="15.75">
      <c r="A24" s="1">
        <v>18</v>
      </c>
      <c r="B24" s="39">
        <v>6.6597222222222224E-2</v>
      </c>
      <c r="C24" s="25">
        <f t="shared" si="1"/>
        <v>95.9</v>
      </c>
      <c r="D24" s="25">
        <f t="shared" si="0"/>
        <v>69.838279715934178</v>
      </c>
      <c r="E24" s="232">
        <f>H.Marathon!$E24*(1-$K$2)+Marathon!$E24*$K$2</f>
        <v>0.98083744729426892</v>
      </c>
      <c r="F24" s="19">
        <f t="shared" si="2"/>
        <v>72.824066439973066</v>
      </c>
      <c r="G24" s="1">
        <v>18</v>
      </c>
      <c r="H24" s="210" t="s">
        <v>743</v>
      </c>
      <c r="I24" s="181">
        <v>5754</v>
      </c>
      <c r="J24" s="193" t="s">
        <v>744</v>
      </c>
      <c r="K24" s="193" t="s">
        <v>745</v>
      </c>
      <c r="L24" s="193" t="s">
        <v>209</v>
      </c>
      <c r="M24" s="194">
        <v>24068</v>
      </c>
      <c r="N24" s="193"/>
      <c r="O24" s="193" t="s">
        <v>746</v>
      </c>
      <c r="P24" s="285">
        <v>30870</v>
      </c>
    </row>
    <row r="25" spans="1:16" ht="15.75">
      <c r="A25" s="1">
        <v>19</v>
      </c>
      <c r="B25" s="39">
        <v>5.8877314814814813E-2</v>
      </c>
      <c r="C25" s="25">
        <f t="shared" si="1"/>
        <v>84.783333333333331</v>
      </c>
      <c r="D25" s="25">
        <f t="shared" si="0"/>
        <v>69.065169156824808</v>
      </c>
      <c r="E25" s="232">
        <f>H.Marathon!$E25*(1-$K$2)+Marathon!$E25*$K$2</f>
        <v>0.99181687146032327</v>
      </c>
      <c r="F25" s="19">
        <f t="shared" si="2"/>
        <v>81.460785323559833</v>
      </c>
      <c r="G25" s="1">
        <v>19</v>
      </c>
      <c r="H25" s="210" t="s">
        <v>747</v>
      </c>
      <c r="I25" s="181">
        <v>5087</v>
      </c>
      <c r="J25" s="193" t="s">
        <v>748</v>
      </c>
      <c r="K25" s="193" t="s">
        <v>749</v>
      </c>
      <c r="L25" s="193" t="s">
        <v>163</v>
      </c>
      <c r="M25" s="194">
        <v>31217</v>
      </c>
      <c r="N25" s="193"/>
      <c r="O25" s="193" t="s">
        <v>261</v>
      </c>
      <c r="P25" s="285">
        <v>38480</v>
      </c>
    </row>
    <row r="26" spans="1:16" ht="15.75">
      <c r="A26" s="1">
        <v>20</v>
      </c>
      <c r="B26" s="39">
        <v>6.0300925925925924E-2</v>
      </c>
      <c r="C26" s="25">
        <f t="shared" si="1"/>
        <v>86.833333333333329</v>
      </c>
      <c r="D26" s="25">
        <f t="shared" si="0"/>
        <v>68.634444467069528</v>
      </c>
      <c r="E26" s="232">
        <f>H.Marathon!$E26*(1-$K$2)+Marathon!$E26*$K$2</f>
        <v>0.99804115166789131</v>
      </c>
      <c r="F26" s="19">
        <f t="shared" si="2"/>
        <v>79.041586718314235</v>
      </c>
      <c r="G26" s="1">
        <v>20</v>
      </c>
      <c r="H26" s="210" t="s">
        <v>750</v>
      </c>
      <c r="I26" s="181">
        <v>5210</v>
      </c>
      <c r="J26" s="193" t="s">
        <v>375</v>
      </c>
      <c r="K26" s="193" t="s">
        <v>751</v>
      </c>
      <c r="L26" s="193" t="s">
        <v>155</v>
      </c>
      <c r="M26" s="194">
        <v>24205</v>
      </c>
      <c r="N26" s="193"/>
      <c r="O26" s="193" t="s">
        <v>752</v>
      </c>
      <c r="P26" s="285">
        <v>31774</v>
      </c>
    </row>
    <row r="27" spans="1:16" ht="15.75">
      <c r="A27" s="1">
        <v>21</v>
      </c>
      <c r="B27" s="39">
        <v>5.8946759259259261E-2</v>
      </c>
      <c r="C27" s="25">
        <f t="shared" si="1"/>
        <v>84.88333333333334</v>
      </c>
      <c r="D27" s="25">
        <f t="shared" si="0"/>
        <v>68.533561713263879</v>
      </c>
      <c r="E27" s="232">
        <f>H.Marathon!$E27*(1-$K$2)+Marathon!$E27*$K$2</f>
        <v>0.99951028791697283</v>
      </c>
      <c r="F27" s="19">
        <f t="shared" si="2"/>
        <v>80.738537262828046</v>
      </c>
      <c r="G27" s="1">
        <v>21</v>
      </c>
      <c r="H27" s="210" t="s">
        <v>753</v>
      </c>
      <c r="I27" s="181">
        <v>5093</v>
      </c>
      <c r="J27" s="193" t="s">
        <v>754</v>
      </c>
      <c r="K27" s="193" t="s">
        <v>755</v>
      </c>
      <c r="L27" s="193" t="s">
        <v>160</v>
      </c>
      <c r="M27" s="194">
        <v>27570</v>
      </c>
      <c r="N27" s="193"/>
      <c r="O27" s="193" t="s">
        <v>261</v>
      </c>
      <c r="P27" s="285">
        <v>35554</v>
      </c>
    </row>
    <row r="28" spans="1:16" ht="15.75">
      <c r="A28" s="1">
        <v>22</v>
      </c>
      <c r="B28" s="39">
        <v>5.9155092592592592E-2</v>
      </c>
      <c r="C28" s="25">
        <f t="shared" si="1"/>
        <v>85.183333333333337</v>
      </c>
      <c r="D28" s="25">
        <f t="shared" si="0"/>
        <v>68.5</v>
      </c>
      <c r="E28" s="232">
        <f>H.Marathon!$E28*(1-$K$2)+Marathon!$E28*$K$2</f>
        <v>1</v>
      </c>
      <c r="F28" s="19">
        <f t="shared" si="2"/>
        <v>80.414791625904897</v>
      </c>
      <c r="G28" s="1">
        <v>22</v>
      </c>
      <c r="H28" s="210" t="s">
        <v>756</v>
      </c>
      <c r="I28" s="181">
        <v>5111</v>
      </c>
      <c r="J28" s="193" t="s">
        <v>757</v>
      </c>
      <c r="K28" s="193" t="s">
        <v>758</v>
      </c>
      <c r="L28" s="193" t="s">
        <v>160</v>
      </c>
      <c r="M28" s="194">
        <v>28806</v>
      </c>
      <c r="N28" s="193"/>
      <c r="O28" s="193" t="s">
        <v>261</v>
      </c>
      <c r="P28" s="285">
        <v>37017</v>
      </c>
    </row>
    <row r="29" spans="1:16" ht="15.75">
      <c r="A29" s="1">
        <v>23</v>
      </c>
      <c r="B29" s="39">
        <v>5.8668981481481482E-2</v>
      </c>
      <c r="C29" s="25">
        <f t="shared" si="1"/>
        <v>84.483333333333334</v>
      </c>
      <c r="D29" s="25">
        <f t="shared" si="0"/>
        <v>68.5</v>
      </c>
      <c r="E29" s="232">
        <f>H.Marathon!$E29*(1-$K$2)+Marathon!$E29*$K$2</f>
        <v>1</v>
      </c>
      <c r="F29" s="19">
        <f t="shared" si="2"/>
        <v>81.081081081081081</v>
      </c>
      <c r="G29" s="1">
        <v>23</v>
      </c>
      <c r="H29" s="210" t="s">
        <v>759</v>
      </c>
      <c r="I29" s="181">
        <v>5069</v>
      </c>
      <c r="J29" s="193" t="s">
        <v>754</v>
      </c>
      <c r="K29" s="193" t="s">
        <v>755</v>
      </c>
      <c r="L29" s="193" t="s">
        <v>160</v>
      </c>
      <c r="M29" s="194">
        <v>27570</v>
      </c>
      <c r="N29" s="193"/>
      <c r="O29" s="193" t="s">
        <v>261</v>
      </c>
      <c r="P29" s="285">
        <v>36282</v>
      </c>
    </row>
    <row r="30" spans="1:16" ht="15.75">
      <c r="A30" s="1">
        <v>24</v>
      </c>
      <c r="B30" s="39">
        <v>5.7812500000000003E-2</v>
      </c>
      <c r="C30" s="25">
        <f t="shared" si="1"/>
        <v>83.25</v>
      </c>
      <c r="D30" s="25">
        <f t="shared" si="0"/>
        <v>68.5</v>
      </c>
      <c r="E30" s="232">
        <f>H.Marathon!$E30*(1-$K$2)+Marathon!$E30*$K$2</f>
        <v>1</v>
      </c>
      <c r="F30" s="19">
        <f t="shared" si="2"/>
        <v>82.282282282282281</v>
      </c>
      <c r="G30" s="1">
        <v>24</v>
      </c>
      <c r="H30" s="210" t="s">
        <v>760</v>
      </c>
      <c r="I30" s="181">
        <v>4995</v>
      </c>
      <c r="J30" s="193" t="s">
        <v>323</v>
      </c>
      <c r="K30" s="193" t="s">
        <v>761</v>
      </c>
      <c r="L30" s="193" t="s">
        <v>160</v>
      </c>
      <c r="M30" s="194">
        <v>32298</v>
      </c>
      <c r="N30" s="193"/>
      <c r="O30" s="193" t="s">
        <v>261</v>
      </c>
      <c r="P30" s="285">
        <v>41399</v>
      </c>
    </row>
    <row r="31" spans="1:16" ht="15.75">
      <c r="A31" s="1">
        <v>25</v>
      </c>
      <c r="B31" s="39">
        <v>5.8761574074074077E-2</v>
      </c>
      <c r="C31" s="25">
        <f t="shared" si="1"/>
        <v>84.616666666666674</v>
      </c>
      <c r="D31" s="25">
        <f t="shared" si="0"/>
        <v>68.5</v>
      </c>
      <c r="E31" s="232">
        <f>H.Marathon!$E31*(1-$K$2)+Marathon!$E31*$K$2</f>
        <v>1</v>
      </c>
      <c r="F31" s="19">
        <f t="shared" si="2"/>
        <v>80.953318889107734</v>
      </c>
      <c r="G31" s="1">
        <v>25</v>
      </c>
      <c r="H31" s="210" t="s">
        <v>762</v>
      </c>
      <c r="I31" s="181">
        <v>5077</v>
      </c>
      <c r="J31" s="193" t="s">
        <v>632</v>
      </c>
      <c r="K31" s="193" t="s">
        <v>763</v>
      </c>
      <c r="L31" s="193" t="s">
        <v>160</v>
      </c>
      <c r="M31" s="194">
        <v>32485</v>
      </c>
      <c r="N31" s="193"/>
      <c r="O31" s="193" t="s">
        <v>261</v>
      </c>
      <c r="P31" s="285">
        <v>41763</v>
      </c>
    </row>
    <row r="32" spans="1:16" ht="15.75">
      <c r="A32" s="1">
        <v>26</v>
      </c>
      <c r="B32" s="39">
        <v>5.7708333333333334E-2</v>
      </c>
      <c r="C32" s="25">
        <f t="shared" si="1"/>
        <v>83.1</v>
      </c>
      <c r="D32" s="25">
        <f t="shared" si="0"/>
        <v>68.5</v>
      </c>
      <c r="E32" s="232">
        <f>H.Marathon!$E32*(1-$K$2)+Marathon!$E32*$K$2</f>
        <v>1</v>
      </c>
      <c r="F32" s="19">
        <f t="shared" si="2"/>
        <v>82.430806257521056</v>
      </c>
      <c r="G32" s="1">
        <v>26</v>
      </c>
      <c r="H32" s="210" t="s">
        <v>764</v>
      </c>
      <c r="I32" s="181">
        <v>4986</v>
      </c>
      <c r="J32" s="193" t="s">
        <v>386</v>
      </c>
      <c r="K32" s="193" t="s">
        <v>765</v>
      </c>
      <c r="L32" s="193" t="s">
        <v>160</v>
      </c>
      <c r="M32" s="194">
        <v>31589</v>
      </c>
      <c r="N32" s="193"/>
      <c r="O32" s="193" t="s">
        <v>261</v>
      </c>
      <c r="P32" s="285">
        <v>41399</v>
      </c>
    </row>
    <row r="33" spans="1:16" ht="15.75">
      <c r="A33" s="1">
        <v>27</v>
      </c>
      <c r="B33" s="39">
        <v>5.8773148148148151E-2</v>
      </c>
      <c r="C33" s="25">
        <f t="shared" si="1"/>
        <v>84.63333333333334</v>
      </c>
      <c r="D33" s="25">
        <f t="shared" si="0"/>
        <v>68.5</v>
      </c>
      <c r="E33" s="232">
        <f>H.Marathon!$E33*(1-$K$2)+Marathon!$E33*$K$2</f>
        <v>1</v>
      </c>
      <c r="F33" s="19">
        <f t="shared" si="2"/>
        <v>80.937376920047257</v>
      </c>
      <c r="G33" s="1">
        <v>27</v>
      </c>
      <c r="H33" s="210" t="s">
        <v>766</v>
      </c>
      <c r="I33" s="181">
        <v>5078</v>
      </c>
      <c r="J33" s="193" t="s">
        <v>767</v>
      </c>
      <c r="K33" s="193" t="s">
        <v>768</v>
      </c>
      <c r="L33" s="193" t="s">
        <v>160</v>
      </c>
      <c r="M33" s="194">
        <v>30348</v>
      </c>
      <c r="N33" s="193"/>
      <c r="O33" s="193" t="s">
        <v>261</v>
      </c>
      <c r="P33" s="285">
        <v>40307</v>
      </c>
    </row>
    <row r="34" spans="1:16" ht="15.75">
      <c r="A34" s="1">
        <v>28</v>
      </c>
      <c r="B34" s="39">
        <v>5.5474537037037037E-2</v>
      </c>
      <c r="C34" s="25">
        <f t="shared" si="1"/>
        <v>79.88333333333334</v>
      </c>
      <c r="D34" s="25">
        <f t="shared" si="0"/>
        <v>68.5</v>
      </c>
      <c r="E34" s="232">
        <f>H.Marathon!$E34*(1-$K$2)+Marathon!$E34*$K$2</f>
        <v>1</v>
      </c>
      <c r="F34" s="19">
        <f t="shared" si="2"/>
        <v>85.750052159399118</v>
      </c>
      <c r="G34" s="1">
        <v>28</v>
      </c>
      <c r="H34" s="210" t="s">
        <v>769</v>
      </c>
      <c r="I34" s="181">
        <v>4793</v>
      </c>
      <c r="J34" s="193" t="s">
        <v>188</v>
      </c>
      <c r="K34" s="193" t="s">
        <v>327</v>
      </c>
      <c r="L34" s="193" t="s">
        <v>160</v>
      </c>
      <c r="M34" s="194">
        <v>29969</v>
      </c>
      <c r="N34" s="193"/>
      <c r="O34" s="193" t="s">
        <v>261</v>
      </c>
      <c r="P34" s="285">
        <v>40307</v>
      </c>
    </row>
    <row r="35" spans="1:16" ht="15.75">
      <c r="A35" s="1">
        <v>29</v>
      </c>
      <c r="B35" s="39">
        <v>5.4710648148148147E-2</v>
      </c>
      <c r="C35" s="25">
        <f t="shared" si="1"/>
        <v>78.783333333333331</v>
      </c>
      <c r="D35" s="25">
        <f t="shared" si="0"/>
        <v>68.5</v>
      </c>
      <c r="E35" s="232">
        <f>H.Marathon!$E35*(1-$K$2)+Marathon!$E35*$K$2</f>
        <v>1</v>
      </c>
      <c r="F35" s="19">
        <f t="shared" si="2"/>
        <v>86.947323884070244</v>
      </c>
      <c r="G35" s="1">
        <v>29</v>
      </c>
      <c r="H35" s="211" t="s">
        <v>770</v>
      </c>
      <c r="I35" s="192">
        <v>4727</v>
      </c>
      <c r="J35" s="207" t="s">
        <v>771</v>
      </c>
      <c r="K35" s="207" t="s">
        <v>772</v>
      </c>
      <c r="L35" s="207" t="s">
        <v>163</v>
      </c>
      <c r="M35" s="208">
        <v>34679</v>
      </c>
      <c r="N35" s="207" t="s">
        <v>773</v>
      </c>
      <c r="O35" s="207" t="s">
        <v>774</v>
      </c>
      <c r="P35" s="316">
        <v>45277</v>
      </c>
    </row>
    <row r="36" spans="1:16" ht="15.75">
      <c r="A36" s="1">
        <v>30</v>
      </c>
      <c r="B36" s="39">
        <v>5.7303240740740738E-2</v>
      </c>
      <c r="C36" s="25">
        <f t="shared" si="1"/>
        <v>82.516666666666666</v>
      </c>
      <c r="D36" s="25">
        <f t="shared" si="0"/>
        <v>68.5</v>
      </c>
      <c r="E36" s="232">
        <f>H.Marathon!$E36*(1-$K$2)+Marathon!$E36*$K$2</f>
        <v>1</v>
      </c>
      <c r="F36" s="19">
        <f t="shared" si="2"/>
        <v>83.013532619672787</v>
      </c>
      <c r="G36" s="1">
        <v>30</v>
      </c>
      <c r="H36" s="210" t="s">
        <v>775</v>
      </c>
      <c r="I36" s="181">
        <v>4951</v>
      </c>
      <c r="J36" s="193" t="s">
        <v>776</v>
      </c>
      <c r="K36" s="193" t="s">
        <v>777</v>
      </c>
      <c r="L36" s="193" t="s">
        <v>160</v>
      </c>
      <c r="M36" s="194">
        <v>28909</v>
      </c>
      <c r="N36" s="193"/>
      <c r="O36" s="193" t="s">
        <v>261</v>
      </c>
      <c r="P36" s="285">
        <v>39943</v>
      </c>
    </row>
    <row r="37" spans="1:16" ht="15.75">
      <c r="A37" s="1">
        <v>31</v>
      </c>
      <c r="B37" s="39">
        <v>6.0127314814814814E-2</v>
      </c>
      <c r="C37" s="25">
        <f t="shared" si="1"/>
        <v>86.583333333333329</v>
      </c>
      <c r="D37" s="25">
        <f t="shared" si="0"/>
        <v>68.5</v>
      </c>
      <c r="E37" s="232">
        <f>H.Marathon!$E37*(1-$K$2)+Marathon!$E37*$K$2</f>
        <v>1</v>
      </c>
      <c r="F37" s="19">
        <f t="shared" si="2"/>
        <v>79.114533205004818</v>
      </c>
      <c r="G37" s="1">
        <v>31</v>
      </c>
      <c r="H37" s="210" t="s">
        <v>778</v>
      </c>
      <c r="I37" s="181">
        <v>5195</v>
      </c>
      <c r="J37" s="193" t="s">
        <v>779</v>
      </c>
      <c r="K37" s="193" t="s">
        <v>780</v>
      </c>
      <c r="L37" s="193" t="s">
        <v>155</v>
      </c>
      <c r="M37" s="194">
        <v>30056</v>
      </c>
      <c r="N37" s="187" t="s">
        <v>781</v>
      </c>
      <c r="O37" s="193" t="s">
        <v>782</v>
      </c>
      <c r="P37" s="285">
        <v>41405</v>
      </c>
    </row>
    <row r="38" spans="1:16" ht="15.75">
      <c r="A38" s="1">
        <v>32</v>
      </c>
      <c r="B38" s="39">
        <v>5.7268518518518517E-2</v>
      </c>
      <c r="C38" s="25">
        <f t="shared" si="1"/>
        <v>82.466666666666669</v>
      </c>
      <c r="D38" s="25">
        <f t="shared" si="0"/>
        <v>68.510347034931442</v>
      </c>
      <c r="E38" s="232">
        <f>H.Marathon!$E38*(1-$K$2)+Marathon!$E38*$K$2</f>
        <v>0.99984897120830274</v>
      </c>
      <c r="F38" s="19">
        <f t="shared" si="2"/>
        <v>83.076411117540147</v>
      </c>
      <c r="G38" s="1">
        <v>32</v>
      </c>
      <c r="H38" s="210" t="s">
        <v>783</v>
      </c>
      <c r="I38" s="181">
        <v>4948</v>
      </c>
      <c r="J38" s="193" t="s">
        <v>784</v>
      </c>
      <c r="K38" s="193" t="s">
        <v>785</v>
      </c>
      <c r="L38" s="193" t="s">
        <v>256</v>
      </c>
      <c r="M38" s="194">
        <v>19633</v>
      </c>
      <c r="N38" s="193"/>
      <c r="O38" s="193" t="s">
        <v>280</v>
      </c>
      <c r="P38" s="285">
        <v>31500</v>
      </c>
    </row>
    <row r="39" spans="1:16" ht="15.75">
      <c r="A39" s="1">
        <v>33</v>
      </c>
      <c r="B39" s="39">
        <v>5.8749999999999997E-2</v>
      </c>
      <c r="C39" s="25">
        <f t="shared" si="1"/>
        <v>84.6</v>
      </c>
      <c r="D39" s="25">
        <f t="shared" si="0"/>
        <v>68.572494947389004</v>
      </c>
      <c r="E39" s="232">
        <f>H.Marathon!$E39*(1-$K$2)+Marathon!$E39*$K$2</f>
        <v>0.99894279845811906</v>
      </c>
      <c r="F39" s="19">
        <f t="shared" si="2"/>
        <v>81.054958566653681</v>
      </c>
      <c r="G39" s="1">
        <v>33</v>
      </c>
      <c r="H39" s="210" t="s">
        <v>786</v>
      </c>
      <c r="I39" s="181">
        <v>5076</v>
      </c>
      <c r="J39" s="193" t="s">
        <v>632</v>
      </c>
      <c r="K39" s="193" t="s">
        <v>787</v>
      </c>
      <c r="L39" s="193" t="s">
        <v>155</v>
      </c>
      <c r="M39" s="194">
        <v>28724</v>
      </c>
      <c r="N39" s="187" t="s">
        <v>781</v>
      </c>
      <c r="O39" s="193" t="s">
        <v>782</v>
      </c>
      <c r="P39" s="285">
        <v>41041</v>
      </c>
    </row>
    <row r="40" spans="1:16" ht="15.75">
      <c r="A40" s="1">
        <v>34</v>
      </c>
      <c r="B40" s="39">
        <v>5.9293981481481482E-2</v>
      </c>
      <c r="C40" s="25">
        <f t="shared" si="1"/>
        <v>85.38333333333334</v>
      </c>
      <c r="D40" s="25">
        <f t="shared" si="0"/>
        <v>68.681525536740452</v>
      </c>
      <c r="E40" s="232">
        <f>H.Marathon!$E40*(1-$K$2)+Marathon!$E40*$K$2</f>
        <v>0.9973569961452976</v>
      </c>
      <c r="F40" s="19">
        <f t="shared" si="2"/>
        <v>80.439030493937665</v>
      </c>
      <c r="G40" s="1">
        <v>34</v>
      </c>
      <c r="H40" s="210" t="s">
        <v>788</v>
      </c>
      <c r="I40" s="181">
        <v>5123</v>
      </c>
      <c r="J40" s="193" t="s">
        <v>649</v>
      </c>
      <c r="K40" s="193" t="s">
        <v>789</v>
      </c>
      <c r="L40" s="193" t="s">
        <v>179</v>
      </c>
      <c r="M40" s="194">
        <v>19039</v>
      </c>
      <c r="N40" s="193"/>
      <c r="O40" s="193" t="s">
        <v>790</v>
      </c>
      <c r="P40" s="285">
        <v>31735</v>
      </c>
    </row>
    <row r="41" spans="1:16" ht="15.75">
      <c r="A41" s="1">
        <v>35</v>
      </c>
      <c r="B41" s="39">
        <v>5.9733796296296299E-2</v>
      </c>
      <c r="C41" s="25">
        <f t="shared" si="1"/>
        <v>86.016666666666666</v>
      </c>
      <c r="D41" s="25">
        <f t="shared" si="0"/>
        <v>68.837886340904504</v>
      </c>
      <c r="E41" s="232">
        <f>H.Marathon!$E41*(1-$K$2)+Marathon!$E41*$K$2</f>
        <v>0.99509156426983836</v>
      </c>
      <c r="F41" s="19">
        <f t="shared" si="2"/>
        <v>80.028544476928303</v>
      </c>
      <c r="G41" s="1">
        <v>35</v>
      </c>
      <c r="H41" s="210" t="s">
        <v>791</v>
      </c>
      <c r="I41" s="181">
        <v>5161</v>
      </c>
      <c r="J41" s="193" t="s">
        <v>792</v>
      </c>
      <c r="K41" s="193" t="s">
        <v>793</v>
      </c>
      <c r="L41" s="193" t="s">
        <v>197</v>
      </c>
      <c r="M41" s="194">
        <v>23640</v>
      </c>
      <c r="N41" s="193"/>
      <c r="O41" s="193" t="s">
        <v>261</v>
      </c>
      <c r="P41" s="285">
        <v>36646</v>
      </c>
    </row>
    <row r="42" spans="1:16" ht="15.75">
      <c r="A42" s="1">
        <v>36</v>
      </c>
      <c r="B42" s="39">
        <v>5.962962962962963E-2</v>
      </c>
      <c r="C42" s="25">
        <f t="shared" si="1"/>
        <v>85.86666666666666</v>
      </c>
      <c r="D42" s="25">
        <f t="shared" si="0"/>
        <v>69.06281929654601</v>
      </c>
      <c r="E42" s="232">
        <f>H.Marathon!$E42*(1-$K$2)+Marathon!$E42*$K$2</f>
        <v>0.99185061799853058</v>
      </c>
      <c r="F42" s="19">
        <f t="shared" si="2"/>
        <v>80.430301975791167</v>
      </c>
      <c r="G42" s="1">
        <v>36</v>
      </c>
      <c r="H42" s="210" t="s">
        <v>310</v>
      </c>
      <c r="I42" s="181">
        <v>5152</v>
      </c>
      <c r="J42" s="193" t="s">
        <v>794</v>
      </c>
      <c r="K42" s="193" t="s">
        <v>795</v>
      </c>
      <c r="L42" s="193" t="s">
        <v>155</v>
      </c>
      <c r="M42" s="194">
        <v>28070</v>
      </c>
      <c r="N42" s="187" t="s">
        <v>781</v>
      </c>
      <c r="O42" s="193" t="s">
        <v>782</v>
      </c>
      <c r="P42" s="285">
        <v>41405</v>
      </c>
    </row>
    <row r="43" spans="1:16" ht="15.75">
      <c r="A43" s="1">
        <v>37</v>
      </c>
      <c r="B43" s="189" t="s">
        <v>796</v>
      </c>
      <c r="C43" s="25">
        <f t="shared" si="1"/>
        <v>85.45</v>
      </c>
      <c r="D43" s="25">
        <f t="shared" ref="D43:D74" si="3">E$4/E43</f>
        <v>69.366120158636321</v>
      </c>
      <c r="E43" s="232">
        <f>H.Marathon!$E43*(1-$K$2)+Marathon!$E43*$K$2</f>
        <v>0.98751378689401181</v>
      </c>
      <c r="F43" s="19">
        <f t="shared" si="2"/>
        <v>81.177437283366089</v>
      </c>
      <c r="G43" s="1">
        <v>37</v>
      </c>
      <c r="H43" s="210" t="s">
        <v>796</v>
      </c>
      <c r="I43" s="181">
        <v>5127</v>
      </c>
      <c r="J43" s="193" t="s">
        <v>281</v>
      </c>
      <c r="K43" s="193" t="s">
        <v>282</v>
      </c>
      <c r="L43" s="193" t="s">
        <v>283</v>
      </c>
      <c r="M43" s="194">
        <v>27368</v>
      </c>
      <c r="N43" s="193"/>
      <c r="O43" s="193" t="s">
        <v>261</v>
      </c>
      <c r="P43" s="285">
        <v>41035</v>
      </c>
    </row>
    <row r="44" spans="1:16" ht="15.75">
      <c r="A44" s="1">
        <v>38</v>
      </c>
      <c r="B44" s="189" t="s">
        <v>797</v>
      </c>
      <c r="C44" s="25">
        <f t="shared" si="1"/>
        <v>88.533333333333331</v>
      </c>
      <c r="D44" s="25">
        <f t="shared" si="3"/>
        <v>69.756945450376833</v>
      </c>
      <c r="E44" s="232">
        <f>H.Marathon!$E44*(1-$K$2)+Marathon!$E44*$K$2</f>
        <v>0.98198107095628229</v>
      </c>
      <c r="F44" s="19">
        <f t="shared" si="2"/>
        <v>78.791730553889494</v>
      </c>
      <c r="G44" s="1">
        <v>38</v>
      </c>
      <c r="H44" s="210" t="s">
        <v>797</v>
      </c>
      <c r="I44" s="181">
        <v>5312</v>
      </c>
      <c r="J44" s="193" t="s">
        <v>798</v>
      </c>
      <c r="K44" s="193" t="s">
        <v>799</v>
      </c>
      <c r="L44" s="193" t="s">
        <v>800</v>
      </c>
      <c r="M44" s="194">
        <v>19067</v>
      </c>
      <c r="N44" s="193"/>
      <c r="O44" s="193" t="s">
        <v>297</v>
      </c>
      <c r="P44" s="285">
        <v>33146</v>
      </c>
    </row>
    <row r="45" spans="1:16" ht="15.75">
      <c r="A45" s="1">
        <v>39</v>
      </c>
      <c r="B45" s="189" t="s">
        <v>801</v>
      </c>
      <c r="C45" s="25">
        <f t="shared" si="1"/>
        <v>86.899999999999991</v>
      </c>
      <c r="D45" s="25">
        <f t="shared" si="3"/>
        <v>70.23102118866143</v>
      </c>
      <c r="E45" s="232">
        <f>H.Marathon!$E45*(1-$K$2)+Marathon!$E45*$K$2</f>
        <v>0.97535247018534166</v>
      </c>
      <c r="F45" s="19">
        <f t="shared" si="2"/>
        <v>80.818206200991298</v>
      </c>
      <c r="G45" s="1">
        <v>39</v>
      </c>
      <c r="H45" s="210" t="s">
        <v>801</v>
      </c>
      <c r="I45" s="181">
        <v>5214</v>
      </c>
      <c r="J45" s="193" t="s">
        <v>802</v>
      </c>
      <c r="K45" s="193" t="s">
        <v>248</v>
      </c>
      <c r="L45" s="193" t="s">
        <v>155</v>
      </c>
      <c r="M45" s="194">
        <v>21307</v>
      </c>
      <c r="N45" s="187" t="s">
        <v>781</v>
      </c>
      <c r="O45" s="193" t="s">
        <v>782</v>
      </c>
      <c r="P45" s="285">
        <v>35560</v>
      </c>
    </row>
    <row r="46" spans="1:16" ht="15.75">
      <c r="A46" s="1">
        <v>40</v>
      </c>
      <c r="B46" s="39">
        <v>6.008101851851852E-2</v>
      </c>
      <c r="C46" s="25">
        <f t="shared" si="1"/>
        <v>86.516666666666666</v>
      </c>
      <c r="D46" s="25">
        <f t="shared" si="3"/>
        <v>70.789877678790688</v>
      </c>
      <c r="E46" s="232">
        <f>H.Marathon!$E46*(1-$K$2)+Marathon!$E46*$K$2</f>
        <v>0.96765247018534173</v>
      </c>
      <c r="F46" s="19">
        <f t="shared" si="2"/>
        <v>81.822243512376062</v>
      </c>
      <c r="G46" s="1">
        <v>40</v>
      </c>
      <c r="H46" s="210" t="s">
        <v>803</v>
      </c>
      <c r="I46" s="181">
        <v>5191</v>
      </c>
      <c r="J46" s="193" t="s">
        <v>285</v>
      </c>
      <c r="K46" s="193" t="s">
        <v>286</v>
      </c>
      <c r="L46" s="193" t="s">
        <v>155</v>
      </c>
      <c r="M46" s="194">
        <v>16398</v>
      </c>
      <c r="N46" s="193"/>
      <c r="O46" s="193" t="s">
        <v>804</v>
      </c>
      <c r="P46" s="285">
        <v>31060</v>
      </c>
    </row>
    <row r="47" spans="1:16" ht="15.75">
      <c r="A47" s="1">
        <v>41</v>
      </c>
      <c r="B47" s="39">
        <v>5.9201388888888887E-2</v>
      </c>
      <c r="C47" s="25">
        <f t="shared" si="1"/>
        <v>85.25</v>
      </c>
      <c r="D47" s="25">
        <f t="shared" si="3"/>
        <v>71.372416610787639</v>
      </c>
      <c r="E47" s="232">
        <f>H.Marathon!$E47*(1-$K$2)+Marathon!$E47*$K$2</f>
        <v>0.95975452776873627</v>
      </c>
      <c r="F47" s="19">
        <f t="shared" si="2"/>
        <v>83.721309807375533</v>
      </c>
      <c r="G47" s="1">
        <v>41</v>
      </c>
      <c r="H47" s="210" t="s">
        <v>805</v>
      </c>
      <c r="I47" s="181">
        <v>5115</v>
      </c>
      <c r="J47" s="193" t="s">
        <v>186</v>
      </c>
      <c r="K47" s="193" t="s">
        <v>187</v>
      </c>
      <c r="L47" s="193" t="s">
        <v>155</v>
      </c>
      <c r="M47" s="194">
        <v>23483</v>
      </c>
      <c r="N47" s="187" t="s">
        <v>781</v>
      </c>
      <c r="O47" s="193" t="s">
        <v>782</v>
      </c>
      <c r="P47" s="285">
        <v>38486</v>
      </c>
    </row>
    <row r="48" spans="1:16" ht="15.75">
      <c r="A48" s="1">
        <v>42</v>
      </c>
      <c r="B48" s="189" t="s">
        <v>806</v>
      </c>
      <c r="C48" s="25">
        <f t="shared" si="1"/>
        <v>88.3</v>
      </c>
      <c r="D48" s="25">
        <f t="shared" si="3"/>
        <v>71.958913895366194</v>
      </c>
      <c r="E48" s="232">
        <f>H.Marathon!$E48*(1-$K$2)+Marathon!$E48*$K$2</f>
        <v>0.95193209974797943</v>
      </c>
      <c r="F48" s="19">
        <f t="shared" si="2"/>
        <v>81.493673720686516</v>
      </c>
      <c r="G48" s="1">
        <v>42</v>
      </c>
      <c r="H48" s="210" t="s">
        <v>806</v>
      </c>
      <c r="I48" s="181">
        <v>5298</v>
      </c>
      <c r="J48" s="193" t="s">
        <v>204</v>
      </c>
      <c r="K48" s="193" t="s">
        <v>364</v>
      </c>
      <c r="L48" s="193" t="s">
        <v>172</v>
      </c>
      <c r="M48" s="194">
        <v>13814</v>
      </c>
      <c r="N48" s="193"/>
      <c r="O48" s="193" t="s">
        <v>807</v>
      </c>
      <c r="P48" s="285">
        <v>29401</v>
      </c>
    </row>
    <row r="49" spans="1:16" ht="15.75">
      <c r="A49" s="1">
        <v>43</v>
      </c>
      <c r="B49" s="189" t="s">
        <v>808</v>
      </c>
      <c r="C49" s="25">
        <f t="shared" si="1"/>
        <v>87.016666666666666</v>
      </c>
      <c r="D49" s="25">
        <f t="shared" si="3"/>
        <v>72.56093380523221</v>
      </c>
      <c r="E49" s="232">
        <f>H.Marathon!$E49*(1-$K$2)+Marathon!$E49*$K$2</f>
        <v>0.94403415733137397</v>
      </c>
      <c r="F49" s="19">
        <f t="shared" si="2"/>
        <v>83.387397592682106</v>
      </c>
      <c r="G49" s="1">
        <v>43</v>
      </c>
      <c r="H49" s="210" t="s">
        <v>808</v>
      </c>
      <c r="I49" s="181">
        <v>5221</v>
      </c>
      <c r="J49" s="193" t="s">
        <v>195</v>
      </c>
      <c r="K49" s="193" t="s">
        <v>809</v>
      </c>
      <c r="L49" s="193" t="s">
        <v>197</v>
      </c>
      <c r="M49" s="194">
        <v>22400</v>
      </c>
      <c r="N49" s="187" t="s">
        <v>781</v>
      </c>
      <c r="O49" s="193" t="s">
        <v>782</v>
      </c>
      <c r="P49" s="285">
        <v>38115</v>
      </c>
    </row>
    <row r="50" spans="1:16" ht="15.75">
      <c r="A50" s="1">
        <v>44</v>
      </c>
      <c r="B50" s="189" t="s">
        <v>810</v>
      </c>
      <c r="C50" s="25">
        <f t="shared" si="1"/>
        <v>89.833333333333329</v>
      </c>
      <c r="D50" s="25">
        <f t="shared" si="3"/>
        <v>73.173111891880652</v>
      </c>
      <c r="E50" s="232">
        <f>H.Marathon!$E50*(1-$K$2)+Marathon!$E50*$K$2</f>
        <v>0.93613621491476862</v>
      </c>
      <c r="F50" s="19">
        <f t="shared" si="2"/>
        <v>81.454298952000727</v>
      </c>
      <c r="G50" s="1">
        <v>44</v>
      </c>
      <c r="H50" s="210" t="s">
        <v>810</v>
      </c>
      <c r="I50" s="181">
        <v>5390</v>
      </c>
      <c r="J50" s="193" t="s">
        <v>195</v>
      </c>
      <c r="K50" s="193" t="s">
        <v>809</v>
      </c>
      <c r="L50" s="193" t="s">
        <v>197</v>
      </c>
      <c r="M50" s="194">
        <v>22400</v>
      </c>
      <c r="N50" s="187" t="s">
        <v>781</v>
      </c>
      <c r="O50" s="193" t="s">
        <v>782</v>
      </c>
      <c r="P50" s="285">
        <v>38486</v>
      </c>
    </row>
    <row r="51" spans="1:16" ht="15.75">
      <c r="A51" s="1">
        <v>45</v>
      </c>
      <c r="B51" s="189" t="s">
        <v>811</v>
      </c>
      <c r="C51" s="25">
        <f t="shared" si="1"/>
        <v>94</v>
      </c>
      <c r="D51" s="25">
        <f t="shared" si="3"/>
        <v>73.795707448741894</v>
      </c>
      <c r="E51" s="232">
        <f>H.Marathon!$E51*(1-$K$2)+Marathon!$E51*$K$2</f>
        <v>0.92823827249816315</v>
      </c>
      <c r="F51" s="19">
        <f t="shared" si="2"/>
        <v>78.506071753980734</v>
      </c>
      <c r="G51" s="1">
        <v>45</v>
      </c>
      <c r="H51" s="210" t="s">
        <v>811</v>
      </c>
      <c r="I51" s="181">
        <v>5640</v>
      </c>
      <c r="J51" s="193" t="s">
        <v>274</v>
      </c>
      <c r="K51" s="193" t="s">
        <v>812</v>
      </c>
      <c r="L51" s="193" t="s">
        <v>179</v>
      </c>
      <c r="M51" s="194">
        <v>23319</v>
      </c>
      <c r="N51" s="193"/>
      <c r="O51" s="193" t="s">
        <v>813</v>
      </c>
      <c r="P51" s="285">
        <v>39908</v>
      </c>
    </row>
    <row r="52" spans="1:16" ht="15.75">
      <c r="A52" s="1">
        <v>46</v>
      </c>
      <c r="B52" s="189" t="s">
        <v>814</v>
      </c>
      <c r="C52" s="25">
        <f t="shared" si="1"/>
        <v>94.083333333333329</v>
      </c>
      <c r="D52" s="25">
        <f t="shared" si="3"/>
        <v>74.428988669799736</v>
      </c>
      <c r="E52" s="232">
        <f>H.Marathon!$E52*(1-$K$2)+Marathon!$E52*$K$2</f>
        <v>0.92034033008155769</v>
      </c>
      <c r="F52" s="19">
        <f t="shared" si="2"/>
        <v>79.109642518830555</v>
      </c>
      <c r="G52" s="1">
        <v>46</v>
      </c>
      <c r="H52" s="210" t="s">
        <v>814</v>
      </c>
      <c r="I52" s="181">
        <v>5645</v>
      </c>
      <c r="J52" s="193" t="s">
        <v>195</v>
      </c>
      <c r="K52" s="193" t="s">
        <v>809</v>
      </c>
      <c r="L52" s="193" t="s">
        <v>197</v>
      </c>
      <c r="M52" s="194">
        <v>22400</v>
      </c>
      <c r="N52" s="187" t="s">
        <v>781</v>
      </c>
      <c r="O52" s="193" t="s">
        <v>782</v>
      </c>
      <c r="P52" s="285">
        <v>39214</v>
      </c>
    </row>
    <row r="53" spans="1:16" ht="15.75">
      <c r="A53" s="1">
        <v>47</v>
      </c>
      <c r="B53" s="189" t="s">
        <v>815</v>
      </c>
      <c r="C53" s="25">
        <f t="shared" si="1"/>
        <v>91.1</v>
      </c>
      <c r="D53" s="25">
        <f t="shared" si="3"/>
        <v>75.067020433573759</v>
      </c>
      <c r="E53" s="232">
        <f>H.Marathon!$E53*(1-$K$2)+Marathon!$E53*$K$2</f>
        <v>0.91251790206080097</v>
      </c>
      <c r="F53" s="19">
        <f t="shared" ref="F53:F81" si="4">100*(D53/C53)</f>
        <v>82.400681046732998</v>
      </c>
      <c r="G53" s="1">
        <v>47</v>
      </c>
      <c r="H53" s="210" t="s">
        <v>815</v>
      </c>
      <c r="I53" s="181">
        <v>5466</v>
      </c>
      <c r="J53" s="193" t="s">
        <v>186</v>
      </c>
      <c r="K53" s="193" t="s">
        <v>187</v>
      </c>
      <c r="L53" s="193" t="s">
        <v>155</v>
      </c>
      <c r="M53" s="194">
        <v>23483</v>
      </c>
      <c r="N53" s="187" t="s">
        <v>781</v>
      </c>
      <c r="O53" s="193" t="s">
        <v>782</v>
      </c>
      <c r="P53" s="285">
        <v>40677</v>
      </c>
    </row>
    <row r="54" spans="1:16" ht="15.75">
      <c r="A54" s="1">
        <v>48</v>
      </c>
      <c r="B54" s="189" t="s">
        <v>816</v>
      </c>
      <c r="C54" s="25">
        <f t="shared" si="1"/>
        <v>97.483333333333334</v>
      </c>
      <c r="D54" s="25">
        <f t="shared" si="3"/>
        <v>75.722406154892241</v>
      </c>
      <c r="E54" s="232">
        <f>H.Marathon!$E54*(1-$K$2)+Marathon!$E54*$K$2</f>
        <v>0.9046199596441955</v>
      </c>
      <c r="F54" s="19">
        <f t="shared" si="4"/>
        <v>77.677284480997344</v>
      </c>
      <c r="G54" s="1">
        <v>48</v>
      </c>
      <c r="H54" s="210" t="s">
        <v>816</v>
      </c>
      <c r="I54" s="181">
        <v>5849</v>
      </c>
      <c r="J54" s="193" t="s">
        <v>370</v>
      </c>
      <c r="K54" s="193" t="s">
        <v>817</v>
      </c>
      <c r="L54" s="193" t="s">
        <v>155</v>
      </c>
      <c r="M54" s="194">
        <v>20203</v>
      </c>
      <c r="N54" s="187" t="s">
        <v>781</v>
      </c>
      <c r="O54" s="193" t="s">
        <v>782</v>
      </c>
      <c r="P54" s="285">
        <v>37751</v>
      </c>
    </row>
    <row r="55" spans="1:16" ht="15.75">
      <c r="A55" s="1">
        <v>49</v>
      </c>
      <c r="B55" s="189" t="s">
        <v>818</v>
      </c>
      <c r="C55" s="25">
        <f t="shared" si="1"/>
        <v>97.999999999999986</v>
      </c>
      <c r="D55" s="25">
        <f t="shared" si="3"/>
        <v>76.389336588146406</v>
      </c>
      <c r="E55" s="232">
        <f>H.Marathon!$E55*(1-$K$2)+Marathon!$E55*$K$2</f>
        <v>0.89672201722759004</v>
      </c>
      <c r="F55" s="19">
        <f t="shared" si="4"/>
        <v>77.948302640965721</v>
      </c>
      <c r="G55" s="1">
        <v>49</v>
      </c>
      <c r="H55" s="210" t="s">
        <v>818</v>
      </c>
      <c r="I55" s="181">
        <v>5880</v>
      </c>
      <c r="J55" s="193" t="s">
        <v>274</v>
      </c>
      <c r="K55" s="193" t="s">
        <v>812</v>
      </c>
      <c r="L55" s="193" t="s">
        <v>179</v>
      </c>
      <c r="M55" s="194">
        <v>23319</v>
      </c>
      <c r="N55" s="193"/>
      <c r="O55" s="193" t="s">
        <v>813</v>
      </c>
      <c r="P55" s="285">
        <v>41365</v>
      </c>
    </row>
    <row r="56" spans="1:16" ht="15.75">
      <c r="A56" s="1">
        <v>50</v>
      </c>
      <c r="B56" s="189" t="s">
        <v>819</v>
      </c>
      <c r="C56" s="25">
        <f t="shared" si="1"/>
        <v>104.91666666666667</v>
      </c>
      <c r="D56" s="25">
        <f t="shared" si="3"/>
        <v>77.068119486487873</v>
      </c>
      <c r="E56" s="232">
        <f>H.Marathon!$E56*(1-$K$2)+Marathon!$E56*$K$2</f>
        <v>0.88882407481098458</v>
      </c>
      <c r="F56" s="19">
        <f t="shared" si="4"/>
        <v>73.456507850504721</v>
      </c>
      <c r="G56" s="1">
        <v>50</v>
      </c>
      <c r="H56" s="210" t="s">
        <v>819</v>
      </c>
      <c r="I56" s="181">
        <v>6295</v>
      </c>
      <c r="J56" s="193" t="s">
        <v>567</v>
      </c>
      <c r="K56" s="193" t="s">
        <v>820</v>
      </c>
      <c r="L56" s="193" t="s">
        <v>155</v>
      </c>
      <c r="M56" s="194">
        <v>19118</v>
      </c>
      <c r="N56" s="193" t="s">
        <v>821</v>
      </c>
      <c r="O56" s="193" t="s">
        <v>822</v>
      </c>
      <c r="P56" s="285">
        <v>37507</v>
      </c>
    </row>
    <row r="57" spans="1:16" ht="15.75">
      <c r="A57" s="1">
        <v>51</v>
      </c>
      <c r="B57" s="189" t="s">
        <v>823</v>
      </c>
      <c r="C57" s="25">
        <f t="shared" si="1"/>
        <v>96.633333333333326</v>
      </c>
      <c r="D57" s="25">
        <f t="shared" si="3"/>
        <v>77.759073639710621</v>
      </c>
      <c r="E57" s="232">
        <f>H.Marathon!$E57*(1-$K$2)+Marathon!$E57*$K$2</f>
        <v>0.88092613239437922</v>
      </c>
      <c r="F57" s="19">
        <f t="shared" si="4"/>
        <v>80.468168650959598</v>
      </c>
      <c r="G57" s="1">
        <v>51</v>
      </c>
      <c r="H57" s="210" t="s">
        <v>823</v>
      </c>
      <c r="I57" s="181">
        <v>5798</v>
      </c>
      <c r="J57" s="193" t="s">
        <v>186</v>
      </c>
      <c r="K57" s="193" t="s">
        <v>187</v>
      </c>
      <c r="L57" s="193" t="s">
        <v>155</v>
      </c>
      <c r="M57" s="194">
        <v>23483</v>
      </c>
      <c r="N57" s="193"/>
      <c r="O57" s="193" t="s">
        <v>336</v>
      </c>
      <c r="P57" s="285">
        <v>42413</v>
      </c>
    </row>
    <row r="58" spans="1:16" ht="15.75">
      <c r="A58" s="1">
        <v>52</v>
      </c>
      <c r="B58" s="189" t="s">
        <v>824</v>
      </c>
      <c r="C58" s="25">
        <f t="shared" si="1"/>
        <v>101.65</v>
      </c>
      <c r="D58" s="25">
        <f t="shared" si="3"/>
        <v>78.455743180179184</v>
      </c>
      <c r="E58" s="232">
        <f>H.Marathon!$E58*(1-$K$2)+Marathon!$E58*$K$2</f>
        <v>0.87310370437362228</v>
      </c>
      <c r="F58" s="19">
        <f t="shared" si="4"/>
        <v>77.182236281533861</v>
      </c>
      <c r="G58" s="1">
        <v>52</v>
      </c>
      <c r="H58" s="210" t="s">
        <v>824</v>
      </c>
      <c r="I58" s="181">
        <v>6099</v>
      </c>
      <c r="J58" s="193" t="s">
        <v>346</v>
      </c>
      <c r="K58" s="193" t="s">
        <v>369</v>
      </c>
      <c r="L58" s="193" t="s">
        <v>155</v>
      </c>
      <c r="M58" s="194">
        <v>15914</v>
      </c>
      <c r="N58" s="193"/>
      <c r="O58" s="193" t="s">
        <v>269</v>
      </c>
      <c r="P58" s="285">
        <v>35050</v>
      </c>
    </row>
    <row r="59" spans="1:16" ht="15.75">
      <c r="A59" s="1">
        <v>53</v>
      </c>
      <c r="B59" s="189" t="s">
        <v>825</v>
      </c>
      <c r="C59" s="25">
        <f t="shared" si="1"/>
        <v>96.75</v>
      </c>
      <c r="D59" s="25">
        <f t="shared" si="3"/>
        <v>79.171918417486282</v>
      </c>
      <c r="E59" s="232">
        <f>H.Marathon!$E59*(1-$K$2)+Marathon!$E59*$K$2</f>
        <v>0.86520576195701693</v>
      </c>
      <c r="F59" s="19">
        <f t="shared" si="4"/>
        <v>81.831440224792019</v>
      </c>
      <c r="G59" s="1">
        <v>53</v>
      </c>
      <c r="H59" s="210" t="s">
        <v>825</v>
      </c>
      <c r="I59" s="181">
        <v>5805</v>
      </c>
      <c r="J59" s="193" t="s">
        <v>207</v>
      </c>
      <c r="K59" s="193" t="s">
        <v>208</v>
      </c>
      <c r="L59" s="193" t="s">
        <v>155</v>
      </c>
      <c r="M59" s="194">
        <v>20956</v>
      </c>
      <c r="N59" s="193" t="s">
        <v>826</v>
      </c>
      <c r="O59" s="193" t="s">
        <v>358</v>
      </c>
      <c r="P59" s="285">
        <v>40461</v>
      </c>
    </row>
    <row r="60" spans="1:16" ht="15.75">
      <c r="A60" s="1">
        <v>54</v>
      </c>
      <c r="B60" s="189" t="s">
        <v>827</v>
      </c>
      <c r="C60" s="25">
        <f t="shared" si="1"/>
        <v>105.23333333333333</v>
      </c>
      <c r="D60" s="25">
        <f t="shared" si="3"/>
        <v>79.901289173731911</v>
      </c>
      <c r="E60" s="232">
        <f>H.Marathon!$E60*(1-$K$2)+Marathon!$E60*$K$2</f>
        <v>0.85730781954041158</v>
      </c>
      <c r="F60" s="19">
        <f t="shared" si="4"/>
        <v>75.927737574024619</v>
      </c>
      <c r="G60" s="1">
        <v>54</v>
      </c>
      <c r="H60" s="210" t="s">
        <v>827</v>
      </c>
      <c r="I60" s="181">
        <v>6314</v>
      </c>
      <c r="J60" s="193" t="s">
        <v>349</v>
      </c>
      <c r="K60" s="193" t="s">
        <v>828</v>
      </c>
      <c r="L60" s="193" t="s">
        <v>155</v>
      </c>
      <c r="M60" s="194">
        <v>9478</v>
      </c>
      <c r="N60" s="193"/>
      <c r="O60" s="193" t="s">
        <v>829</v>
      </c>
      <c r="P60" s="285">
        <v>29282</v>
      </c>
    </row>
    <row r="61" spans="1:16" ht="15.75">
      <c r="A61" s="1">
        <v>55</v>
      </c>
      <c r="B61" s="189" t="s">
        <v>830</v>
      </c>
      <c r="C61" s="25">
        <f t="shared" si="1"/>
        <v>109.11666666666666</v>
      </c>
      <c r="D61" s="25">
        <f t="shared" si="3"/>
        <v>80.644223530751049</v>
      </c>
      <c r="E61" s="232">
        <f>H.Marathon!$E61*(1-$K$2)+Marathon!$E61*$K$2</f>
        <v>0.84940987712380611</v>
      </c>
      <c r="F61" s="19">
        <f t="shared" si="4"/>
        <v>73.906421442570078</v>
      </c>
      <c r="G61" s="1">
        <v>55</v>
      </c>
      <c r="H61" s="210" t="s">
        <v>830</v>
      </c>
      <c r="I61" s="181">
        <v>6547</v>
      </c>
      <c r="J61" s="193" t="s">
        <v>204</v>
      </c>
      <c r="K61" s="193" t="s">
        <v>831</v>
      </c>
      <c r="L61" s="193" t="s">
        <v>155</v>
      </c>
      <c r="M61" s="194">
        <v>13563</v>
      </c>
      <c r="N61" s="193"/>
      <c r="O61" s="193" t="s">
        <v>218</v>
      </c>
      <c r="P61" s="285">
        <v>33930</v>
      </c>
    </row>
    <row r="62" spans="1:16" ht="15.75">
      <c r="A62" s="1">
        <v>56</v>
      </c>
      <c r="B62" s="189" t="s">
        <v>832</v>
      </c>
      <c r="C62" s="25">
        <f t="shared" si="1"/>
        <v>101.01666666666665</v>
      </c>
      <c r="D62" s="25">
        <f t="shared" si="3"/>
        <v>81.401103388788172</v>
      </c>
      <c r="E62" s="232">
        <f>H.Marathon!$E62*(1-$K$2)+Marathon!$E62*$K$2</f>
        <v>0.84151193470720065</v>
      </c>
      <c r="F62" s="19">
        <f t="shared" si="4"/>
        <v>80.581854534355571</v>
      </c>
      <c r="G62" s="1">
        <v>56</v>
      </c>
      <c r="H62" s="210" t="s">
        <v>832</v>
      </c>
      <c r="I62" s="181">
        <v>6061</v>
      </c>
      <c r="J62" s="193" t="s">
        <v>503</v>
      </c>
      <c r="K62" s="193" t="s">
        <v>833</v>
      </c>
      <c r="L62" s="193" t="s">
        <v>155</v>
      </c>
      <c r="M62" s="194">
        <v>14922</v>
      </c>
      <c r="N62" s="193"/>
      <c r="O62" s="193" t="s">
        <v>752</v>
      </c>
      <c r="P62" s="285">
        <v>35385</v>
      </c>
    </row>
    <row r="63" spans="1:16" ht="15.75">
      <c r="A63" s="1">
        <v>57</v>
      </c>
      <c r="B63" s="189" t="s">
        <v>834</v>
      </c>
      <c r="C63" s="25">
        <f t="shared" si="1"/>
        <v>110.9</v>
      </c>
      <c r="D63" s="25">
        <f t="shared" si="3"/>
        <v>82.164882070134183</v>
      </c>
      <c r="E63" s="232">
        <f>H.Marathon!$E63*(1-$K$2)+Marathon!$E63*$K$2</f>
        <v>0.83368950668644382</v>
      </c>
      <c r="F63" s="19">
        <f t="shared" si="4"/>
        <v>74.089163273340105</v>
      </c>
      <c r="G63" s="1">
        <v>57</v>
      </c>
      <c r="H63" s="210" t="s">
        <v>834</v>
      </c>
      <c r="I63" s="181">
        <v>6654</v>
      </c>
      <c r="J63" s="193" t="s">
        <v>835</v>
      </c>
      <c r="K63" s="193" t="s">
        <v>836</v>
      </c>
      <c r="L63" s="193" t="s">
        <v>155</v>
      </c>
      <c r="M63" s="194">
        <v>19156</v>
      </c>
      <c r="N63" s="187" t="s">
        <v>781</v>
      </c>
      <c r="O63" s="193" t="s">
        <v>782</v>
      </c>
      <c r="P63" s="285">
        <v>40306</v>
      </c>
    </row>
    <row r="64" spans="1:16" ht="15.75">
      <c r="A64" s="1">
        <v>58</v>
      </c>
      <c r="B64" s="189" t="s">
        <v>837</v>
      </c>
      <c r="C64" s="25">
        <f t="shared" si="1"/>
        <v>106.61666666666667</v>
      </c>
      <c r="D64" s="25">
        <f t="shared" si="3"/>
        <v>82.950714155777817</v>
      </c>
      <c r="E64" s="232">
        <f>H.Marathon!$E64*(1-$K$2)+Marathon!$E64*$K$2</f>
        <v>0.82579156426983846</v>
      </c>
      <c r="F64" s="19">
        <f t="shared" si="4"/>
        <v>77.802764566932453</v>
      </c>
      <c r="G64" s="1">
        <v>58</v>
      </c>
      <c r="H64" s="210" t="s">
        <v>837</v>
      </c>
      <c r="I64" s="181">
        <v>6397</v>
      </c>
      <c r="J64" s="193" t="s">
        <v>349</v>
      </c>
      <c r="K64" s="193" t="s">
        <v>828</v>
      </c>
      <c r="L64" s="193" t="s">
        <v>155</v>
      </c>
      <c r="M64" s="194">
        <v>9478</v>
      </c>
      <c r="N64" s="193" t="s">
        <v>838</v>
      </c>
      <c r="O64" s="193" t="s">
        <v>839</v>
      </c>
      <c r="P64" s="285">
        <v>30948</v>
      </c>
    </row>
    <row r="65" spans="1:16" ht="15.75">
      <c r="A65" s="1">
        <v>59</v>
      </c>
      <c r="B65" s="189" t="s">
        <v>840</v>
      </c>
      <c r="C65" s="25">
        <f t="shared" si="1"/>
        <v>121.55</v>
      </c>
      <c r="D65" s="25">
        <f t="shared" si="3"/>
        <v>83.751722925517569</v>
      </c>
      <c r="E65" s="232">
        <f>H.Marathon!$E65*(1-$K$2)+Marathon!$E65*$K$2</f>
        <v>0.81789362185323289</v>
      </c>
      <c r="F65" s="19">
        <f t="shared" si="4"/>
        <v>68.903104011121002</v>
      </c>
      <c r="G65" s="1">
        <v>59</v>
      </c>
      <c r="H65" s="210" t="s">
        <v>840</v>
      </c>
      <c r="I65" s="181">
        <v>7293</v>
      </c>
      <c r="J65" s="193" t="s">
        <v>841</v>
      </c>
      <c r="K65" s="193" t="s">
        <v>842</v>
      </c>
      <c r="L65" s="193" t="s">
        <v>155</v>
      </c>
      <c r="M65" s="194">
        <v>11677</v>
      </c>
      <c r="N65" s="187" t="s">
        <v>781</v>
      </c>
      <c r="O65" s="193" t="s">
        <v>782</v>
      </c>
      <c r="P65" s="285">
        <v>33369</v>
      </c>
    </row>
    <row r="66" spans="1:16" ht="15.75">
      <c r="A66" s="1">
        <v>60</v>
      </c>
      <c r="B66" s="189" t="s">
        <v>843</v>
      </c>
      <c r="C66" s="25">
        <f t="shared" si="1"/>
        <v>99.399999999999991</v>
      </c>
      <c r="D66" s="25">
        <f t="shared" si="3"/>
        <v>84.568352324599417</v>
      </c>
      <c r="E66" s="232">
        <f>H.Marathon!$E66*(1-$K$2)+Marathon!$E66*$K$2</f>
        <v>0.80999567943662754</v>
      </c>
      <c r="F66" s="19">
        <f t="shared" si="4"/>
        <v>85.078825276256964</v>
      </c>
      <c r="G66" s="1">
        <v>60</v>
      </c>
      <c r="H66" s="210" t="s">
        <v>843</v>
      </c>
      <c r="I66" s="181">
        <v>5964</v>
      </c>
      <c r="J66" s="193" t="s">
        <v>404</v>
      </c>
      <c r="K66" s="193" t="s">
        <v>405</v>
      </c>
      <c r="L66" s="193" t="s">
        <v>155</v>
      </c>
      <c r="M66" s="182">
        <v>23193</v>
      </c>
      <c r="N66" s="193" t="s">
        <v>844</v>
      </c>
      <c r="O66" s="193" t="s">
        <v>358</v>
      </c>
      <c r="P66" s="285">
        <v>45207</v>
      </c>
    </row>
    <row r="67" spans="1:16" ht="15.75">
      <c r="A67" s="1">
        <v>61</v>
      </c>
      <c r="B67" s="189" t="s">
        <v>845</v>
      </c>
      <c r="C67" s="25">
        <f t="shared" si="1"/>
        <v>110.83333333333333</v>
      </c>
      <c r="D67" s="25">
        <f t="shared" si="3"/>
        <v>85.401063783689622</v>
      </c>
      <c r="E67" s="232">
        <f>H.Marathon!$E67*(1-$K$2)+Marathon!$E67*$K$2</f>
        <v>0.80209773702002196</v>
      </c>
      <c r="F67" s="19">
        <f t="shared" si="4"/>
        <v>77.053591383780116</v>
      </c>
      <c r="G67" s="1">
        <v>61</v>
      </c>
      <c r="H67" s="210" t="s">
        <v>845</v>
      </c>
      <c r="I67" s="181">
        <v>6650</v>
      </c>
      <c r="J67" s="193" t="s">
        <v>846</v>
      </c>
      <c r="K67" s="193" t="s">
        <v>847</v>
      </c>
      <c r="L67" s="193" t="s">
        <v>155</v>
      </c>
      <c r="M67" s="194">
        <v>18106</v>
      </c>
      <c r="N67" s="187" t="s">
        <v>781</v>
      </c>
      <c r="O67" s="193" t="s">
        <v>782</v>
      </c>
      <c r="P67" s="285">
        <v>40677</v>
      </c>
    </row>
    <row r="68" spans="1:16" ht="15.75">
      <c r="A68" s="1">
        <v>62</v>
      </c>
      <c r="B68" s="189" t="s">
        <v>848</v>
      </c>
      <c r="C68" s="25">
        <f t="shared" si="1"/>
        <v>118.4</v>
      </c>
      <c r="D68" s="25">
        <f t="shared" si="3"/>
        <v>86.242136981830015</v>
      </c>
      <c r="E68" s="232">
        <f>H.Marathon!$E68*(1-$K$2)+Marathon!$E68*$K$2</f>
        <v>0.79427530899926535</v>
      </c>
      <c r="F68" s="19">
        <f t="shared" si="4"/>
        <v>72.839642721140208</v>
      </c>
      <c r="G68" s="1">
        <v>62</v>
      </c>
      <c r="H68" s="210" t="s">
        <v>848</v>
      </c>
      <c r="I68" s="181">
        <v>7104</v>
      </c>
      <c r="J68" s="193" t="s">
        <v>841</v>
      </c>
      <c r="K68" s="193" t="s">
        <v>842</v>
      </c>
      <c r="L68" s="193" t="s">
        <v>155</v>
      </c>
      <c r="M68" s="194">
        <v>11677</v>
      </c>
      <c r="N68" s="187" t="s">
        <v>781</v>
      </c>
      <c r="O68" s="193" t="s">
        <v>782</v>
      </c>
      <c r="P68" s="285">
        <v>34468</v>
      </c>
    </row>
    <row r="69" spans="1:16" ht="15.75">
      <c r="A69" s="1">
        <v>63</v>
      </c>
      <c r="B69" s="189" t="s">
        <v>849</v>
      </c>
      <c r="C69" s="25">
        <f t="shared" si="1"/>
        <v>122.53333333333333</v>
      </c>
      <c r="D69" s="25">
        <f t="shared" si="3"/>
        <v>87.108305644246499</v>
      </c>
      <c r="E69" s="232">
        <f>H.Marathon!$E69*(1-$K$2)+Marathon!$E69*$K$2</f>
        <v>0.78637736658265978</v>
      </c>
      <c r="F69" s="19">
        <f t="shared" si="4"/>
        <v>71.089476858743055</v>
      </c>
      <c r="G69" s="1">
        <v>63</v>
      </c>
      <c r="H69" s="210" t="s">
        <v>849</v>
      </c>
      <c r="I69" s="181">
        <v>7352</v>
      </c>
      <c r="J69" s="193" t="s">
        <v>362</v>
      </c>
      <c r="K69" s="193" t="s">
        <v>850</v>
      </c>
      <c r="L69" s="193" t="s">
        <v>155</v>
      </c>
      <c r="M69" s="194">
        <v>16687</v>
      </c>
      <c r="N69" s="193" t="s">
        <v>851</v>
      </c>
      <c r="O69" s="193" t="s">
        <v>218</v>
      </c>
      <c r="P69" s="285">
        <v>39733</v>
      </c>
    </row>
    <row r="70" spans="1:16" ht="15.75">
      <c r="A70" s="1">
        <v>64</v>
      </c>
      <c r="B70" s="189" t="s">
        <v>852</v>
      </c>
      <c r="C70" s="25">
        <f t="shared" si="1"/>
        <v>122.73333333333333</v>
      </c>
      <c r="D70" s="25">
        <f t="shared" si="3"/>
        <v>87.992049466664554</v>
      </c>
      <c r="E70" s="232">
        <f>H.Marathon!$E70*(1-$K$2)+Marathon!$E70*$K$2</f>
        <v>0.77847942416605442</v>
      </c>
      <c r="F70" s="19">
        <f t="shared" si="4"/>
        <v>71.693685062464326</v>
      </c>
      <c r="G70" s="1">
        <v>64</v>
      </c>
      <c r="H70" s="210" t="s">
        <v>852</v>
      </c>
      <c r="I70" s="181">
        <v>7364</v>
      </c>
      <c r="J70" s="193" t="s">
        <v>686</v>
      </c>
      <c r="K70" s="193" t="s">
        <v>853</v>
      </c>
      <c r="L70" s="193" t="s">
        <v>155</v>
      </c>
      <c r="M70" s="194">
        <v>15383</v>
      </c>
      <c r="N70" s="187" t="s">
        <v>781</v>
      </c>
      <c r="O70" s="193" t="s">
        <v>782</v>
      </c>
      <c r="P70" s="285">
        <v>38850</v>
      </c>
    </row>
    <row r="71" spans="1:16" ht="15.75">
      <c r="A71" s="1">
        <v>65</v>
      </c>
      <c r="B71" s="189" t="s">
        <v>854</v>
      </c>
      <c r="C71" s="25">
        <f t="shared" si="1"/>
        <v>123.88333333333333</v>
      </c>
      <c r="D71" s="25">
        <f t="shared" si="3"/>
        <v>88.893908849826815</v>
      </c>
      <c r="E71" s="232">
        <f>H.Marathon!$E71*(1-$K$2)+Marathon!$E71*$K$2</f>
        <v>0.77058148174944896</v>
      </c>
      <c r="F71" s="19">
        <f t="shared" si="4"/>
        <v>71.756148674688674</v>
      </c>
      <c r="G71" s="1">
        <v>65</v>
      </c>
      <c r="H71" s="210" t="s">
        <v>854</v>
      </c>
      <c r="I71" s="181">
        <v>7433</v>
      </c>
      <c r="J71" s="193" t="s">
        <v>835</v>
      </c>
      <c r="K71" s="193" t="s">
        <v>836</v>
      </c>
      <c r="L71" s="193" t="s">
        <v>155</v>
      </c>
      <c r="M71" s="194">
        <v>19156</v>
      </c>
      <c r="N71" s="187" t="s">
        <v>781</v>
      </c>
      <c r="O71" s="193" t="s">
        <v>782</v>
      </c>
      <c r="P71" s="285">
        <v>43232</v>
      </c>
    </row>
    <row r="72" spans="1:16" ht="15.75">
      <c r="A72" s="1">
        <v>66</v>
      </c>
      <c r="B72" s="189" t="s">
        <v>855</v>
      </c>
      <c r="C72" s="25">
        <f t="shared" si="1"/>
        <v>127.00000000000001</v>
      </c>
      <c r="D72" s="25">
        <f t="shared" si="3"/>
        <v>89.814446578878957</v>
      </c>
      <c r="E72" s="232">
        <f>H.Marathon!$E72*(1-$K$2)+Marathon!$E72*$K$2</f>
        <v>0.7626835393328435</v>
      </c>
      <c r="F72" s="19">
        <f t="shared" si="4"/>
        <v>70.720036676282632</v>
      </c>
      <c r="G72" s="1">
        <v>66</v>
      </c>
      <c r="H72" s="210" t="s">
        <v>855</v>
      </c>
      <c r="I72" s="181">
        <v>7620</v>
      </c>
      <c r="J72" s="193" t="s">
        <v>686</v>
      </c>
      <c r="K72" s="193" t="s">
        <v>853</v>
      </c>
      <c r="L72" s="193" t="s">
        <v>155</v>
      </c>
      <c r="M72" s="194">
        <v>15383</v>
      </c>
      <c r="N72" s="187" t="s">
        <v>781</v>
      </c>
      <c r="O72" s="193" t="s">
        <v>782</v>
      </c>
      <c r="P72" s="285">
        <v>39578</v>
      </c>
    </row>
    <row r="73" spans="1:16" ht="15.75">
      <c r="A73" s="1">
        <v>67</v>
      </c>
      <c r="B73" s="189" t="s">
        <v>856</v>
      </c>
      <c r="C73" s="25">
        <f t="shared" si="1"/>
        <v>132.75</v>
      </c>
      <c r="D73" s="25">
        <f t="shared" si="3"/>
        <v>90.745170169032107</v>
      </c>
      <c r="E73" s="232">
        <f>H.Marathon!$E73*(1-$K$2)+Marathon!$E73*$K$2</f>
        <v>0.75486111131208677</v>
      </c>
      <c r="F73" s="19">
        <f t="shared" si="4"/>
        <v>68.357943630156015</v>
      </c>
      <c r="G73" s="1">
        <v>67</v>
      </c>
      <c r="H73" s="210" t="s">
        <v>856</v>
      </c>
      <c r="I73" s="181">
        <v>7965</v>
      </c>
      <c r="J73" s="193" t="s">
        <v>686</v>
      </c>
      <c r="K73" s="193" t="s">
        <v>853</v>
      </c>
      <c r="L73" s="193" t="s">
        <v>155</v>
      </c>
      <c r="M73" s="194">
        <v>15383</v>
      </c>
      <c r="N73" s="187" t="s">
        <v>781</v>
      </c>
      <c r="O73" s="193" t="s">
        <v>782</v>
      </c>
      <c r="P73" s="285">
        <v>39942</v>
      </c>
    </row>
    <row r="74" spans="1:16" ht="15.75">
      <c r="A74" s="1">
        <v>68</v>
      </c>
      <c r="B74" s="189" t="s">
        <v>857</v>
      </c>
      <c r="C74" s="25">
        <f t="shared" si="1"/>
        <v>130.88333333333335</v>
      </c>
      <c r="D74" s="25">
        <f t="shared" si="3"/>
        <v>91.704655399930246</v>
      </c>
      <c r="E74" s="232">
        <f>H.Marathon!$E74*(1-$K$2)+Marathon!$E74*$K$2</f>
        <v>0.7469631688954812</v>
      </c>
      <c r="F74" s="19">
        <f t="shared" si="4"/>
        <v>70.065953444490177</v>
      </c>
      <c r="G74" s="1">
        <v>68</v>
      </c>
      <c r="H74" s="210" t="s">
        <v>857</v>
      </c>
      <c r="I74" s="181">
        <v>7853</v>
      </c>
      <c r="J74" s="193" t="s">
        <v>686</v>
      </c>
      <c r="K74" s="193" t="s">
        <v>853</v>
      </c>
      <c r="L74" s="193" t="s">
        <v>155</v>
      </c>
      <c r="M74" s="194">
        <v>15383</v>
      </c>
      <c r="N74" s="187" t="s">
        <v>781</v>
      </c>
      <c r="O74" s="193" t="s">
        <v>782</v>
      </c>
      <c r="P74" s="285">
        <v>40306</v>
      </c>
    </row>
    <row r="75" spans="1:16" ht="15.75">
      <c r="A75" s="1">
        <v>69</v>
      </c>
      <c r="B75" s="189" t="s">
        <v>858</v>
      </c>
      <c r="C75" s="25">
        <f t="shared" si="1"/>
        <v>140.35</v>
      </c>
      <c r="D75" s="25">
        <f t="shared" ref="D75:D106" si="5">E$4/E75</f>
        <v>92.703591586691473</v>
      </c>
      <c r="E75" s="232">
        <f>H.Marathon!$E75*(1-$K$2)+Marathon!$E75*$K$2</f>
        <v>0.73891419768717848</v>
      </c>
      <c r="F75" s="19">
        <f t="shared" si="4"/>
        <v>66.051721828779108</v>
      </c>
      <c r="G75" s="1">
        <v>69</v>
      </c>
      <c r="H75" s="210" t="s">
        <v>858</v>
      </c>
      <c r="I75" s="181">
        <v>8421</v>
      </c>
      <c r="J75" s="193" t="s">
        <v>859</v>
      </c>
      <c r="K75" s="193" t="s">
        <v>860</v>
      </c>
      <c r="L75" s="193" t="s">
        <v>155</v>
      </c>
      <c r="M75" s="194">
        <v>7742</v>
      </c>
      <c r="N75" s="193"/>
      <c r="O75" s="193" t="s">
        <v>752</v>
      </c>
      <c r="P75" s="285">
        <v>33194</v>
      </c>
    </row>
    <row r="76" spans="1:16" ht="15.75">
      <c r="A76" s="1">
        <v>70</v>
      </c>
      <c r="B76" s="189" t="s">
        <v>861</v>
      </c>
      <c r="C76" s="25">
        <f t="shared" si="1"/>
        <v>118.86666666666667</v>
      </c>
      <c r="D76" s="25">
        <f t="shared" si="5"/>
        <v>93.782669042531055</v>
      </c>
      <c r="E76" s="232">
        <f>H.Marathon!$E76*(1-$K$2)+Marathon!$E76*$K$2</f>
        <v>0.73041214010378397</v>
      </c>
      <c r="F76" s="19">
        <f t="shared" si="4"/>
        <v>78.897365992033968</v>
      </c>
      <c r="G76" s="1">
        <v>70</v>
      </c>
      <c r="H76" s="210" t="s">
        <v>861</v>
      </c>
      <c r="I76" s="181">
        <v>7132</v>
      </c>
      <c r="J76" s="193" t="s">
        <v>221</v>
      </c>
      <c r="K76" s="193" t="s">
        <v>222</v>
      </c>
      <c r="L76" s="193" t="s">
        <v>155</v>
      </c>
      <c r="M76" s="194">
        <v>17637</v>
      </c>
      <c r="N76" s="193" t="s">
        <v>862</v>
      </c>
      <c r="O76" s="193" t="s">
        <v>358</v>
      </c>
      <c r="P76" s="285">
        <v>43380</v>
      </c>
    </row>
    <row r="77" spans="1:16" ht="15.75">
      <c r="A77" s="1">
        <v>71</v>
      </c>
      <c r="B77" s="189" t="s">
        <v>863</v>
      </c>
      <c r="C77" s="25">
        <f t="shared" ref="C77:C85" si="6">B77*1440</f>
        <v>151.91666666666666</v>
      </c>
      <c r="D77" s="25">
        <f t="shared" si="5"/>
        <v>94.956693140885889</v>
      </c>
      <c r="E77" s="232">
        <f>H.Marathon!$E77*(1-$K$2)+Marathon!$E77*$K$2</f>
        <v>0.72138148174944894</v>
      </c>
      <c r="F77" s="19">
        <f t="shared" si="4"/>
        <v>62.505777163501406</v>
      </c>
      <c r="G77" s="1">
        <v>71</v>
      </c>
      <c r="H77" s="210" t="s">
        <v>863</v>
      </c>
      <c r="I77" s="181">
        <v>9115</v>
      </c>
      <c r="J77" s="193" t="s">
        <v>859</v>
      </c>
      <c r="K77" s="193" t="s">
        <v>860</v>
      </c>
      <c r="L77" s="193" t="s">
        <v>155</v>
      </c>
      <c r="M77" s="194">
        <v>7742</v>
      </c>
      <c r="N77" s="193"/>
      <c r="O77" s="193" t="s">
        <v>752</v>
      </c>
      <c r="P77" s="285">
        <v>33922</v>
      </c>
    </row>
    <row r="78" spans="1:16" ht="15.75">
      <c r="A78" s="1">
        <v>72</v>
      </c>
      <c r="B78" s="189" t="s">
        <v>864</v>
      </c>
      <c r="C78" s="25">
        <f t="shared" si="6"/>
        <v>146.21666666666667</v>
      </c>
      <c r="D78" s="25">
        <f t="shared" si="5"/>
        <v>96.238235766156237</v>
      </c>
      <c r="E78" s="232">
        <f>H.Marathon!$E78*(1-$K$2)+Marathon!$E78*$K$2</f>
        <v>0.71177530899926533</v>
      </c>
      <c r="F78" s="19">
        <f t="shared" si="4"/>
        <v>65.818923355401509</v>
      </c>
      <c r="G78" s="1">
        <v>72</v>
      </c>
      <c r="H78" s="210" t="s">
        <v>864</v>
      </c>
      <c r="I78" s="181">
        <v>8773</v>
      </c>
      <c r="J78" s="193" t="s">
        <v>865</v>
      </c>
      <c r="K78" s="193" t="s">
        <v>866</v>
      </c>
      <c r="L78" s="193" t="s">
        <v>155</v>
      </c>
      <c r="M78" s="194">
        <v>14489</v>
      </c>
      <c r="N78" s="187" t="s">
        <v>781</v>
      </c>
      <c r="O78" s="193" t="s">
        <v>782</v>
      </c>
      <c r="P78" s="285">
        <v>41042</v>
      </c>
    </row>
    <row r="79" spans="1:16" ht="15.75">
      <c r="A79" s="1">
        <v>73</v>
      </c>
      <c r="B79" s="189" t="s">
        <v>867</v>
      </c>
      <c r="C79" s="25">
        <f t="shared" si="6"/>
        <v>148.48333333333335</v>
      </c>
      <c r="D79" s="25">
        <f t="shared" si="5"/>
        <v>97.669526582985938</v>
      </c>
      <c r="E79" s="232">
        <f>H.Marathon!$E79*(1-$K$2)+Marathon!$E79*$K$2</f>
        <v>0.70134465064493023</v>
      </c>
      <c r="F79" s="19">
        <f t="shared" si="4"/>
        <v>65.778107475352527</v>
      </c>
      <c r="G79" s="1">
        <v>73</v>
      </c>
      <c r="H79" s="210" t="s">
        <v>867</v>
      </c>
      <c r="I79" s="181">
        <v>8909</v>
      </c>
      <c r="J79" s="193" t="s">
        <v>226</v>
      </c>
      <c r="K79" s="193" t="s">
        <v>868</v>
      </c>
      <c r="L79" s="193" t="s">
        <v>155</v>
      </c>
      <c r="M79" s="194">
        <v>3552</v>
      </c>
      <c r="N79" s="193"/>
      <c r="O79" s="193" t="s">
        <v>869</v>
      </c>
      <c r="P79" s="285">
        <v>30556</v>
      </c>
    </row>
    <row r="80" spans="1:16" ht="15.75">
      <c r="A80" s="1">
        <v>74</v>
      </c>
      <c r="B80" s="189" t="s">
        <v>870</v>
      </c>
      <c r="C80" s="25">
        <f t="shared" si="6"/>
        <v>150.18333333333334</v>
      </c>
      <c r="D80" s="25">
        <f t="shared" si="5"/>
        <v>99.237246431227661</v>
      </c>
      <c r="E80" s="232">
        <f>H.Marathon!$E80*(1-$K$2)+Marathon!$E80*$K$2</f>
        <v>0.69026502108229237</v>
      </c>
      <c r="F80" s="19">
        <f t="shared" si="4"/>
        <v>66.077403017130834</v>
      </c>
      <c r="G80" s="1">
        <v>74</v>
      </c>
      <c r="H80" s="210" t="s">
        <v>870</v>
      </c>
      <c r="I80" s="181">
        <v>9011</v>
      </c>
      <c r="J80" s="193" t="s">
        <v>865</v>
      </c>
      <c r="K80" s="193" t="s">
        <v>866</v>
      </c>
      <c r="L80" s="193" t="s">
        <v>155</v>
      </c>
      <c r="M80" s="194">
        <v>14489</v>
      </c>
      <c r="N80" s="187" t="s">
        <v>781</v>
      </c>
      <c r="O80" s="193" t="s">
        <v>782</v>
      </c>
      <c r="P80" s="285">
        <v>41769</v>
      </c>
    </row>
    <row r="81" spans="1:16" ht="15.75">
      <c r="A81" s="1">
        <v>75</v>
      </c>
      <c r="B81" s="189" t="s">
        <v>871</v>
      </c>
      <c r="C81" s="25">
        <f t="shared" si="6"/>
        <v>122.2</v>
      </c>
      <c r="D81" s="25">
        <f t="shared" si="5"/>
        <v>100.96381295185651</v>
      </c>
      <c r="E81" s="232">
        <f>H.Marathon!$E81*(1-$K$2)+Marathon!$E81*$K$2</f>
        <v>0.67846090591550334</v>
      </c>
      <c r="F81" s="19">
        <f t="shared" si="4"/>
        <v>82.621778193008595</v>
      </c>
      <c r="G81" s="1">
        <v>75</v>
      </c>
      <c r="H81" s="210" t="s">
        <v>871</v>
      </c>
      <c r="I81" s="181">
        <v>7332</v>
      </c>
      <c r="J81" s="195" t="s">
        <v>221</v>
      </c>
      <c r="K81" s="195" t="s">
        <v>372</v>
      </c>
      <c r="L81" s="195" t="s">
        <v>155</v>
      </c>
      <c r="M81" s="196">
        <v>17637</v>
      </c>
      <c r="N81" s="193" t="s">
        <v>844</v>
      </c>
      <c r="O81" s="193" t="s">
        <v>358</v>
      </c>
      <c r="P81" s="285">
        <v>45207</v>
      </c>
    </row>
    <row r="82" spans="1:16" ht="15.75">
      <c r="A82" s="1">
        <v>76</v>
      </c>
      <c r="B82" s="189" t="s">
        <v>872</v>
      </c>
      <c r="C82" s="25">
        <f t="shared" si="6"/>
        <v>149.56666666666666</v>
      </c>
      <c r="D82" s="25">
        <f t="shared" si="5"/>
        <v>102.86709059412536</v>
      </c>
      <c r="E82" s="232">
        <f>H.Marathon!$E82*(1-$K$2)+Marathon!$E82*$K$2</f>
        <v>0.66590781954041156</v>
      </c>
      <c r="F82" s="19"/>
      <c r="G82" s="1">
        <v>76</v>
      </c>
      <c r="H82" s="210" t="s">
        <v>872</v>
      </c>
      <c r="I82" s="181">
        <v>8974</v>
      </c>
      <c r="J82" s="193" t="s">
        <v>873</v>
      </c>
      <c r="K82" s="193" t="s">
        <v>874</v>
      </c>
      <c r="L82" s="193" t="s">
        <v>155</v>
      </c>
      <c r="M82" s="194">
        <v>10960</v>
      </c>
      <c r="N82" s="187" t="s">
        <v>781</v>
      </c>
      <c r="O82" s="193" t="s">
        <v>782</v>
      </c>
      <c r="P82" s="285">
        <v>38850</v>
      </c>
    </row>
    <row r="83" spans="1:16" ht="15.75">
      <c r="A83" s="1">
        <v>77</v>
      </c>
      <c r="B83" s="189" t="s">
        <v>875</v>
      </c>
      <c r="C83" s="25">
        <f t="shared" si="6"/>
        <v>162.41666666666666</v>
      </c>
      <c r="D83" s="25">
        <f t="shared" si="5"/>
        <v>104.95989154039292</v>
      </c>
      <c r="E83" s="232">
        <f>H.Marathon!$E83*(1-$K$2)+Marathon!$E83*$K$2</f>
        <v>0.65263024756116828</v>
      </c>
      <c r="F83" s="19">
        <f>100*(D83/C83)</f>
        <v>64.623842918661623</v>
      </c>
      <c r="G83" s="1">
        <v>77</v>
      </c>
      <c r="H83" s="210" t="s">
        <v>875</v>
      </c>
      <c r="I83" s="181">
        <v>9745</v>
      </c>
      <c r="J83" s="193" t="s">
        <v>859</v>
      </c>
      <c r="K83" s="193" t="s">
        <v>860</v>
      </c>
      <c r="L83" s="193" t="s">
        <v>155</v>
      </c>
      <c r="M83" s="194">
        <v>7742</v>
      </c>
      <c r="N83" s="193" t="s">
        <v>876</v>
      </c>
      <c r="O83" s="193" t="s">
        <v>350</v>
      </c>
      <c r="P83" s="285">
        <v>36113</v>
      </c>
    </row>
    <row r="84" spans="1:16" ht="15.75">
      <c r="A84" s="1">
        <v>78</v>
      </c>
      <c r="B84" s="189" t="s">
        <v>877</v>
      </c>
      <c r="C84" s="25">
        <f t="shared" si="6"/>
        <v>169.8</v>
      </c>
      <c r="D84" s="25">
        <f t="shared" si="5"/>
        <v>107.24847770716791</v>
      </c>
      <c r="E84" s="232">
        <f>H.Marathon!$E84*(1-$K$2)+Marathon!$E84*$K$2</f>
        <v>0.63870370437362234</v>
      </c>
      <c r="F84" s="19"/>
      <c r="G84" s="1">
        <v>78</v>
      </c>
      <c r="H84" s="210" t="s">
        <v>877</v>
      </c>
      <c r="I84" s="181">
        <v>10188</v>
      </c>
      <c r="J84" s="193" t="s">
        <v>230</v>
      </c>
      <c r="K84" s="193" t="s">
        <v>878</v>
      </c>
      <c r="L84" s="193" t="s">
        <v>155</v>
      </c>
      <c r="M84" s="194">
        <v>2522</v>
      </c>
      <c r="N84" s="187" t="s">
        <v>781</v>
      </c>
      <c r="O84" s="193" t="s">
        <v>782</v>
      </c>
      <c r="P84" s="285">
        <v>31542</v>
      </c>
    </row>
    <row r="85" spans="1:16" ht="15.75">
      <c r="A85" s="1">
        <v>79</v>
      </c>
      <c r="B85" s="189" t="s">
        <v>879</v>
      </c>
      <c r="C85" s="25">
        <f t="shared" si="6"/>
        <v>187.68333333333334</v>
      </c>
      <c r="D85" s="25">
        <f t="shared" si="5"/>
        <v>109.77068199826003</v>
      </c>
      <c r="E85" s="232">
        <f>H.Marathon!$E85*(1-$K$2)+Marathon!$E85*$K$2</f>
        <v>0.62402818997777376</v>
      </c>
      <c r="F85" s="19">
        <f>100*(D85/C85)</f>
        <v>58.487176271162433</v>
      </c>
      <c r="G85" s="1">
        <v>79</v>
      </c>
      <c r="H85" s="210" t="s">
        <v>879</v>
      </c>
      <c r="I85" s="181">
        <v>11261</v>
      </c>
      <c r="J85" s="193" t="s">
        <v>859</v>
      </c>
      <c r="K85" s="193" t="s">
        <v>860</v>
      </c>
      <c r="L85" s="193" t="s">
        <v>155</v>
      </c>
      <c r="M85" s="194">
        <v>7742</v>
      </c>
      <c r="N85" s="193" t="s">
        <v>876</v>
      </c>
      <c r="O85" s="193" t="s">
        <v>350</v>
      </c>
      <c r="P85" s="285">
        <v>37205</v>
      </c>
    </row>
    <row r="86" spans="1:16">
      <c r="A86" s="1">
        <v>80</v>
      </c>
      <c r="C86" s="25"/>
      <c r="D86" s="25">
        <f t="shared" si="5"/>
        <v>112.56215402306343</v>
      </c>
      <c r="E86" s="232">
        <f>H.Marathon!$E86*(1-$K$2)+Marathon!$E86*$K$2</f>
        <v>0.60855267558192505</v>
      </c>
      <c r="F86" s="19"/>
      <c r="G86" s="1">
        <v>80</v>
      </c>
      <c r="H86" s="184"/>
    </row>
    <row r="87" spans="1:16">
      <c r="A87" s="1">
        <v>81</v>
      </c>
      <c r="C87" s="25"/>
      <c r="D87" s="25">
        <f t="shared" si="5"/>
        <v>115.63060712530222</v>
      </c>
      <c r="E87" s="232">
        <f>H.Marathon!$E87*(1-$K$2)+Marathon!$E87*$K$2</f>
        <v>0.59240370437362233</v>
      </c>
      <c r="F87" s="19"/>
      <c r="G87" s="1">
        <v>81</v>
      </c>
      <c r="H87" s="184"/>
    </row>
    <row r="88" spans="1:16">
      <c r="A88" s="1">
        <v>82</v>
      </c>
      <c r="B88" s="25"/>
      <c r="C88" s="25"/>
      <c r="D88" s="25">
        <f t="shared" si="5"/>
        <v>119.02067752350358</v>
      </c>
      <c r="E88" s="232">
        <f>H.Marathon!$E88*(1-$K$2)+Marathon!$E88*$K$2</f>
        <v>0.57553024756116833</v>
      </c>
      <c r="F88" s="19"/>
      <c r="G88" s="1">
        <v>82</v>
      </c>
      <c r="H88" s="184"/>
    </row>
    <row r="89" spans="1:16">
      <c r="A89" s="1">
        <v>83</v>
      </c>
      <c r="B89" s="25"/>
      <c r="C89" s="25"/>
      <c r="D89" s="25">
        <f t="shared" si="5"/>
        <v>122.75813635805</v>
      </c>
      <c r="E89" s="232">
        <f>H.Marathon!$E89*(1-$K$2)+Marathon!$E89*$K$2</f>
        <v>0.55800781954041156</v>
      </c>
      <c r="F89" s="19"/>
      <c r="G89" s="1">
        <v>83</v>
      </c>
      <c r="H89" s="184"/>
    </row>
    <row r="90" spans="1:16">
      <c r="A90" s="1">
        <v>84</v>
      </c>
      <c r="B90" s="25"/>
      <c r="C90" s="25"/>
      <c r="D90" s="25">
        <f t="shared" si="5"/>
        <v>126.93155877910729</v>
      </c>
      <c r="E90" s="232">
        <f>H.Marathon!$E90*(1-$K$2)+Marathon!$E90*$K$2</f>
        <v>0.53966090591550331</v>
      </c>
      <c r="F90" s="19"/>
      <c r="G90" s="1">
        <v>84</v>
      </c>
      <c r="H90" s="184"/>
    </row>
    <row r="91" spans="1:16">
      <c r="A91" s="1">
        <v>85</v>
      </c>
      <c r="C91" s="25"/>
      <c r="D91" s="25">
        <f t="shared" si="5"/>
        <v>131.56251567967996</v>
      </c>
      <c r="E91" s="232">
        <f>H.Marathon!$E91*(1-$K$2)+Marathon!$E91*$K$2</f>
        <v>0.52066502108229251</v>
      </c>
      <c r="F91" s="19"/>
      <c r="G91" s="1">
        <v>85</v>
      </c>
    </row>
    <row r="92" spans="1:16">
      <c r="A92" s="1">
        <v>86</v>
      </c>
      <c r="C92" s="25"/>
      <c r="D92" s="25">
        <f t="shared" si="5"/>
        <v>136.74833792012257</v>
      </c>
      <c r="E92" s="232">
        <f>H.Marathon!$E92*(1-$K$2)+Marathon!$E92*$K$2</f>
        <v>0.50092016504077885</v>
      </c>
      <c r="F92" s="19"/>
      <c r="G92" s="1">
        <v>86</v>
      </c>
    </row>
    <row r="93" spans="1:16">
      <c r="A93" s="1">
        <v>87</v>
      </c>
      <c r="B93" s="25"/>
      <c r="C93" s="25"/>
      <c r="D93" s="25">
        <f t="shared" si="5"/>
        <v>142.57442523658005</v>
      </c>
      <c r="E93" s="232">
        <f>H.Marathon!$E93*(1-$K$2)+Marathon!$E93*$K$2</f>
        <v>0.48045082339511391</v>
      </c>
      <c r="F93" s="19"/>
      <c r="G93" s="1">
        <v>87</v>
      </c>
    </row>
    <row r="94" spans="1:16">
      <c r="A94" s="1">
        <v>88</v>
      </c>
      <c r="B94" s="25"/>
      <c r="C94" s="25"/>
      <c r="D94" s="25">
        <f t="shared" si="5"/>
        <v>149.15396079960487</v>
      </c>
      <c r="E94" s="232">
        <f>H.Marathon!$E94*(1-$K$2)+Marathon!$E94*$K$2</f>
        <v>0.45925699614529758</v>
      </c>
      <c r="F94" s="19"/>
      <c r="G94" s="1">
        <v>88</v>
      </c>
    </row>
    <row r="95" spans="1:16">
      <c r="A95" s="1">
        <v>89</v>
      </c>
      <c r="B95" s="25"/>
      <c r="C95" s="25"/>
      <c r="D95" s="25">
        <f t="shared" si="5"/>
        <v>156.61090809332302</v>
      </c>
      <c r="E95" s="232">
        <f>H.Marathon!$E95*(1-$K$2)+Marathon!$E95*$K$2</f>
        <v>0.43738971208302724</v>
      </c>
      <c r="F95" s="19"/>
      <c r="G95" s="1">
        <v>89</v>
      </c>
    </row>
    <row r="96" spans="1:16">
      <c r="A96" s="1">
        <v>90</v>
      </c>
      <c r="C96" s="25"/>
      <c r="D96" s="25">
        <f t="shared" si="5"/>
        <v>165.18046750081271</v>
      </c>
      <c r="E96" s="232">
        <f>H.Marathon!$E96*(1-$K$2)+Marathon!$E96*$K$2</f>
        <v>0.41469794241660546</v>
      </c>
      <c r="F96" s="19"/>
      <c r="G96" s="1">
        <v>90</v>
      </c>
    </row>
    <row r="97" spans="1:7">
      <c r="A97" s="1">
        <v>91</v>
      </c>
      <c r="C97" s="25"/>
      <c r="D97" s="25">
        <f t="shared" si="5"/>
        <v>175.02096354968512</v>
      </c>
      <c r="E97" s="232">
        <f>H.Marathon!$E97*(1-$K$2)+Marathon!$E97*$K$2</f>
        <v>0.39138168714603239</v>
      </c>
      <c r="F97" s="19"/>
      <c r="G97" s="1">
        <v>91</v>
      </c>
    </row>
    <row r="98" spans="1:7">
      <c r="A98" s="1">
        <v>92</v>
      </c>
      <c r="B98" s="25"/>
      <c r="C98" s="25"/>
      <c r="D98" s="25">
        <f t="shared" si="5"/>
        <v>186.48769476756777</v>
      </c>
      <c r="E98" s="232">
        <f>H.Marathon!$E98*(1-$K$2)+Marathon!$E98*$K$2</f>
        <v>0.36731646066715651</v>
      </c>
      <c r="F98" s="19"/>
      <c r="G98" s="1">
        <v>92</v>
      </c>
    </row>
    <row r="99" spans="1:7">
      <c r="A99" s="1">
        <v>93</v>
      </c>
      <c r="B99" s="25"/>
      <c r="C99" s="25"/>
      <c r="D99" s="25">
        <f t="shared" si="5"/>
        <v>199.99867856056875</v>
      </c>
      <c r="E99" s="232">
        <f>H.Marathon!$E99*(1-$K$2)+Marathon!$E99*$K$2</f>
        <v>0.34250226297997799</v>
      </c>
      <c r="F99" s="19"/>
      <c r="G99" s="1">
        <v>93</v>
      </c>
    </row>
    <row r="100" spans="1:7">
      <c r="A100" s="1">
        <v>94</v>
      </c>
      <c r="B100" s="25"/>
      <c r="C100" s="25"/>
      <c r="D100" s="25">
        <f t="shared" si="5"/>
        <v>216.04499661319042</v>
      </c>
      <c r="E100" s="232">
        <f>H.Marathon!$E100*(1-$K$2)+Marathon!$E100*$K$2</f>
        <v>0.31706357968864807</v>
      </c>
      <c r="F100" s="19"/>
      <c r="G100" s="1">
        <v>94</v>
      </c>
    </row>
    <row r="101" spans="1:7">
      <c r="A101" s="1">
        <v>95</v>
      </c>
      <c r="C101" s="25"/>
      <c r="D101" s="25">
        <f t="shared" si="5"/>
        <v>235.57658687001819</v>
      </c>
      <c r="E101" s="232">
        <f>H.Marathon!$E101*(1-$K$2)+Marathon!$E101*$K$2</f>
        <v>0.29077592518901541</v>
      </c>
      <c r="F101" s="19"/>
      <c r="G101" s="1">
        <v>95</v>
      </c>
    </row>
    <row r="102" spans="1:7">
      <c r="A102" s="1">
        <v>96</v>
      </c>
      <c r="C102" s="25"/>
      <c r="D102" s="25">
        <f t="shared" si="5"/>
        <v>259.60364351581484</v>
      </c>
      <c r="E102" s="232">
        <f>H.Marathon!$E102*(1-$K$2)+Marathon!$E102*$K$2</f>
        <v>0.26386378508523145</v>
      </c>
      <c r="F102" s="19"/>
      <c r="G102" s="1">
        <v>96</v>
      </c>
    </row>
    <row r="103" spans="1:7">
      <c r="A103" s="1">
        <v>97</v>
      </c>
      <c r="B103" s="25"/>
      <c r="C103" s="25"/>
      <c r="D103" s="25">
        <f t="shared" si="5"/>
        <v>290.00518455514691</v>
      </c>
      <c r="E103" s="232">
        <f>H.Marathon!$E103*(1-$K$2)+Marathon!$E103*$K$2</f>
        <v>0.23620267377314474</v>
      </c>
      <c r="G103" s="1">
        <v>97</v>
      </c>
    </row>
    <row r="104" spans="1:7">
      <c r="A104" s="1">
        <v>98</v>
      </c>
      <c r="B104" s="25"/>
      <c r="C104" s="25"/>
      <c r="D104" s="25">
        <f t="shared" si="5"/>
        <v>329.6556416521982</v>
      </c>
      <c r="E104" s="232">
        <f>H.Marathon!$E104*(1-$K$2)+Marathon!$E104*$K$2</f>
        <v>0.20779259125275532</v>
      </c>
      <c r="G104" s="1">
        <v>98</v>
      </c>
    </row>
    <row r="105" spans="1:7">
      <c r="A105" s="1">
        <v>99</v>
      </c>
      <c r="B105" s="25"/>
      <c r="C105" s="25"/>
      <c r="D105" s="25">
        <f t="shared" si="5"/>
        <v>383.41407119925844</v>
      </c>
      <c r="E105" s="232">
        <f>H.Marathon!$E105*(1-$K$2)+Marathon!$E105*$K$2</f>
        <v>0.17865802312821452</v>
      </c>
      <c r="G105" s="1">
        <v>99</v>
      </c>
    </row>
    <row r="106" spans="1:7">
      <c r="A106" s="1">
        <v>100</v>
      </c>
      <c r="B106" s="212"/>
      <c r="D106" s="25">
        <f t="shared" si="5"/>
        <v>460.35265080417867</v>
      </c>
      <c r="E106" s="232">
        <f>H.Marathon!$E106*(1-$K$2)+Marathon!$E106*$K$2</f>
        <v>0.14879896939952239</v>
      </c>
      <c r="G106" s="1">
        <v>100</v>
      </c>
    </row>
  </sheetData>
  <conditionalFormatting sqref="B85">
    <cfRule type="expression" dxfId="5" priority="1" stopIfTrue="1">
      <formula>#REF!="unvalidatable"</formula>
    </cfRule>
    <cfRule type="expression" dxfId="4" priority="2" stopIfTrue="1">
      <formula>$AJ85="record"</formula>
    </cfRule>
    <cfRule type="expression" dxfId="3" priority="3" stopIfTrue="1">
      <formula>$AJ85="best"</formula>
    </cfRule>
  </conditionalFormatting>
  <conditionalFormatting sqref="H85">
    <cfRule type="expression" dxfId="2" priority="4" stopIfTrue="1">
      <formula>#REF!="unvalidatable"</formula>
    </cfRule>
    <cfRule type="expression" dxfId="1" priority="5" stopIfTrue="1">
      <formula>$AJ85="record"</formula>
    </cfRule>
    <cfRule type="expression" dxfId="0" priority="6" stopIfTrue="1">
      <formula>$AJ85="best"</formula>
    </cfRule>
  </conditionalFormatting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106"/>
  <sheetViews>
    <sheetView zoomScale="87" zoomScaleNormal="87" workbookViewId="0">
      <selection activeCell="A2" sqref="A2"/>
    </sheetView>
  </sheetViews>
  <sheetFormatPr defaultColWidth="9.6640625" defaultRowHeight="15"/>
  <cols>
    <col min="1" max="5" width="9.6640625" style="1" customWidth="1"/>
    <col min="6" max="6" width="13" style="1" customWidth="1"/>
    <col min="7" max="7" width="11.6640625" style="1" customWidth="1"/>
    <col min="8" max="9" width="10.6640625" style="1" customWidth="1"/>
    <col min="10" max="10" width="13.88671875" style="1" customWidth="1"/>
    <col min="11" max="11" width="13.21875" style="1" customWidth="1"/>
    <col min="12" max="12" width="6.33203125" style="1" customWidth="1"/>
    <col min="13" max="13" width="18" style="1" bestFit="1" customWidth="1"/>
    <col min="14" max="14" width="19.21875" style="1" customWidth="1"/>
    <col min="15" max="15" width="16.5546875" style="1" customWidth="1"/>
    <col min="16" max="16" width="18" style="1" bestFit="1" customWidth="1"/>
    <col min="17" max="16384" width="9.6640625" style="1"/>
  </cols>
  <sheetData>
    <row r="1" spans="1:17" ht="29.1" customHeight="1">
      <c r="A1" s="30" t="s">
        <v>1947</v>
      </c>
      <c r="B1" s="31"/>
      <c r="C1" s="32"/>
      <c r="D1" s="33" t="s">
        <v>32</v>
      </c>
      <c r="E1" s="33" t="s">
        <v>71</v>
      </c>
      <c r="F1" s="33" t="s">
        <v>72</v>
      </c>
      <c r="G1" s="33" t="s">
        <v>73</v>
      </c>
      <c r="H1" s="33" t="s">
        <v>74</v>
      </c>
      <c r="I1" s="33" t="s">
        <v>75</v>
      </c>
      <c r="K1" s="220" t="s">
        <v>1359</v>
      </c>
    </row>
    <row r="2" spans="1:17" ht="15.95" customHeight="1">
      <c r="A2" s="30"/>
      <c r="B2" s="31"/>
      <c r="C2" s="32"/>
      <c r="D2" s="33"/>
      <c r="E2" s="33"/>
      <c r="F2" s="84">
        <f>(+H$3-H$4)*F$4/2</f>
        <v>4.725E-2</v>
      </c>
      <c r="G2" s="85">
        <f>(+I$4-I$3)*G$4/2</f>
        <v>0.17219999999999999</v>
      </c>
      <c r="H2" s="86"/>
      <c r="I2" s="86"/>
      <c r="K2" s="225">
        <f>Parameters!Z25</f>
        <v>0.50789044734738709</v>
      </c>
    </row>
    <row r="3" spans="1:17" ht="15.95" customHeight="1">
      <c r="A3" s="30"/>
      <c r="B3" s="31"/>
      <c r="C3" s="32"/>
      <c r="D3" s="33"/>
      <c r="E3" s="33"/>
      <c r="F3" s="84">
        <f>F4/(2*(+H3-H4))</f>
        <v>1.89E-3</v>
      </c>
      <c r="G3" s="85">
        <f>G4/(2*(+I4-I3))</f>
        <v>1.6006097560975613E-4</v>
      </c>
      <c r="H3" s="222">
        <v>22</v>
      </c>
      <c r="I3" s="124">
        <v>24</v>
      </c>
    </row>
    <row r="4" spans="1:17" ht="15.75">
      <c r="A4" s="31"/>
      <c r="B4" s="31"/>
      <c r="C4" s="31"/>
      <c r="D4" s="35">
        <f>Parameters!G25</f>
        <v>5.7638888888888892E-2</v>
      </c>
      <c r="E4" s="36">
        <f>D4*1440</f>
        <v>83</v>
      </c>
      <c r="F4" s="34">
        <v>1.89E-2</v>
      </c>
      <c r="G4" s="84">
        <v>1.0500000000000001E-2</v>
      </c>
      <c r="H4" s="222">
        <v>17</v>
      </c>
      <c r="I4" s="124">
        <v>56.8</v>
      </c>
      <c r="J4" s="25"/>
    </row>
    <row r="5" spans="1:17" ht="15.75">
      <c r="A5" s="31"/>
      <c r="B5" s="31"/>
      <c r="C5" s="31"/>
      <c r="D5" s="35"/>
      <c r="E5" s="31">
        <f>E4*60</f>
        <v>4980</v>
      </c>
      <c r="F5" s="34">
        <v>9.1E-4</v>
      </c>
      <c r="G5" s="84">
        <v>5.1000000000000004E-4</v>
      </c>
      <c r="H5" s="222">
        <v>15</v>
      </c>
      <c r="I5" s="124">
        <v>76.7</v>
      </c>
      <c r="J5" s="25"/>
    </row>
    <row r="6" spans="1:17" ht="48" customHeight="1">
      <c r="A6" s="37" t="s">
        <v>69</v>
      </c>
      <c r="B6" s="37" t="s">
        <v>882</v>
      </c>
      <c r="C6" s="37" t="s">
        <v>70</v>
      </c>
      <c r="D6" s="37" t="s">
        <v>881</v>
      </c>
      <c r="E6" s="37" t="s">
        <v>143</v>
      </c>
      <c r="F6" s="32" t="s">
        <v>142</v>
      </c>
      <c r="G6" s="37" t="s">
        <v>69</v>
      </c>
      <c r="H6" s="203" t="s">
        <v>316</v>
      </c>
      <c r="I6" s="204" t="s">
        <v>423</v>
      </c>
      <c r="J6" s="199" t="s">
        <v>237</v>
      </c>
      <c r="K6" s="199" t="s">
        <v>238</v>
      </c>
      <c r="L6" s="205" t="s">
        <v>239</v>
      </c>
      <c r="M6" s="206" t="s">
        <v>240</v>
      </c>
      <c r="N6" s="199" t="s">
        <v>241</v>
      </c>
      <c r="O6" s="205" t="s">
        <v>242</v>
      </c>
      <c r="P6" s="206" t="s">
        <v>243</v>
      </c>
      <c r="Q6" s="213" t="s">
        <v>419</v>
      </c>
    </row>
    <row r="7" spans="1:17">
      <c r="A7" s="1">
        <v>1</v>
      </c>
      <c r="B7" s="212"/>
      <c r="G7" s="1">
        <v>1</v>
      </c>
    </row>
    <row r="8" spans="1:17">
      <c r="A8" s="1">
        <v>2</v>
      </c>
      <c r="B8" s="212"/>
      <c r="G8" s="1">
        <v>2</v>
      </c>
    </row>
    <row r="9" spans="1:17">
      <c r="A9" s="1">
        <v>3</v>
      </c>
      <c r="B9" s="212"/>
      <c r="C9" s="25"/>
      <c r="D9" s="25"/>
      <c r="E9" s="232">
        <f>H.Marathon!$E9*(1-$K$2)+Marathon!$E9*$K$2</f>
        <v>0.29553816432897895</v>
      </c>
      <c r="G9" s="1">
        <v>3</v>
      </c>
      <c r="H9" s="209"/>
    </row>
    <row r="10" spans="1:17">
      <c r="A10" s="1">
        <v>4</v>
      </c>
      <c r="B10" s="212"/>
      <c r="C10" s="25"/>
      <c r="D10" s="25"/>
      <c r="E10" s="232">
        <f>H.Marathon!$E10*(1-$K$2)+Marathon!$E10*$K$2</f>
        <v>0.37610689272130082</v>
      </c>
      <c r="F10" s="19"/>
      <c r="G10" s="1">
        <v>4</v>
      </c>
      <c r="H10" s="209"/>
    </row>
    <row r="11" spans="1:17">
      <c r="A11" s="1">
        <v>5</v>
      </c>
      <c r="B11" s="212"/>
      <c r="C11" s="25"/>
      <c r="D11" s="25">
        <f t="shared" ref="D11:D42" si="0">E$4/E11</f>
        <v>183.79639154405632</v>
      </c>
      <c r="E11" s="232">
        <f>H.Marathon!$E11*(1-$K$2)+Marathon!$E11*$K$2</f>
        <v>0.45158666773990908</v>
      </c>
      <c r="F11" s="19"/>
      <c r="G11" s="1">
        <v>5</v>
      </c>
      <c r="H11" s="209"/>
    </row>
    <row r="12" spans="1:17">
      <c r="A12" s="1">
        <v>6</v>
      </c>
      <c r="B12" s="212"/>
      <c r="C12" s="25"/>
      <c r="D12" s="25">
        <f t="shared" si="0"/>
        <v>159.01116929711833</v>
      </c>
      <c r="E12" s="232">
        <f>H.Marathon!$E12*(1-$K$2)+Marathon!$E12*$K$2</f>
        <v>0.52197591129533416</v>
      </c>
      <c r="F12" s="19"/>
      <c r="G12" s="1">
        <v>6</v>
      </c>
      <c r="H12" s="209"/>
    </row>
    <row r="13" spans="1:17">
      <c r="A13" s="1">
        <v>7</v>
      </c>
      <c r="B13" s="212"/>
      <c r="C13" s="25"/>
      <c r="D13" s="25">
        <f t="shared" si="0"/>
        <v>141.31859143684801</v>
      </c>
      <c r="E13" s="232">
        <f>H.Marathon!$E13*(1-$K$2)+Marathon!$E13*$K$2</f>
        <v>0.58732541243231096</v>
      </c>
      <c r="F13" s="19"/>
      <c r="G13" s="1">
        <v>7</v>
      </c>
      <c r="H13" s="209"/>
    </row>
    <row r="14" spans="1:17">
      <c r="A14" s="1">
        <v>8</v>
      </c>
      <c r="B14" s="189" t="s">
        <v>883</v>
      </c>
      <c r="C14" s="25">
        <f t="shared" ref="C14:C76" si="1">B14*1440</f>
        <v>206.28333333333333</v>
      </c>
      <c r="D14" s="25">
        <f t="shared" si="0"/>
        <v>128.17836574419164</v>
      </c>
      <c r="E14" s="232">
        <f>H.Marathon!$E14*(1-$K$2)+Marathon!$E14*$K$2</f>
        <v>0.64753517115083925</v>
      </c>
      <c r="F14" s="19">
        <f t="shared" ref="F14:F43" si="2">100*(D14/C14)</f>
        <v>62.137044070869344</v>
      </c>
      <c r="G14" s="1">
        <v>8</v>
      </c>
      <c r="H14" s="189" t="s">
        <v>883</v>
      </c>
      <c r="I14" s="183">
        <v>12377</v>
      </c>
      <c r="J14" s="150" t="s">
        <v>420</v>
      </c>
      <c r="K14" s="150" t="s">
        <v>421</v>
      </c>
      <c r="L14" s="150" t="s">
        <v>155</v>
      </c>
      <c r="M14" s="152">
        <v>39841</v>
      </c>
      <c r="N14" s="151"/>
      <c r="O14" s="157" t="s">
        <v>884</v>
      </c>
      <c r="P14" s="152">
        <v>42792</v>
      </c>
    </row>
    <row r="15" spans="1:17">
      <c r="A15" s="1">
        <v>9</v>
      </c>
      <c r="B15" s="214"/>
      <c r="C15" s="25"/>
      <c r="D15" s="25">
        <f t="shared" si="0"/>
        <v>118.12323921863543</v>
      </c>
      <c r="E15" s="232">
        <f>H.Marathon!$E15*(1-$K$2)+Marathon!$E15*$K$2</f>
        <v>0.70265597649565392</v>
      </c>
      <c r="F15" s="19"/>
      <c r="G15" s="1">
        <v>9</v>
      </c>
      <c r="H15" s="209"/>
    </row>
    <row r="16" spans="1:17">
      <c r="A16" s="1">
        <v>10</v>
      </c>
      <c r="B16" s="214"/>
      <c r="C16" s="25"/>
      <c r="D16" s="25">
        <f t="shared" si="0"/>
        <v>110.2570616272569</v>
      </c>
      <c r="E16" s="232">
        <f>H.Marathon!$E16*(1-$K$2)+Marathon!$E16*$K$2</f>
        <v>0.75278625037728542</v>
      </c>
      <c r="F16" s="19"/>
      <c r="G16" s="1">
        <v>10</v>
      </c>
      <c r="H16" s="209"/>
    </row>
    <row r="17" spans="1:17">
      <c r="A17" s="1">
        <v>11</v>
      </c>
      <c r="B17" s="214"/>
      <c r="C17" s="25"/>
      <c r="D17" s="25">
        <f t="shared" si="0"/>
        <v>104.03912709582654</v>
      </c>
      <c r="E17" s="232">
        <f>H.Marathon!$E17*(1-$K$2)+Marathon!$E17*$K$2</f>
        <v>0.79777678184046863</v>
      </c>
      <c r="F17" s="19"/>
      <c r="G17" s="1">
        <v>11</v>
      </c>
      <c r="H17" s="209"/>
    </row>
    <row r="18" spans="1:17">
      <c r="A18" s="1">
        <v>12</v>
      </c>
      <c r="B18" s="214"/>
      <c r="C18" s="25"/>
      <c r="D18" s="25">
        <f t="shared" si="0"/>
        <v>99.083376114600796</v>
      </c>
      <c r="E18" s="232">
        <f>H.Marathon!$E18*(1-$K$2)+Marathon!$E18*$K$2</f>
        <v>0.83767835992993811</v>
      </c>
      <c r="F18" s="19"/>
      <c r="G18" s="1">
        <v>12</v>
      </c>
      <c r="H18" s="209"/>
    </row>
    <row r="19" spans="1:17">
      <c r="A19" s="1">
        <v>13</v>
      </c>
      <c r="B19" s="214"/>
      <c r="C19" s="25"/>
      <c r="D19" s="25">
        <f t="shared" si="0"/>
        <v>95.130094848494153</v>
      </c>
      <c r="E19" s="232">
        <f>H.Marathon!$E19*(1-$K$2)+Marathon!$E19*$K$2</f>
        <v>0.87248940655622442</v>
      </c>
      <c r="F19" s="19"/>
      <c r="G19" s="1">
        <v>13</v>
      </c>
      <c r="H19" s="209"/>
    </row>
    <row r="20" spans="1:17">
      <c r="A20" s="1">
        <v>14</v>
      </c>
      <c r="B20" s="214"/>
      <c r="C20" s="25"/>
      <c r="D20" s="25">
        <f t="shared" si="0"/>
        <v>91.991149575506867</v>
      </c>
      <c r="E20" s="232">
        <f>H.Marathon!$E20*(1-$K$2)+Marathon!$E20*$K$2</f>
        <v>0.90226071076406233</v>
      </c>
      <c r="F20" s="19"/>
      <c r="G20" s="1">
        <v>14</v>
      </c>
      <c r="H20" s="209"/>
    </row>
    <row r="21" spans="1:17">
      <c r="A21" s="1">
        <v>15</v>
      </c>
      <c r="B21" s="214"/>
      <c r="C21" s="25"/>
      <c r="D21" s="25">
        <f t="shared" si="0"/>
        <v>89.54163792638542</v>
      </c>
      <c r="E21" s="232">
        <f>H.Marathon!$E21*(1-$K$2)+Marathon!$E21*$K$2</f>
        <v>0.92694306159818662</v>
      </c>
      <c r="F21" s="19"/>
      <c r="G21" s="1">
        <v>15</v>
      </c>
      <c r="H21" s="209"/>
    </row>
    <row r="22" spans="1:17">
      <c r="A22" s="1">
        <v>16</v>
      </c>
      <c r="B22" s="214"/>
      <c r="C22" s="25"/>
      <c r="D22" s="25">
        <f t="shared" si="0"/>
        <v>87.688263442567333</v>
      </c>
      <c r="E22" s="232">
        <f>H.Marathon!$E22*(1-$K$2)+Marathon!$E22*$K$2</f>
        <v>0.94653488096912786</v>
      </c>
      <c r="F22" s="19"/>
      <c r="G22" s="1">
        <v>16</v>
      </c>
      <c r="H22" s="209"/>
    </row>
    <row r="23" spans="1:17">
      <c r="A23" s="1">
        <v>17</v>
      </c>
      <c r="B23" s="189" t="s">
        <v>885</v>
      </c>
      <c r="C23" s="25">
        <f t="shared" si="1"/>
        <v>124.56666666666666</v>
      </c>
      <c r="D23" s="25">
        <f t="shared" si="0"/>
        <v>86.251443181066406</v>
      </c>
      <c r="E23" s="232">
        <f>H.Marathon!$E23*(1-$K$2)+Marathon!$E23*$K$2</f>
        <v>0.96230273881631523</v>
      </c>
      <c r="F23" s="19">
        <f t="shared" si="2"/>
        <v>69.24119067251786</v>
      </c>
      <c r="G23" s="1">
        <v>17</v>
      </c>
      <c r="H23" s="189" t="s">
        <v>885</v>
      </c>
      <c r="I23" s="183">
        <v>7474</v>
      </c>
      <c r="J23" s="150" t="s">
        <v>886</v>
      </c>
      <c r="K23" s="150" t="s">
        <v>887</v>
      </c>
      <c r="L23" s="150" t="s">
        <v>283</v>
      </c>
      <c r="M23" s="152">
        <v>21198</v>
      </c>
      <c r="N23" s="151"/>
      <c r="O23" s="157" t="s">
        <v>888</v>
      </c>
      <c r="P23" s="152">
        <v>27511</v>
      </c>
      <c r="Q23" s="151"/>
    </row>
    <row r="24" spans="1:17">
      <c r="A24" s="1">
        <v>18</v>
      </c>
      <c r="B24" s="189" t="s">
        <v>889</v>
      </c>
      <c r="C24" s="25">
        <f t="shared" si="1"/>
        <v>112.18333333333334</v>
      </c>
      <c r="D24" s="25">
        <f t="shared" si="0"/>
        <v>85.009117172936726</v>
      </c>
      <c r="E24" s="232">
        <f>H.Marathon!$E24*(1-$K$2)+Marathon!$E24*$K$2</f>
        <v>0.97636586239509437</v>
      </c>
      <c r="F24" s="19">
        <f t="shared" si="2"/>
        <v>75.776957812750013</v>
      </c>
      <c r="G24" s="1">
        <v>18</v>
      </c>
      <c r="H24" s="189" t="s">
        <v>889</v>
      </c>
      <c r="I24" s="183">
        <v>6731</v>
      </c>
      <c r="J24" s="150" t="s">
        <v>890</v>
      </c>
      <c r="K24" s="150" t="s">
        <v>891</v>
      </c>
      <c r="L24" s="150" t="s">
        <v>158</v>
      </c>
      <c r="M24" s="152">
        <v>23764</v>
      </c>
      <c r="N24" s="151"/>
      <c r="O24" s="157" t="s">
        <v>892</v>
      </c>
      <c r="P24" s="152">
        <v>30367</v>
      </c>
      <c r="Q24" s="151"/>
    </row>
    <row r="25" spans="1:17">
      <c r="A25" s="1">
        <v>19</v>
      </c>
      <c r="B25" s="189" t="s">
        <v>893</v>
      </c>
      <c r="C25" s="25">
        <f t="shared" si="1"/>
        <v>106.5</v>
      </c>
      <c r="D25" s="25">
        <f t="shared" si="0"/>
        <v>83.974318395742884</v>
      </c>
      <c r="E25" s="232">
        <f>H.Marathon!$E25*(1-$K$2)+Marathon!$E25*$K$2</f>
        <v>0.98839742418448395</v>
      </c>
      <c r="F25" s="19">
        <f t="shared" si="2"/>
        <v>78.849125254218663</v>
      </c>
      <c r="G25" s="1">
        <v>19</v>
      </c>
      <c r="H25" s="189" t="s">
        <v>893</v>
      </c>
      <c r="I25" s="183">
        <v>6390</v>
      </c>
      <c r="J25" s="150" t="s">
        <v>894</v>
      </c>
      <c r="K25" s="150" t="s">
        <v>895</v>
      </c>
      <c r="L25" s="150" t="s">
        <v>158</v>
      </c>
      <c r="M25" s="152">
        <v>27446</v>
      </c>
      <c r="N25" s="151"/>
      <c r="O25" s="157" t="s">
        <v>892</v>
      </c>
      <c r="P25" s="152">
        <v>34749</v>
      </c>
      <c r="Q25" s="151"/>
    </row>
    <row r="26" spans="1:17">
      <c r="A26" s="1">
        <v>20</v>
      </c>
      <c r="B26" s="189" t="s">
        <v>896</v>
      </c>
      <c r="C26" s="25">
        <f t="shared" si="1"/>
        <v>103.95</v>
      </c>
      <c r="D26" s="25">
        <f t="shared" si="0"/>
        <v>83.33861509200311</v>
      </c>
      <c r="E26" s="232">
        <f>H.Marathon!$E26*(1-$K$2)+Marathon!$E26*$K$2</f>
        <v>0.99593687642122086</v>
      </c>
      <c r="F26" s="19">
        <f t="shared" si="2"/>
        <v>80.171827890334882</v>
      </c>
      <c r="G26" s="1">
        <v>20</v>
      </c>
      <c r="H26" s="189" t="s">
        <v>896</v>
      </c>
      <c r="I26" s="183">
        <v>6237</v>
      </c>
      <c r="J26" s="150" t="s">
        <v>897</v>
      </c>
      <c r="K26" s="150" t="s">
        <v>898</v>
      </c>
      <c r="L26" s="150" t="s">
        <v>158</v>
      </c>
      <c r="M26" s="152">
        <v>34881</v>
      </c>
      <c r="N26" s="151"/>
      <c r="O26" s="157" t="s">
        <v>892</v>
      </c>
      <c r="P26" s="152">
        <v>42421</v>
      </c>
      <c r="Q26" s="151"/>
    </row>
    <row r="27" spans="1:17">
      <c r="A27" s="1">
        <v>21</v>
      </c>
      <c r="B27" s="189" t="s">
        <v>899</v>
      </c>
      <c r="C27" s="25">
        <f t="shared" si="1"/>
        <v>103.43333333333332</v>
      </c>
      <c r="D27" s="25">
        <f t="shared" si="0"/>
        <v>83.084395541638457</v>
      </c>
      <c r="E27" s="232">
        <f>H.Marathon!$E27*(1-$K$2)+Marathon!$E27*$K$2</f>
        <v>0.99898421910530522</v>
      </c>
      <c r="F27" s="19">
        <f t="shared" si="2"/>
        <v>80.326518409576337</v>
      </c>
      <c r="G27" s="1">
        <v>21</v>
      </c>
      <c r="H27" s="189" t="s">
        <v>899</v>
      </c>
      <c r="I27" s="183">
        <v>6206</v>
      </c>
      <c r="J27" s="150" t="s">
        <v>900</v>
      </c>
      <c r="K27" s="150" t="s">
        <v>901</v>
      </c>
      <c r="L27" s="150" t="s">
        <v>158</v>
      </c>
      <c r="M27" s="152">
        <v>32941</v>
      </c>
      <c r="N27" s="151"/>
      <c r="O27" s="157" t="s">
        <v>902</v>
      </c>
      <c r="P27" s="152">
        <v>40958</v>
      </c>
      <c r="Q27" s="151"/>
    </row>
    <row r="28" spans="1:17">
      <c r="A28" s="1">
        <v>22</v>
      </c>
      <c r="B28" s="189" t="s">
        <v>903</v>
      </c>
      <c r="C28" s="25">
        <f t="shared" si="1"/>
        <v>99.95</v>
      </c>
      <c r="D28" s="25">
        <f t="shared" si="0"/>
        <v>83</v>
      </c>
      <c r="E28" s="232">
        <f>H.Marathon!$E28*(1-$K$2)+Marathon!$E28*$K$2</f>
        <v>1</v>
      </c>
      <c r="F28" s="19">
        <f t="shared" si="2"/>
        <v>83.04152076038018</v>
      </c>
      <c r="G28" s="1">
        <v>22</v>
      </c>
      <c r="H28" s="189" t="s">
        <v>903</v>
      </c>
      <c r="I28" s="183">
        <v>5997</v>
      </c>
      <c r="J28" s="150" t="s">
        <v>904</v>
      </c>
      <c r="K28" s="150" t="s">
        <v>905</v>
      </c>
      <c r="L28" s="151" t="s">
        <v>163</v>
      </c>
      <c r="M28" s="152">
        <v>34350</v>
      </c>
      <c r="N28" s="151"/>
      <c r="O28" s="157" t="s">
        <v>261</v>
      </c>
      <c r="P28" s="152">
        <v>42638</v>
      </c>
      <c r="Q28" s="151"/>
    </row>
    <row r="29" spans="1:17">
      <c r="A29" s="1">
        <v>23</v>
      </c>
      <c r="B29" s="189" t="s">
        <v>906</v>
      </c>
      <c r="C29" s="25">
        <f t="shared" si="1"/>
        <v>99.100000000000009</v>
      </c>
      <c r="D29" s="25">
        <f t="shared" si="0"/>
        <v>83</v>
      </c>
      <c r="E29" s="232">
        <f>H.Marathon!$E29*(1-$K$2)+Marathon!$E29*$K$2</f>
        <v>1</v>
      </c>
      <c r="F29" s="19">
        <f t="shared" si="2"/>
        <v>83.753784056508579</v>
      </c>
      <c r="G29" s="1">
        <v>23</v>
      </c>
      <c r="H29" s="189" t="s">
        <v>906</v>
      </c>
      <c r="I29" s="183">
        <v>5946</v>
      </c>
      <c r="J29" s="150" t="s">
        <v>907</v>
      </c>
      <c r="K29" s="150" t="s">
        <v>908</v>
      </c>
      <c r="L29" s="151" t="s">
        <v>163</v>
      </c>
      <c r="M29" s="152">
        <v>34223</v>
      </c>
      <c r="N29" s="151"/>
      <c r="O29" s="157" t="s">
        <v>261</v>
      </c>
      <c r="P29" s="152">
        <v>42638</v>
      </c>
      <c r="Q29" s="151"/>
    </row>
    <row r="30" spans="1:17">
      <c r="A30" s="1">
        <v>24</v>
      </c>
      <c r="B30" s="189" t="s">
        <v>909</v>
      </c>
      <c r="C30" s="25">
        <f t="shared" si="1"/>
        <v>103.08333333333333</v>
      </c>
      <c r="D30" s="25">
        <f t="shared" si="0"/>
        <v>83</v>
      </c>
      <c r="E30" s="232">
        <f>H.Marathon!$E30*(1-$K$2)+Marathon!$E30*$K$2</f>
        <v>1</v>
      </c>
      <c r="F30" s="19">
        <f t="shared" si="2"/>
        <v>80.517380759902991</v>
      </c>
      <c r="G30" s="1">
        <v>24</v>
      </c>
      <c r="H30" s="189" t="s">
        <v>909</v>
      </c>
      <c r="I30" s="183">
        <v>6185</v>
      </c>
      <c r="J30" s="150" t="s">
        <v>910</v>
      </c>
      <c r="K30" s="150" t="s">
        <v>911</v>
      </c>
      <c r="L30" s="150" t="s">
        <v>158</v>
      </c>
      <c r="M30" s="152">
        <v>27976</v>
      </c>
      <c r="N30" s="151"/>
      <c r="O30" s="157" t="s">
        <v>892</v>
      </c>
      <c r="P30" s="152">
        <v>36940</v>
      </c>
      <c r="Q30" s="151"/>
    </row>
    <row r="31" spans="1:17">
      <c r="A31" s="1">
        <v>25</v>
      </c>
      <c r="B31" s="189" t="s">
        <v>912</v>
      </c>
      <c r="C31" s="25">
        <f t="shared" si="1"/>
        <v>99.149999999999991</v>
      </c>
      <c r="D31" s="25">
        <f t="shared" si="0"/>
        <v>83</v>
      </c>
      <c r="E31" s="232">
        <f>H.Marathon!$E31*(1-$K$2)+Marathon!$E31*$K$2</f>
        <v>1</v>
      </c>
      <c r="F31" s="19">
        <f t="shared" si="2"/>
        <v>83.711548159354521</v>
      </c>
      <c r="G31" s="1">
        <v>25</v>
      </c>
      <c r="H31" s="189" t="s">
        <v>912</v>
      </c>
      <c r="I31" s="183">
        <v>5949</v>
      </c>
      <c r="J31" s="150" t="s">
        <v>360</v>
      </c>
      <c r="K31" s="150" t="s">
        <v>913</v>
      </c>
      <c r="L31" s="150" t="s">
        <v>158</v>
      </c>
      <c r="M31" s="152">
        <v>28674</v>
      </c>
      <c r="N31" s="151"/>
      <c r="O31" s="157" t="s">
        <v>892</v>
      </c>
      <c r="P31" s="152">
        <v>38032</v>
      </c>
      <c r="Q31" s="151"/>
    </row>
    <row r="32" spans="1:17">
      <c r="A32" s="1">
        <v>26</v>
      </c>
      <c r="B32" s="189" t="s">
        <v>914</v>
      </c>
      <c r="C32" s="25">
        <f t="shared" si="1"/>
        <v>104.60000000000001</v>
      </c>
      <c r="D32" s="25">
        <f t="shared" si="0"/>
        <v>83</v>
      </c>
      <c r="E32" s="232">
        <f>H.Marathon!$E32*(1-$K$2)+Marathon!$E32*$K$2</f>
        <v>1</v>
      </c>
      <c r="F32" s="19">
        <f t="shared" si="2"/>
        <v>79.349904397705544</v>
      </c>
      <c r="G32" s="1">
        <v>26</v>
      </c>
      <c r="H32" s="189" t="s">
        <v>914</v>
      </c>
      <c r="I32" s="183">
        <v>6276</v>
      </c>
      <c r="J32" s="150" t="s">
        <v>915</v>
      </c>
      <c r="K32" s="150" t="s">
        <v>916</v>
      </c>
      <c r="L32" s="150" t="s">
        <v>158</v>
      </c>
      <c r="M32" s="152">
        <v>27981</v>
      </c>
      <c r="N32" s="151"/>
      <c r="O32" s="157" t="s">
        <v>892</v>
      </c>
      <c r="P32" s="152">
        <v>37668</v>
      </c>
      <c r="Q32" s="151"/>
    </row>
    <row r="33" spans="1:17">
      <c r="A33" s="1">
        <v>27</v>
      </c>
      <c r="B33" s="189" t="s">
        <v>917</v>
      </c>
      <c r="C33" s="25">
        <f t="shared" si="1"/>
        <v>103.74999999999999</v>
      </c>
      <c r="D33" s="25">
        <f t="shared" si="0"/>
        <v>83</v>
      </c>
      <c r="E33" s="232">
        <f>H.Marathon!$E33*(1-$K$2)+Marathon!$E33*$K$2</f>
        <v>1</v>
      </c>
      <c r="F33" s="19">
        <f t="shared" si="2"/>
        <v>80.000000000000014</v>
      </c>
      <c r="G33" s="1">
        <v>27</v>
      </c>
      <c r="H33" s="189" t="s">
        <v>917</v>
      </c>
      <c r="I33" s="183">
        <v>6225</v>
      </c>
      <c r="J33" s="150" t="s">
        <v>632</v>
      </c>
      <c r="K33" s="150" t="s">
        <v>763</v>
      </c>
      <c r="L33" s="151" t="s">
        <v>160</v>
      </c>
      <c r="M33" s="152">
        <v>32485</v>
      </c>
      <c r="N33" s="151"/>
      <c r="O33" s="157" t="s">
        <v>261</v>
      </c>
      <c r="P33" s="152">
        <v>42638</v>
      </c>
      <c r="Q33" s="151"/>
    </row>
    <row r="34" spans="1:17">
      <c r="A34" s="1">
        <v>28</v>
      </c>
      <c r="B34" s="189" t="s">
        <v>918</v>
      </c>
      <c r="C34" s="25">
        <f t="shared" si="1"/>
        <v>101.95</v>
      </c>
      <c r="D34" s="25">
        <f t="shared" si="0"/>
        <v>83</v>
      </c>
      <c r="E34" s="232">
        <f>H.Marathon!$E34*(1-$K$2)+Marathon!$E34*$K$2</f>
        <v>1</v>
      </c>
      <c r="F34" s="19">
        <f t="shared" si="2"/>
        <v>81.412457086807251</v>
      </c>
      <c r="G34" s="1">
        <v>28</v>
      </c>
      <c r="H34" s="189" t="s">
        <v>918</v>
      </c>
      <c r="I34" s="183">
        <v>6117</v>
      </c>
      <c r="J34" s="150" t="s">
        <v>919</v>
      </c>
      <c r="K34" s="150" t="s">
        <v>920</v>
      </c>
      <c r="L34" s="150" t="s">
        <v>158</v>
      </c>
      <c r="M34" s="152">
        <v>26425</v>
      </c>
      <c r="N34" s="151"/>
      <c r="O34" s="157" t="s">
        <v>892</v>
      </c>
      <c r="P34" s="152">
        <v>36940</v>
      </c>
      <c r="Q34" s="151"/>
    </row>
    <row r="35" spans="1:17">
      <c r="A35" s="1">
        <v>29</v>
      </c>
      <c r="B35" s="189" t="s">
        <v>921</v>
      </c>
      <c r="C35" s="25">
        <f t="shared" si="1"/>
        <v>106.48333333333332</v>
      </c>
      <c r="D35" s="25">
        <f t="shared" si="0"/>
        <v>83</v>
      </c>
      <c r="E35" s="232">
        <f>H.Marathon!$E35*(1-$K$2)+Marathon!$E35*$K$2</f>
        <v>1</v>
      </c>
      <c r="F35" s="19">
        <f t="shared" si="2"/>
        <v>77.946470496165304</v>
      </c>
      <c r="G35" s="1">
        <v>29</v>
      </c>
      <c r="H35" s="189" t="s">
        <v>921</v>
      </c>
      <c r="I35" s="183">
        <v>6389</v>
      </c>
      <c r="J35" s="150" t="s">
        <v>922</v>
      </c>
      <c r="K35" s="150" t="s">
        <v>923</v>
      </c>
      <c r="L35" s="150" t="s">
        <v>158</v>
      </c>
      <c r="M35" s="152">
        <v>30251</v>
      </c>
      <c r="N35" s="151"/>
      <c r="O35" s="157" t="s">
        <v>902</v>
      </c>
      <c r="P35" s="152">
        <v>40958</v>
      </c>
      <c r="Q35" s="151"/>
    </row>
    <row r="36" spans="1:17" ht="15.75">
      <c r="A36" s="1">
        <v>30</v>
      </c>
      <c r="B36" s="189" t="s">
        <v>811</v>
      </c>
      <c r="C36" s="25">
        <f t="shared" si="1"/>
        <v>94</v>
      </c>
      <c r="D36" s="25">
        <f t="shared" si="0"/>
        <v>83</v>
      </c>
      <c r="E36" s="232">
        <f>H.Marathon!$E36*(1-$K$2)+Marathon!$E36*$K$2</f>
        <v>1</v>
      </c>
      <c r="F36" s="19">
        <f t="shared" si="2"/>
        <v>88.297872340425528</v>
      </c>
      <c r="G36" s="1">
        <v>30</v>
      </c>
      <c r="H36" s="189" t="s">
        <v>811</v>
      </c>
      <c r="I36" s="183">
        <v>5640</v>
      </c>
      <c r="J36" s="150" t="s">
        <v>411</v>
      </c>
      <c r="K36" s="150" t="s">
        <v>412</v>
      </c>
      <c r="L36" s="150" t="s">
        <v>179</v>
      </c>
      <c r="M36" s="152">
        <v>33970</v>
      </c>
      <c r="N36" s="193" t="s">
        <v>924</v>
      </c>
      <c r="O36" s="193" t="s">
        <v>358</v>
      </c>
      <c r="P36" s="194">
        <v>45207</v>
      </c>
      <c r="Q36" s="151"/>
    </row>
    <row r="37" spans="1:17">
      <c r="A37" s="1">
        <v>31</v>
      </c>
      <c r="B37" s="189" t="s">
        <v>925</v>
      </c>
      <c r="C37" s="25">
        <f t="shared" si="1"/>
        <v>106.43333333333334</v>
      </c>
      <c r="D37" s="25">
        <f t="shared" si="0"/>
        <v>83</v>
      </c>
      <c r="E37" s="232">
        <f>H.Marathon!$E37*(1-$K$2)+Marathon!$E37*$K$2</f>
        <v>1</v>
      </c>
      <c r="F37" s="19">
        <f t="shared" si="2"/>
        <v>77.983088005010956</v>
      </c>
      <c r="G37" s="1">
        <v>31</v>
      </c>
      <c r="H37" s="189" t="s">
        <v>925</v>
      </c>
      <c r="I37" s="183">
        <v>6386</v>
      </c>
      <c r="J37" s="150" t="s">
        <v>926</v>
      </c>
      <c r="K37" s="150" t="s">
        <v>927</v>
      </c>
      <c r="L37" s="150" t="s">
        <v>179</v>
      </c>
      <c r="M37" s="152">
        <v>24578</v>
      </c>
      <c r="N37" s="151"/>
      <c r="O37" s="157" t="s">
        <v>928</v>
      </c>
      <c r="P37" s="152">
        <v>36212</v>
      </c>
      <c r="Q37" s="151"/>
    </row>
    <row r="38" spans="1:17">
      <c r="A38" s="1">
        <v>32</v>
      </c>
      <c r="B38" s="189" t="s">
        <v>899</v>
      </c>
      <c r="C38" s="25">
        <f t="shared" si="1"/>
        <v>103.43333333333332</v>
      </c>
      <c r="D38" s="25">
        <f t="shared" si="0"/>
        <v>83.008169822663575</v>
      </c>
      <c r="E38" s="232">
        <f>H.Marathon!$E38*(1-$K$2)+Marathon!$E38*$K$2</f>
        <v>0.99990157808946956</v>
      </c>
      <c r="F38" s="19">
        <f t="shared" si="2"/>
        <v>80.252822902994112</v>
      </c>
      <c r="G38" s="1">
        <v>32</v>
      </c>
      <c r="H38" s="189" t="s">
        <v>899</v>
      </c>
      <c r="I38" s="183">
        <v>6206</v>
      </c>
      <c r="J38" s="150" t="s">
        <v>929</v>
      </c>
      <c r="K38" s="150" t="s">
        <v>930</v>
      </c>
      <c r="L38" s="150" t="s">
        <v>158</v>
      </c>
      <c r="M38" s="152">
        <v>21843</v>
      </c>
      <c r="N38" s="151"/>
      <c r="O38" s="157" t="s">
        <v>931</v>
      </c>
      <c r="P38" s="152">
        <v>33580</v>
      </c>
      <c r="Q38" s="151"/>
    </row>
    <row r="39" spans="1:17">
      <c r="A39" s="1">
        <v>33</v>
      </c>
      <c r="B39" s="189" t="s">
        <v>932</v>
      </c>
      <c r="C39" s="25">
        <f t="shared" si="1"/>
        <v>104.14999999999999</v>
      </c>
      <c r="D39" s="25">
        <f t="shared" si="0"/>
        <v>83.057222553689655</v>
      </c>
      <c r="E39" s="232">
        <f>H.Marathon!$E39*(1-$K$2)+Marathon!$E39*$K$2</f>
        <v>0.99931104662628634</v>
      </c>
      <c r="F39" s="19">
        <f t="shared" si="2"/>
        <v>79.747693282467267</v>
      </c>
      <c r="G39" s="1">
        <v>33</v>
      </c>
      <c r="H39" s="189" t="s">
        <v>932</v>
      </c>
      <c r="I39" s="183">
        <v>6249</v>
      </c>
      <c r="J39" s="150" t="s">
        <v>933</v>
      </c>
      <c r="K39" s="150" t="s">
        <v>934</v>
      </c>
      <c r="L39" s="150" t="s">
        <v>630</v>
      </c>
      <c r="M39" s="152">
        <v>25615</v>
      </c>
      <c r="N39" s="151"/>
      <c r="O39" s="157" t="s">
        <v>935</v>
      </c>
      <c r="P39" s="152">
        <v>37836</v>
      </c>
      <c r="Q39" s="151"/>
    </row>
    <row r="40" spans="1:17">
      <c r="A40" s="1">
        <v>34</v>
      </c>
      <c r="B40" s="189" t="s">
        <v>936</v>
      </c>
      <c r="C40" s="25">
        <f t="shared" si="1"/>
        <v>103.81666666666668</v>
      </c>
      <c r="D40" s="25">
        <f t="shared" si="0"/>
        <v>83.143204478066323</v>
      </c>
      <c r="E40" s="232">
        <f>H.Marathon!$E40*(1-$K$2)+Marathon!$E40*$K$2</f>
        <v>0.9982776165657159</v>
      </c>
      <c r="F40" s="19">
        <f t="shared" si="2"/>
        <v>80.086567164616767</v>
      </c>
      <c r="G40" s="1">
        <v>34</v>
      </c>
      <c r="H40" s="189" t="s">
        <v>936</v>
      </c>
      <c r="I40" s="183">
        <v>6229</v>
      </c>
      <c r="J40" s="150" t="s">
        <v>937</v>
      </c>
      <c r="K40" s="150" t="s">
        <v>938</v>
      </c>
      <c r="L40" s="150" t="s">
        <v>158</v>
      </c>
      <c r="M40" s="152">
        <v>27713</v>
      </c>
      <c r="N40" s="151"/>
      <c r="O40" s="157" t="s">
        <v>892</v>
      </c>
      <c r="P40" s="152">
        <v>40230</v>
      </c>
      <c r="Q40" s="151"/>
    </row>
    <row r="41" spans="1:17" ht="15.75">
      <c r="A41" s="1">
        <v>35</v>
      </c>
      <c r="B41" s="197" t="s">
        <v>939</v>
      </c>
      <c r="C41" s="25">
        <f t="shared" si="1"/>
        <v>96.083333333333343</v>
      </c>
      <c r="D41" s="25">
        <f t="shared" si="0"/>
        <v>83.26634506483569</v>
      </c>
      <c r="E41" s="232">
        <f>H.Marathon!$E41*(1-$K$2)+Marathon!$E41*$K$2</f>
        <v>0.99680128790775802</v>
      </c>
      <c r="F41" s="19">
        <f t="shared" si="2"/>
        <v>86.660549937383195</v>
      </c>
      <c r="G41" s="1">
        <v>35</v>
      </c>
      <c r="H41" s="197" t="s">
        <v>939</v>
      </c>
      <c r="I41" s="186">
        <v>5365</v>
      </c>
      <c r="J41" s="185" t="s">
        <v>188</v>
      </c>
      <c r="K41" s="185" t="s">
        <v>940</v>
      </c>
      <c r="L41" s="185" t="s">
        <v>160</v>
      </c>
      <c r="M41" s="200">
        <v>29969</v>
      </c>
      <c r="N41" s="207" t="s">
        <v>941</v>
      </c>
      <c r="O41" s="191" t="s">
        <v>942</v>
      </c>
      <c r="P41" s="200">
        <v>42848</v>
      </c>
      <c r="Q41" s="201" t="s">
        <v>597</v>
      </c>
    </row>
    <row r="42" spans="1:17">
      <c r="A42" s="1">
        <v>36</v>
      </c>
      <c r="B42" s="189" t="s">
        <v>943</v>
      </c>
      <c r="C42" s="25">
        <f t="shared" si="1"/>
        <v>103.39999999999999</v>
      </c>
      <c r="D42" s="25">
        <f t="shared" si="0"/>
        <v>83.469453214596427</v>
      </c>
      <c r="E42" s="232">
        <f>H.Marathon!$E42*(1-$K$2)+Marathon!$E42*$K$2</f>
        <v>0.9943757482945349</v>
      </c>
      <c r="F42" s="19">
        <f t="shared" si="2"/>
        <v>80.724809685296364</v>
      </c>
      <c r="G42" s="1">
        <v>36</v>
      </c>
      <c r="H42" s="189" t="s">
        <v>943</v>
      </c>
      <c r="I42" s="183">
        <v>6204</v>
      </c>
      <c r="J42" s="150" t="s">
        <v>944</v>
      </c>
      <c r="K42" s="150" t="s">
        <v>945</v>
      </c>
      <c r="L42" s="150" t="s">
        <v>172</v>
      </c>
      <c r="M42" s="152">
        <v>26889</v>
      </c>
      <c r="N42" s="151"/>
      <c r="O42" s="157" t="s">
        <v>892</v>
      </c>
      <c r="P42" s="152">
        <v>40230</v>
      </c>
      <c r="Q42" s="151"/>
    </row>
    <row r="43" spans="1:17">
      <c r="A43" s="1">
        <v>37</v>
      </c>
      <c r="B43" s="189" t="s">
        <v>946</v>
      </c>
      <c r="C43" s="25">
        <f t="shared" si="1"/>
        <v>106.11666666666667</v>
      </c>
      <c r="D43" s="25">
        <f t="shared" ref="D43:D74" si="3">E$4/E43</f>
        <v>83.783890768455763</v>
      </c>
      <c r="E43" s="232">
        <f>H.Marathon!$E43*(1-$K$2)+Marathon!$E43*$K$2</f>
        <v>0.99064389632343386</v>
      </c>
      <c r="F43" s="19">
        <f t="shared" si="2"/>
        <v>78.954506770965054</v>
      </c>
      <c r="G43" s="1">
        <v>37</v>
      </c>
      <c r="H43" s="189" t="s">
        <v>946</v>
      </c>
      <c r="I43" s="183">
        <v>6367</v>
      </c>
      <c r="J43" s="150" t="s">
        <v>947</v>
      </c>
      <c r="K43" s="150" t="s">
        <v>948</v>
      </c>
      <c r="L43" s="150" t="s">
        <v>155</v>
      </c>
      <c r="M43" s="152">
        <v>28680</v>
      </c>
      <c r="N43" s="151"/>
      <c r="O43" s="157" t="s">
        <v>336</v>
      </c>
      <c r="P43" s="152">
        <v>42413</v>
      </c>
      <c r="Q43" s="151"/>
    </row>
    <row r="44" spans="1:17">
      <c r="A44" s="1">
        <v>38</v>
      </c>
      <c r="B44" s="189" t="s">
        <v>949</v>
      </c>
      <c r="C44" s="25">
        <f t="shared" si="1"/>
        <v>107.05000000000001</v>
      </c>
      <c r="D44" s="25">
        <f t="shared" si="3"/>
        <v>84.220717653286073</v>
      </c>
      <c r="E44" s="232">
        <f>H.Marathon!$E44*(1-$K$2)+Marathon!$E44*$K$2</f>
        <v>0.9855057319944549</v>
      </c>
      <c r="F44" s="19">
        <f t="shared" ref="F44:F75" si="4">100*(D44/C44)</f>
        <v>78.674187438847326</v>
      </c>
      <c r="G44" s="1">
        <v>38</v>
      </c>
      <c r="H44" s="189" t="s">
        <v>949</v>
      </c>
      <c r="I44" s="183">
        <v>6423</v>
      </c>
      <c r="J44" s="150" t="s">
        <v>950</v>
      </c>
      <c r="K44" s="150" t="s">
        <v>951</v>
      </c>
      <c r="L44" s="150" t="s">
        <v>158</v>
      </c>
      <c r="M44" s="152">
        <v>24275</v>
      </c>
      <c r="N44" s="151"/>
      <c r="O44" s="157" t="s">
        <v>892</v>
      </c>
      <c r="P44" s="152">
        <v>38403</v>
      </c>
      <c r="Q44" s="151"/>
    </row>
    <row r="45" spans="1:17">
      <c r="A45" s="1">
        <v>39</v>
      </c>
      <c r="B45" s="189" t="s">
        <v>952</v>
      </c>
      <c r="C45" s="25">
        <f t="shared" si="1"/>
        <v>107.25</v>
      </c>
      <c r="D45" s="25">
        <f t="shared" si="3"/>
        <v>84.775083836734339</v>
      </c>
      <c r="E45" s="232">
        <f>H.Marathon!$E45*(1-$K$2)+Marathon!$E45*$K$2</f>
        <v>0.97906125530759813</v>
      </c>
      <c r="F45" s="19">
        <f t="shared" si="4"/>
        <v>79.044367213738312</v>
      </c>
      <c r="G45" s="1">
        <v>39</v>
      </c>
      <c r="H45" s="189" t="s">
        <v>952</v>
      </c>
      <c r="I45" s="183">
        <v>6435</v>
      </c>
      <c r="J45" s="150" t="s">
        <v>950</v>
      </c>
      <c r="K45" s="150" t="s">
        <v>951</v>
      </c>
      <c r="L45" s="150" t="s">
        <v>158</v>
      </c>
      <c r="M45" s="152">
        <v>24275</v>
      </c>
      <c r="N45" s="151"/>
      <c r="O45" s="157" t="s">
        <v>892</v>
      </c>
      <c r="P45" s="152">
        <v>38767</v>
      </c>
      <c r="Q45" s="151"/>
    </row>
    <row r="46" spans="1:17" ht="15.75">
      <c r="A46" s="1">
        <v>40</v>
      </c>
      <c r="B46" s="189" t="s">
        <v>953</v>
      </c>
      <c r="C46" s="25">
        <f t="shared" si="1"/>
        <v>103.78333333333335</v>
      </c>
      <c r="D46" s="25">
        <f t="shared" si="3"/>
        <v>85.447097613252694</v>
      </c>
      <c r="E46" s="232">
        <f>H.Marathon!$E46*(1-$K$2)+Marathon!$E46*$K$2</f>
        <v>0.97136125530759809</v>
      </c>
      <c r="F46" s="19">
        <f t="shared" si="4"/>
        <v>82.332196190704366</v>
      </c>
      <c r="G46" s="1">
        <v>40</v>
      </c>
      <c r="H46" s="189" t="s">
        <v>953</v>
      </c>
      <c r="I46" s="183">
        <v>6227</v>
      </c>
      <c r="J46" s="150" t="s">
        <v>954</v>
      </c>
      <c r="K46" s="150" t="s">
        <v>955</v>
      </c>
      <c r="L46" s="150"/>
      <c r="M46" s="152">
        <v>30585</v>
      </c>
      <c r="N46" s="193" t="s">
        <v>924</v>
      </c>
      <c r="O46" s="193" t="s">
        <v>358</v>
      </c>
      <c r="P46" s="194">
        <v>45207</v>
      </c>
      <c r="Q46" s="151"/>
    </row>
    <row r="47" spans="1:17">
      <c r="A47" s="1">
        <v>41</v>
      </c>
      <c r="B47" s="189" t="s">
        <v>956</v>
      </c>
      <c r="C47" s="25">
        <f t="shared" si="1"/>
        <v>113.21666666666667</v>
      </c>
      <c r="D47" s="25">
        <f t="shared" si="3"/>
        <v>86.156954589442975</v>
      </c>
      <c r="E47" s="232">
        <f>H.Marathon!$E47*(1-$K$2)+Marathon!$E47*$K$2</f>
        <v>0.96335809912865922</v>
      </c>
      <c r="F47" s="19">
        <f t="shared" si="4"/>
        <v>76.099179675645203</v>
      </c>
      <c r="G47" s="1">
        <v>41</v>
      </c>
      <c r="H47" s="189" t="s">
        <v>956</v>
      </c>
      <c r="I47" s="183">
        <v>6793</v>
      </c>
      <c r="J47" s="150" t="s">
        <v>957</v>
      </c>
      <c r="K47" s="150" t="s">
        <v>958</v>
      </c>
      <c r="L47" s="150" t="s">
        <v>158</v>
      </c>
      <c r="M47" s="152">
        <v>23187</v>
      </c>
      <c r="N47" s="151"/>
      <c r="O47" s="157" t="s">
        <v>892</v>
      </c>
      <c r="P47" s="152">
        <v>38403</v>
      </c>
      <c r="Q47" s="151"/>
    </row>
    <row r="48" spans="1:17">
      <c r="A48" s="1">
        <v>42</v>
      </c>
      <c r="B48" s="189" t="s">
        <v>959</v>
      </c>
      <c r="C48" s="25">
        <f t="shared" si="1"/>
        <v>105.06666666666668</v>
      </c>
      <c r="D48" s="25">
        <f t="shared" si="3"/>
        <v>86.874229780933433</v>
      </c>
      <c r="E48" s="232">
        <f>H.Marathon!$E48*(1-$K$2)+Marathon!$E48*$K$2</f>
        <v>0.95540415390498556</v>
      </c>
      <c r="F48" s="19">
        <f t="shared" si="4"/>
        <v>82.684863370177752</v>
      </c>
      <c r="G48" s="1">
        <v>42</v>
      </c>
      <c r="H48" s="189" t="s">
        <v>959</v>
      </c>
      <c r="I48" s="183">
        <v>6304</v>
      </c>
      <c r="J48" s="150" t="s">
        <v>193</v>
      </c>
      <c r="K48" s="150" t="s">
        <v>194</v>
      </c>
      <c r="L48" s="150" t="s">
        <v>155</v>
      </c>
      <c r="M48" s="152">
        <v>26709</v>
      </c>
      <c r="N48" s="151" t="s">
        <v>960</v>
      </c>
      <c r="O48" s="157" t="s">
        <v>358</v>
      </c>
      <c r="P48" s="152">
        <v>42288</v>
      </c>
      <c r="Q48" s="151"/>
    </row>
    <row r="49" spans="1:17">
      <c r="A49" s="1">
        <v>43</v>
      </c>
      <c r="B49" s="189" t="s">
        <v>961</v>
      </c>
      <c r="C49" s="25">
        <f t="shared" si="1"/>
        <v>111.61666666666667</v>
      </c>
      <c r="D49" s="25">
        <f t="shared" si="3"/>
        <v>87.608098576227746</v>
      </c>
      <c r="E49" s="232">
        <f>H.Marathon!$E49*(1-$K$2)+Marathon!$E49*$K$2</f>
        <v>0.94740099772604647</v>
      </c>
      <c r="F49" s="19">
        <f t="shared" si="4"/>
        <v>78.490158497441612</v>
      </c>
      <c r="G49" s="1">
        <v>43</v>
      </c>
      <c r="H49" s="189" t="s">
        <v>961</v>
      </c>
      <c r="I49" s="183">
        <v>6697</v>
      </c>
      <c r="J49" s="150" t="s">
        <v>962</v>
      </c>
      <c r="K49" s="150" t="s">
        <v>963</v>
      </c>
      <c r="L49" s="150" t="s">
        <v>179</v>
      </c>
      <c r="M49" s="152">
        <v>21015</v>
      </c>
      <c r="N49" s="151"/>
      <c r="O49" s="157" t="s">
        <v>928</v>
      </c>
      <c r="P49" s="152">
        <v>36940</v>
      </c>
      <c r="Q49" s="151"/>
    </row>
    <row r="50" spans="1:17">
      <c r="A50" s="1">
        <v>44</v>
      </c>
      <c r="B50" s="189" t="s">
        <v>964</v>
      </c>
      <c r="C50" s="25">
        <f t="shared" si="1"/>
        <v>113.33333333333334</v>
      </c>
      <c r="D50" s="25">
        <f t="shared" si="3"/>
        <v>88.354471693596963</v>
      </c>
      <c r="E50" s="232">
        <f>H.Marathon!$E50*(1-$K$2)+Marathon!$E50*$K$2</f>
        <v>0.93939784154710759</v>
      </c>
      <c r="F50" s="19">
        <f t="shared" si="4"/>
        <v>77.959827964938484</v>
      </c>
      <c r="G50" s="1">
        <v>44</v>
      </c>
      <c r="H50" s="189" t="s">
        <v>964</v>
      </c>
      <c r="I50" s="183">
        <v>6800</v>
      </c>
      <c r="J50" s="150" t="s">
        <v>962</v>
      </c>
      <c r="K50" s="150" t="s">
        <v>963</v>
      </c>
      <c r="L50" s="150" t="s">
        <v>179</v>
      </c>
      <c r="M50" s="152">
        <v>21015</v>
      </c>
      <c r="N50" s="151"/>
      <c r="O50" s="157" t="s">
        <v>928</v>
      </c>
      <c r="P50" s="152">
        <v>37304</v>
      </c>
      <c r="Q50" s="151"/>
    </row>
    <row r="51" spans="1:17">
      <c r="A51" s="1">
        <v>45</v>
      </c>
      <c r="B51" s="189" t="s">
        <v>965</v>
      </c>
      <c r="C51" s="25">
        <f t="shared" si="1"/>
        <v>113.4</v>
      </c>
      <c r="D51" s="25">
        <f t="shared" si="3"/>
        <v>89.113671469137856</v>
      </c>
      <c r="E51" s="232">
        <f>H.Marathon!$E51*(1-$K$2)+Marathon!$E51*$K$2</f>
        <v>0.93139468536816872</v>
      </c>
      <c r="F51" s="19">
        <f t="shared" si="4"/>
        <v>78.58348454068593</v>
      </c>
      <c r="G51" s="1">
        <v>45</v>
      </c>
      <c r="H51" s="189" t="s">
        <v>965</v>
      </c>
      <c r="I51" s="183">
        <v>6804</v>
      </c>
      <c r="J51" s="150" t="s">
        <v>950</v>
      </c>
      <c r="K51" s="150" t="s">
        <v>951</v>
      </c>
      <c r="L51" s="150" t="s">
        <v>158</v>
      </c>
      <c r="M51" s="152">
        <v>24275</v>
      </c>
      <c r="N51" s="151"/>
      <c r="O51" s="157" t="s">
        <v>892</v>
      </c>
      <c r="P51" s="152">
        <v>40958</v>
      </c>
      <c r="Q51" s="151"/>
    </row>
    <row r="52" spans="1:17">
      <c r="A52" s="1">
        <v>46</v>
      </c>
      <c r="B52" s="189" t="s">
        <v>966</v>
      </c>
      <c r="C52" s="25">
        <f t="shared" si="1"/>
        <v>113.08333333333334</v>
      </c>
      <c r="D52" s="25">
        <f t="shared" si="3"/>
        <v>89.886031413865069</v>
      </c>
      <c r="E52" s="232">
        <f>H.Marathon!$E52*(1-$K$2)+Marathon!$E52*$K$2</f>
        <v>0.92339152918922962</v>
      </c>
      <c r="F52" s="19">
        <f t="shared" si="4"/>
        <v>79.486542149327988</v>
      </c>
      <c r="G52" s="1">
        <v>46</v>
      </c>
      <c r="H52" s="189" t="s">
        <v>966</v>
      </c>
      <c r="I52" s="183">
        <v>6785</v>
      </c>
      <c r="J52" s="150" t="s">
        <v>950</v>
      </c>
      <c r="K52" s="150" t="s">
        <v>951</v>
      </c>
      <c r="L52" s="150" t="s">
        <v>158</v>
      </c>
      <c r="M52" s="152">
        <v>24275</v>
      </c>
      <c r="N52" s="151"/>
      <c r="O52" s="157" t="s">
        <v>892</v>
      </c>
      <c r="P52" s="152">
        <v>41322</v>
      </c>
      <c r="Q52" s="151"/>
    </row>
    <row r="53" spans="1:17">
      <c r="A53" s="1">
        <v>47</v>
      </c>
      <c r="B53" s="189" t="s">
        <v>967</v>
      </c>
      <c r="C53" s="25">
        <f t="shared" si="1"/>
        <v>120.38333333333334</v>
      </c>
      <c r="D53" s="25">
        <f t="shared" si="3"/>
        <v>90.667022475147732</v>
      </c>
      <c r="E53" s="232">
        <f>H.Marathon!$E53*(1-$K$2)+Marathon!$E53*$K$2</f>
        <v>0.91543758396555597</v>
      </c>
      <c r="F53" s="19">
        <f t="shared" si="4"/>
        <v>75.315261643484206</v>
      </c>
      <c r="G53" s="1">
        <v>47</v>
      </c>
      <c r="H53" s="189" t="s">
        <v>967</v>
      </c>
      <c r="I53" s="183">
        <v>7223</v>
      </c>
      <c r="J53" s="150" t="s">
        <v>968</v>
      </c>
      <c r="K53" s="150" t="s">
        <v>969</v>
      </c>
      <c r="L53" s="150" t="s">
        <v>331</v>
      </c>
      <c r="M53" s="152">
        <v>25449</v>
      </c>
      <c r="N53" s="151"/>
      <c r="O53" s="157" t="s">
        <v>970</v>
      </c>
      <c r="P53" s="152">
        <v>42624</v>
      </c>
      <c r="Q53" s="151"/>
    </row>
    <row r="54" spans="1:17">
      <c r="A54" s="1">
        <v>48</v>
      </c>
      <c r="B54" s="189" t="s">
        <v>971</v>
      </c>
      <c r="C54" s="25">
        <f t="shared" si="1"/>
        <v>119.41666666666667</v>
      </c>
      <c r="D54" s="25">
        <f t="shared" si="3"/>
        <v>91.466664100954105</v>
      </c>
      <c r="E54" s="232">
        <f>H.Marathon!$E54*(1-$K$2)+Marathon!$E54*$K$2</f>
        <v>0.90743442778661709</v>
      </c>
      <c r="F54" s="19">
        <f t="shared" si="4"/>
        <v>76.594554725153472</v>
      </c>
      <c r="G54" s="1">
        <v>48</v>
      </c>
      <c r="H54" s="189" t="s">
        <v>971</v>
      </c>
      <c r="I54" s="183">
        <v>7165</v>
      </c>
      <c r="J54" s="150" t="s">
        <v>503</v>
      </c>
      <c r="K54" s="150" t="s">
        <v>504</v>
      </c>
      <c r="L54" s="150" t="s">
        <v>155</v>
      </c>
      <c r="M54" s="152">
        <v>14922</v>
      </c>
      <c r="N54" s="151" t="s">
        <v>972</v>
      </c>
      <c r="O54" s="157" t="s">
        <v>973</v>
      </c>
      <c r="P54" s="152">
        <v>32460</v>
      </c>
      <c r="Q54" s="151"/>
    </row>
    <row r="55" spans="1:17">
      <c r="A55" s="1">
        <v>49</v>
      </c>
      <c r="B55" s="189" t="s">
        <v>974</v>
      </c>
      <c r="C55" s="25">
        <f t="shared" si="1"/>
        <v>123.91666666666666</v>
      </c>
      <c r="D55" s="25">
        <f t="shared" si="3"/>
        <v>92.28053617887069</v>
      </c>
      <c r="E55" s="232">
        <f>H.Marathon!$E55*(1-$K$2)+Marathon!$E55*$K$2</f>
        <v>0.899431271607678</v>
      </c>
      <c r="F55" s="19">
        <f t="shared" si="4"/>
        <v>74.469834172592357</v>
      </c>
      <c r="G55" s="1">
        <v>49</v>
      </c>
      <c r="H55" s="189" t="s">
        <v>974</v>
      </c>
      <c r="I55" s="183">
        <v>7435</v>
      </c>
      <c r="J55" s="150" t="s">
        <v>975</v>
      </c>
      <c r="K55" s="150" t="s">
        <v>976</v>
      </c>
      <c r="L55" s="150" t="s">
        <v>331</v>
      </c>
      <c r="M55" s="152">
        <v>24030</v>
      </c>
      <c r="N55" s="151"/>
      <c r="O55" s="157" t="s">
        <v>977</v>
      </c>
      <c r="P55" s="152">
        <v>42274</v>
      </c>
      <c r="Q55" s="151"/>
    </row>
    <row r="56" spans="1:17">
      <c r="A56" s="1">
        <v>50</v>
      </c>
      <c r="B56" s="189" t="s">
        <v>978</v>
      </c>
      <c r="C56" s="25">
        <f t="shared" si="1"/>
        <v>120.68333333333332</v>
      </c>
      <c r="D56" s="25">
        <f t="shared" si="3"/>
        <v>93.109021987802706</v>
      </c>
      <c r="E56" s="232">
        <f>H.Marathon!$E56*(1-$K$2)+Marathon!$E56*$K$2</f>
        <v>0.89142811542873912</v>
      </c>
      <c r="F56" s="19">
        <f t="shared" si="4"/>
        <v>77.151516631241023</v>
      </c>
      <c r="G56" s="1">
        <v>50</v>
      </c>
      <c r="H56" s="189" t="s">
        <v>978</v>
      </c>
      <c r="I56" s="183">
        <v>7241</v>
      </c>
      <c r="J56" s="150" t="s">
        <v>503</v>
      </c>
      <c r="K56" s="150" t="s">
        <v>504</v>
      </c>
      <c r="L56" s="150" t="s">
        <v>155</v>
      </c>
      <c r="M56" s="152">
        <v>14922</v>
      </c>
      <c r="N56" s="151" t="s">
        <v>972</v>
      </c>
      <c r="O56" s="157" t="s">
        <v>973</v>
      </c>
      <c r="P56" s="152">
        <v>33188</v>
      </c>
      <c r="Q56" s="151"/>
    </row>
    <row r="57" spans="1:17">
      <c r="A57" s="1">
        <v>51</v>
      </c>
      <c r="B57" s="189" t="s">
        <v>979</v>
      </c>
      <c r="C57" s="25">
        <f t="shared" si="1"/>
        <v>116.71666666666667</v>
      </c>
      <c r="D57" s="25">
        <f t="shared" si="3"/>
        <v>93.952518695513376</v>
      </c>
      <c r="E57" s="232">
        <f>H.Marathon!$E57*(1-$K$2)+Marathon!$E57*$K$2</f>
        <v>0.88342495924980025</v>
      </c>
      <c r="F57" s="19">
        <f t="shared" si="4"/>
        <v>80.49623192532917</v>
      </c>
      <c r="G57" s="1">
        <v>51</v>
      </c>
      <c r="H57" s="189" t="s">
        <v>979</v>
      </c>
      <c r="I57" s="183">
        <v>7003</v>
      </c>
      <c r="J57" s="150" t="s">
        <v>186</v>
      </c>
      <c r="K57" s="150" t="s">
        <v>187</v>
      </c>
      <c r="L57" s="151" t="s">
        <v>155</v>
      </c>
      <c r="M57" s="152">
        <v>23483</v>
      </c>
      <c r="N57" s="151"/>
      <c r="O57" s="157" t="s">
        <v>336</v>
      </c>
      <c r="P57" s="152">
        <v>42413</v>
      </c>
      <c r="Q57" s="151"/>
    </row>
    <row r="58" spans="1:17">
      <c r="A58" s="1">
        <v>52</v>
      </c>
      <c r="B58" s="189" t="s">
        <v>980</v>
      </c>
      <c r="C58" s="25">
        <f t="shared" si="1"/>
        <v>122.11666666666666</v>
      </c>
      <c r="D58" s="25">
        <f t="shared" si="3"/>
        <v>94.806108563547525</v>
      </c>
      <c r="E58" s="232">
        <f>H.Marathon!$E58*(1-$K$2)+Marathon!$E58*$K$2</f>
        <v>0.87547101402612659</v>
      </c>
      <c r="F58" s="19">
        <f t="shared" si="4"/>
        <v>77.635683278461201</v>
      </c>
      <c r="G58" s="1">
        <v>52</v>
      </c>
      <c r="H58" s="189" t="s">
        <v>980</v>
      </c>
      <c r="I58" s="183">
        <v>7327</v>
      </c>
      <c r="J58" s="150" t="s">
        <v>981</v>
      </c>
      <c r="K58" s="150" t="s">
        <v>982</v>
      </c>
      <c r="L58" s="150" t="s">
        <v>179</v>
      </c>
      <c r="M58" s="152">
        <v>23195</v>
      </c>
      <c r="N58" s="151"/>
      <c r="O58" s="157" t="s">
        <v>928</v>
      </c>
      <c r="P58" s="152">
        <v>42414</v>
      </c>
      <c r="Q58" s="151"/>
    </row>
    <row r="59" spans="1:17">
      <c r="A59" s="1">
        <v>53</v>
      </c>
      <c r="B59" s="189" t="s">
        <v>983</v>
      </c>
      <c r="C59" s="25">
        <f t="shared" si="1"/>
        <v>117.01666666666667</v>
      </c>
      <c r="D59" s="25">
        <f t="shared" si="3"/>
        <v>95.680778543175975</v>
      </c>
      <c r="E59" s="232">
        <f>H.Marathon!$E59*(1-$K$2)+Marathon!$E59*$K$2</f>
        <v>0.8674678578471875</v>
      </c>
      <c r="F59" s="19">
        <f t="shared" si="4"/>
        <v>81.766795507627961</v>
      </c>
      <c r="G59" s="1">
        <v>53</v>
      </c>
      <c r="H59" s="189" t="s">
        <v>983</v>
      </c>
      <c r="I59" s="183">
        <v>7021</v>
      </c>
      <c r="J59" s="150" t="s">
        <v>207</v>
      </c>
      <c r="K59" s="150" t="s">
        <v>208</v>
      </c>
      <c r="L59" s="150" t="s">
        <v>155</v>
      </c>
      <c r="M59" s="152">
        <v>20956</v>
      </c>
      <c r="N59" s="151" t="s">
        <v>984</v>
      </c>
      <c r="O59" s="157" t="s">
        <v>985</v>
      </c>
      <c r="P59" s="152">
        <v>40461</v>
      </c>
      <c r="Q59" s="151"/>
    </row>
    <row r="60" spans="1:17">
      <c r="A60" s="1">
        <v>54</v>
      </c>
      <c r="B60" s="189" t="s">
        <v>986</v>
      </c>
      <c r="C60" s="25">
        <f t="shared" si="1"/>
        <v>122.18333333333334</v>
      </c>
      <c r="D60" s="25">
        <f t="shared" si="3"/>
        <v>96.571738011921056</v>
      </c>
      <c r="E60" s="232">
        <f>H.Marathon!$E60*(1-$K$2)+Marathon!$E60*$K$2</f>
        <v>0.85946470166824862</v>
      </c>
      <c r="F60" s="19">
        <f t="shared" si="4"/>
        <v>79.03838876981672</v>
      </c>
      <c r="G60" s="1">
        <v>54</v>
      </c>
      <c r="H60" s="189" t="s">
        <v>986</v>
      </c>
      <c r="I60" s="183">
        <v>7331</v>
      </c>
      <c r="J60" s="150" t="s">
        <v>987</v>
      </c>
      <c r="K60" s="150" t="s">
        <v>988</v>
      </c>
      <c r="L60" s="150" t="s">
        <v>179</v>
      </c>
      <c r="M60" s="152">
        <v>16420</v>
      </c>
      <c r="N60" s="151"/>
      <c r="O60" s="157" t="s">
        <v>928</v>
      </c>
      <c r="P60" s="152">
        <v>36212</v>
      </c>
      <c r="Q60" s="151"/>
    </row>
    <row r="61" spans="1:17">
      <c r="A61" s="1">
        <v>55</v>
      </c>
      <c r="B61" s="189" t="s">
        <v>989</v>
      </c>
      <c r="C61" s="25">
        <f t="shared" si="1"/>
        <v>134.81666666666666</v>
      </c>
      <c r="D61" s="25">
        <f t="shared" si="3"/>
        <v>97.479446299952841</v>
      </c>
      <c r="E61" s="232">
        <f>H.Marathon!$E61*(1-$K$2)+Marathon!$E61*$K$2</f>
        <v>0.85146154548930952</v>
      </c>
      <c r="F61" s="19">
        <f t="shared" si="4"/>
        <v>72.305189491867608</v>
      </c>
      <c r="G61" s="1">
        <v>55</v>
      </c>
      <c r="H61" s="189" t="s">
        <v>989</v>
      </c>
      <c r="I61" s="183">
        <v>8089</v>
      </c>
      <c r="J61" s="151" t="s">
        <v>519</v>
      </c>
      <c r="K61" s="151" t="s">
        <v>520</v>
      </c>
      <c r="L61" s="151" t="s">
        <v>155</v>
      </c>
      <c r="M61" s="152">
        <v>14464</v>
      </c>
      <c r="N61" s="151" t="s">
        <v>972</v>
      </c>
      <c r="O61" s="183" t="s">
        <v>973</v>
      </c>
      <c r="P61" s="152">
        <v>34651</v>
      </c>
      <c r="Q61" s="151"/>
    </row>
    <row r="62" spans="1:17">
      <c r="A62" s="1">
        <v>56</v>
      </c>
      <c r="B62" s="189" t="s">
        <v>990</v>
      </c>
      <c r="C62" s="25">
        <f t="shared" si="1"/>
        <v>133.46666666666667</v>
      </c>
      <c r="D62" s="25">
        <f t="shared" si="3"/>
        <v>98.404380170861245</v>
      </c>
      <c r="E62" s="232">
        <f>H.Marathon!$E62*(1-$K$2)+Marathon!$E62*$K$2</f>
        <v>0.84345838931037065</v>
      </c>
      <c r="F62" s="19">
        <f t="shared" si="4"/>
        <v>73.729555572573361</v>
      </c>
      <c r="G62" s="1">
        <v>56</v>
      </c>
      <c r="H62" s="189" t="s">
        <v>990</v>
      </c>
      <c r="I62" s="183">
        <v>8008</v>
      </c>
      <c r="J62" s="150" t="s">
        <v>519</v>
      </c>
      <c r="K62" s="150" t="s">
        <v>520</v>
      </c>
      <c r="L62" s="150" t="s">
        <v>155</v>
      </c>
      <c r="M62" s="152">
        <v>14464</v>
      </c>
      <c r="N62" s="151" t="s">
        <v>972</v>
      </c>
      <c r="O62" s="157" t="s">
        <v>973</v>
      </c>
      <c r="P62" s="152">
        <v>35015</v>
      </c>
      <c r="Q62" s="151"/>
    </row>
    <row r="63" spans="1:17">
      <c r="A63" s="1">
        <v>57</v>
      </c>
      <c r="B63" s="189" t="s">
        <v>991</v>
      </c>
      <c r="C63" s="25">
        <f t="shared" si="1"/>
        <v>131.94999999999999</v>
      </c>
      <c r="D63" s="25">
        <f t="shared" si="3"/>
        <v>99.341183146821677</v>
      </c>
      <c r="E63" s="232">
        <f>H.Marathon!$E63*(1-$K$2)+Marathon!$E63*$K$2</f>
        <v>0.835504444086697</v>
      </c>
      <c r="F63" s="19">
        <f t="shared" si="4"/>
        <v>75.286989880122533</v>
      </c>
      <c r="G63" s="1">
        <v>57</v>
      </c>
      <c r="H63" s="189" t="s">
        <v>991</v>
      </c>
      <c r="I63" s="183">
        <v>7917</v>
      </c>
      <c r="J63" s="150" t="s">
        <v>567</v>
      </c>
      <c r="K63" s="150" t="s">
        <v>992</v>
      </c>
      <c r="L63" s="150" t="s">
        <v>155</v>
      </c>
      <c r="M63" s="152">
        <v>19118</v>
      </c>
      <c r="N63" s="151" t="s">
        <v>972</v>
      </c>
      <c r="O63" s="157" t="s">
        <v>973</v>
      </c>
      <c r="P63" s="152">
        <v>40125</v>
      </c>
      <c r="Q63" s="151"/>
    </row>
    <row r="64" spans="1:17">
      <c r="A64" s="1">
        <v>58</v>
      </c>
      <c r="B64" s="189" t="s">
        <v>993</v>
      </c>
      <c r="C64" s="25">
        <f t="shared" si="1"/>
        <v>133.63333333333333</v>
      </c>
      <c r="D64" s="25">
        <f t="shared" si="3"/>
        <v>100.30195869526193</v>
      </c>
      <c r="E64" s="232">
        <f>H.Marathon!$E64*(1-$K$2)+Marathon!$E64*$K$2</f>
        <v>0.82750128790775801</v>
      </c>
      <c r="F64" s="19">
        <f t="shared" si="4"/>
        <v>75.057589445194765</v>
      </c>
      <c r="G64" s="1">
        <v>58</v>
      </c>
      <c r="H64" s="189" t="s">
        <v>993</v>
      </c>
      <c r="I64" s="183">
        <v>8018</v>
      </c>
      <c r="J64" s="150" t="s">
        <v>519</v>
      </c>
      <c r="K64" s="150" t="s">
        <v>520</v>
      </c>
      <c r="L64" s="150" t="s">
        <v>155</v>
      </c>
      <c r="M64" s="152">
        <v>14464</v>
      </c>
      <c r="N64" s="151" t="s">
        <v>972</v>
      </c>
      <c r="O64" s="157" t="s">
        <v>973</v>
      </c>
      <c r="P64" s="152">
        <v>35750</v>
      </c>
      <c r="Q64" s="151"/>
    </row>
    <row r="65" spans="1:17">
      <c r="A65" s="1">
        <v>59</v>
      </c>
      <c r="B65" s="189" t="s">
        <v>994</v>
      </c>
      <c r="C65" s="25">
        <f t="shared" si="1"/>
        <v>136.13333333333333</v>
      </c>
      <c r="D65" s="25">
        <f t="shared" si="3"/>
        <v>101.28149996498786</v>
      </c>
      <c r="E65" s="232">
        <f>H.Marathon!$E65*(1-$K$2)+Marathon!$E65*$K$2</f>
        <v>0.81949813172881902</v>
      </c>
      <c r="F65" s="19">
        <f t="shared" si="4"/>
        <v>74.398751198570906</v>
      </c>
      <c r="G65" s="1">
        <v>59</v>
      </c>
      <c r="H65" s="189" t="s">
        <v>994</v>
      </c>
      <c r="I65" s="183">
        <v>8168</v>
      </c>
      <c r="J65" s="151" t="s">
        <v>519</v>
      </c>
      <c r="K65" s="151" t="s">
        <v>520</v>
      </c>
      <c r="L65" s="151" t="s">
        <v>155</v>
      </c>
      <c r="M65" s="152">
        <v>14464</v>
      </c>
      <c r="N65" s="151" t="s">
        <v>972</v>
      </c>
      <c r="O65" s="183" t="s">
        <v>973</v>
      </c>
      <c r="P65" s="152">
        <v>36114</v>
      </c>
      <c r="Q65" s="151"/>
    </row>
    <row r="66" spans="1:17" ht="15.75">
      <c r="A66" s="1">
        <v>60</v>
      </c>
      <c r="B66" s="189" t="s">
        <v>995</v>
      </c>
      <c r="C66" s="25">
        <f t="shared" si="1"/>
        <v>119.51666666666667</v>
      </c>
      <c r="D66" s="25">
        <f t="shared" si="3"/>
        <v>102.28036217199997</v>
      </c>
      <c r="E66" s="232">
        <f>H.Marathon!$E66*(1-$K$2)+Marathon!$E66*$K$2</f>
        <v>0.81149497554988015</v>
      </c>
      <c r="F66" s="19">
        <f t="shared" si="4"/>
        <v>85.578325621531135</v>
      </c>
      <c r="G66" s="1">
        <v>60</v>
      </c>
      <c r="H66" s="189" t="s">
        <v>995</v>
      </c>
      <c r="I66" s="183">
        <v>7171</v>
      </c>
      <c r="J66" s="157" t="s">
        <v>404</v>
      </c>
      <c r="K66" s="157" t="s">
        <v>405</v>
      </c>
      <c r="L66" s="157" t="s">
        <v>155</v>
      </c>
      <c r="M66" s="182">
        <v>23193</v>
      </c>
      <c r="N66" s="193" t="s">
        <v>924</v>
      </c>
      <c r="O66" s="193" t="s">
        <v>358</v>
      </c>
      <c r="P66" s="194">
        <v>45207</v>
      </c>
      <c r="Q66" s="151"/>
    </row>
    <row r="67" spans="1:17">
      <c r="A67" s="1">
        <v>61</v>
      </c>
      <c r="B67" s="189" t="s">
        <v>996</v>
      </c>
      <c r="C67" s="25">
        <f t="shared" si="1"/>
        <v>144.69999999999999</v>
      </c>
      <c r="D67" s="25">
        <f t="shared" si="3"/>
        <v>103.29912265314813</v>
      </c>
      <c r="E67" s="232">
        <f>H.Marathon!$E67*(1-$K$2)+Marathon!$E67*$K$2</f>
        <v>0.80349181937094116</v>
      </c>
      <c r="F67" s="19">
        <f t="shared" si="4"/>
        <v>71.388474535693263</v>
      </c>
      <c r="G67" s="1">
        <v>61</v>
      </c>
      <c r="H67" s="189" t="s">
        <v>996</v>
      </c>
      <c r="I67" s="183">
        <v>8682</v>
      </c>
      <c r="J67" s="150" t="s">
        <v>349</v>
      </c>
      <c r="K67" s="150" t="s">
        <v>1017</v>
      </c>
      <c r="L67" s="150" t="s">
        <v>176</v>
      </c>
      <c r="M67" s="152">
        <v>19618</v>
      </c>
      <c r="N67" s="151"/>
      <c r="O67" s="157" t="s">
        <v>1018</v>
      </c>
      <c r="P67" s="152">
        <v>42085</v>
      </c>
      <c r="Q67" s="151"/>
    </row>
    <row r="68" spans="1:17">
      <c r="A68" s="1">
        <v>62</v>
      </c>
      <c r="B68" s="189" t="s">
        <v>997</v>
      </c>
      <c r="C68" s="25">
        <f t="shared" si="1"/>
        <v>140.33333333333334</v>
      </c>
      <c r="D68" s="25">
        <f t="shared" si="3"/>
        <v>104.33192774004283</v>
      </c>
      <c r="E68" s="232">
        <f>H.Marathon!$E68*(1-$K$2)+Marathon!$E68*$K$2</f>
        <v>0.79553787414726751</v>
      </c>
      <c r="F68" s="19">
        <f t="shared" si="4"/>
        <v>74.345791738747863</v>
      </c>
      <c r="G68" s="1">
        <v>62</v>
      </c>
      <c r="H68" s="189" t="s">
        <v>997</v>
      </c>
      <c r="I68" s="183">
        <v>8420</v>
      </c>
      <c r="J68" s="150" t="s">
        <v>349</v>
      </c>
      <c r="K68" s="150" t="s">
        <v>1017</v>
      </c>
      <c r="L68" s="150" t="s">
        <v>176</v>
      </c>
      <c r="M68" s="152">
        <v>19618</v>
      </c>
      <c r="N68" s="151"/>
      <c r="O68" s="157" t="s">
        <v>1018</v>
      </c>
      <c r="P68" s="152">
        <v>42434</v>
      </c>
      <c r="Q68" s="151"/>
    </row>
    <row r="69" spans="1:17">
      <c r="A69" s="1">
        <v>63</v>
      </c>
      <c r="B69" s="189" t="s">
        <v>998</v>
      </c>
      <c r="C69" s="25">
        <f t="shared" si="1"/>
        <v>143.5</v>
      </c>
      <c r="D69" s="25">
        <f t="shared" si="3"/>
        <v>105.39217904465505</v>
      </c>
      <c r="E69" s="232">
        <f>H.Marathon!$E69*(1-$K$2)+Marathon!$E69*$K$2</f>
        <v>0.78753471796832852</v>
      </c>
      <c r="F69" s="19">
        <f t="shared" si="4"/>
        <v>73.444027208818852</v>
      </c>
      <c r="G69" s="1">
        <v>63</v>
      </c>
      <c r="H69" s="189" t="s">
        <v>998</v>
      </c>
      <c r="I69" s="183">
        <v>8610</v>
      </c>
      <c r="J69" s="150" t="s">
        <v>362</v>
      </c>
      <c r="K69" s="150" t="s">
        <v>1019</v>
      </c>
      <c r="L69" s="150" t="s">
        <v>176</v>
      </c>
      <c r="M69" s="152">
        <v>19269</v>
      </c>
      <c r="N69" s="151"/>
      <c r="O69" s="157" t="s">
        <v>1020</v>
      </c>
      <c r="P69" s="152">
        <v>42379</v>
      </c>
      <c r="Q69" s="151"/>
    </row>
    <row r="70" spans="1:17">
      <c r="A70" s="1">
        <v>64</v>
      </c>
      <c r="B70" s="189" t="s">
        <v>999</v>
      </c>
      <c r="C70" s="25">
        <f t="shared" si="1"/>
        <v>166.16666666666666</v>
      </c>
      <c r="D70" s="25">
        <f t="shared" si="3"/>
        <v>106.47420074881406</v>
      </c>
      <c r="E70" s="232">
        <f>H.Marathon!$E70*(1-$K$2)+Marathon!$E70*$K$2</f>
        <v>0.77953156178938943</v>
      </c>
      <c r="F70" s="19">
        <f t="shared" si="4"/>
        <v>64.076750701392612</v>
      </c>
      <c r="G70" s="1">
        <v>64</v>
      </c>
      <c r="H70" s="189" t="s">
        <v>999</v>
      </c>
      <c r="I70" s="183">
        <v>9970</v>
      </c>
      <c r="J70" s="151" t="s">
        <v>188</v>
      </c>
      <c r="K70" s="151" t="s">
        <v>1021</v>
      </c>
      <c r="L70" s="151" t="s">
        <v>155</v>
      </c>
      <c r="M70" s="152">
        <v>8891</v>
      </c>
      <c r="N70" s="151" t="s">
        <v>972</v>
      </c>
      <c r="O70" s="157" t="s">
        <v>973</v>
      </c>
      <c r="P70" s="152">
        <v>32460</v>
      </c>
      <c r="Q70" s="151"/>
    </row>
    <row r="71" spans="1:17">
      <c r="A71" s="1">
        <v>65</v>
      </c>
      <c r="B71" s="189" t="s">
        <v>1000</v>
      </c>
      <c r="C71" s="25">
        <f t="shared" si="1"/>
        <v>147.9</v>
      </c>
      <c r="D71" s="25">
        <f t="shared" si="3"/>
        <v>107.57867033337358</v>
      </c>
      <c r="E71" s="232">
        <f>H.Marathon!$E71*(1-$K$2)+Marathon!$E71*$K$2</f>
        <v>0.77152840561045055</v>
      </c>
      <c r="F71" s="19">
        <f t="shared" si="4"/>
        <v>72.737437683146439</v>
      </c>
      <c r="G71" s="1">
        <v>65</v>
      </c>
      <c r="H71" s="189" t="s">
        <v>1000</v>
      </c>
      <c r="I71" s="183">
        <v>8874</v>
      </c>
      <c r="J71" s="150" t="s">
        <v>519</v>
      </c>
      <c r="K71" s="150" t="s">
        <v>520</v>
      </c>
      <c r="L71" s="150" t="s">
        <v>155</v>
      </c>
      <c r="M71" s="152">
        <v>14464</v>
      </c>
      <c r="N71" s="151" t="s">
        <v>972</v>
      </c>
      <c r="O71" s="157" t="s">
        <v>973</v>
      </c>
      <c r="P71" s="152">
        <v>38305</v>
      </c>
      <c r="Q71" s="151"/>
    </row>
    <row r="72" spans="1:17">
      <c r="A72" s="1">
        <v>66</v>
      </c>
      <c r="B72" s="189" t="s">
        <v>1001</v>
      </c>
      <c r="C72" s="25">
        <f t="shared" si="1"/>
        <v>152.53333333333333</v>
      </c>
      <c r="D72" s="25">
        <f t="shared" si="3"/>
        <v>108.7062936841948</v>
      </c>
      <c r="E72" s="232">
        <f>H.Marathon!$E72*(1-$K$2)+Marathon!$E72*$K$2</f>
        <v>0.76352524943151168</v>
      </c>
      <c r="F72" s="19">
        <f t="shared" si="4"/>
        <v>71.267237992260576</v>
      </c>
      <c r="G72" s="1">
        <v>66</v>
      </c>
      <c r="H72" s="189" t="s">
        <v>1001</v>
      </c>
      <c r="I72" s="183">
        <v>9152</v>
      </c>
      <c r="J72" s="150" t="s">
        <v>519</v>
      </c>
      <c r="K72" s="150" t="s">
        <v>520</v>
      </c>
      <c r="L72" s="150" t="s">
        <v>155</v>
      </c>
      <c r="M72" s="152">
        <v>14464</v>
      </c>
      <c r="N72" s="151" t="s">
        <v>972</v>
      </c>
      <c r="O72" s="157" t="s">
        <v>973</v>
      </c>
      <c r="P72" s="152">
        <v>38669</v>
      </c>
      <c r="Q72" s="151"/>
    </row>
    <row r="73" spans="1:17">
      <c r="A73" s="1">
        <v>67</v>
      </c>
      <c r="B73" s="189" t="s">
        <v>1002</v>
      </c>
      <c r="C73" s="25">
        <f t="shared" si="1"/>
        <v>178.1</v>
      </c>
      <c r="D73" s="25">
        <f t="shared" si="3"/>
        <v>109.85065147096806</v>
      </c>
      <c r="E73" s="232">
        <f>H.Marathon!$E73*(1-$K$2)+Marathon!$E73*$K$2</f>
        <v>0.75557130420783802</v>
      </c>
      <c r="F73" s="19">
        <f t="shared" si="4"/>
        <v>61.679197906214526</v>
      </c>
      <c r="G73" s="1">
        <v>67</v>
      </c>
      <c r="H73" s="189" t="s">
        <v>1002</v>
      </c>
      <c r="I73" s="183">
        <v>10686</v>
      </c>
      <c r="J73" s="151" t="s">
        <v>697</v>
      </c>
      <c r="K73" s="151" t="s">
        <v>1022</v>
      </c>
      <c r="L73" s="151" t="s">
        <v>155</v>
      </c>
      <c r="M73" s="152">
        <v>7758</v>
      </c>
      <c r="N73" s="151" t="s">
        <v>972</v>
      </c>
      <c r="O73" s="157" t="s">
        <v>973</v>
      </c>
      <c r="P73" s="152">
        <v>32460</v>
      </c>
      <c r="Q73" s="151"/>
    </row>
    <row r="74" spans="1:17">
      <c r="A74" s="1">
        <v>68</v>
      </c>
      <c r="B74" s="189" t="s">
        <v>1003</v>
      </c>
      <c r="C74" s="25">
        <f t="shared" si="1"/>
        <v>158.76666666666668</v>
      </c>
      <c r="D74" s="25">
        <f t="shared" si="3"/>
        <v>111.02666722605127</v>
      </c>
      <c r="E74" s="232">
        <f>H.Marathon!$E74*(1-$K$2)+Marathon!$E74*$K$2</f>
        <v>0.74756814802889893</v>
      </c>
      <c r="F74" s="19">
        <f t="shared" si="4"/>
        <v>69.930716287666129</v>
      </c>
      <c r="G74" s="1">
        <v>68</v>
      </c>
      <c r="H74" s="189" t="s">
        <v>1003</v>
      </c>
      <c r="I74" s="183">
        <v>9526</v>
      </c>
      <c r="J74" s="150" t="s">
        <v>1023</v>
      </c>
      <c r="K74" s="150" t="s">
        <v>1024</v>
      </c>
      <c r="L74" s="150" t="s">
        <v>155</v>
      </c>
      <c r="M74" s="152">
        <v>11886</v>
      </c>
      <c r="N74" s="151" t="s">
        <v>972</v>
      </c>
      <c r="O74" s="157" t="s">
        <v>973</v>
      </c>
      <c r="P74" s="152">
        <v>36842</v>
      </c>
      <c r="Q74" s="151"/>
    </row>
    <row r="75" spans="1:17">
      <c r="A75" s="1">
        <v>69</v>
      </c>
      <c r="B75" s="189" t="s">
        <v>1004</v>
      </c>
      <c r="C75" s="25">
        <f t="shared" si="1"/>
        <v>165.63333333333333</v>
      </c>
      <c r="D75" s="25">
        <f t="shared" ref="D75:D106" si="5">E$4/E75</f>
        <v>112.2430727420154</v>
      </c>
      <c r="E75" s="232">
        <f>H.Marathon!$E75*(1-$K$2)+Marathon!$E75*$K$2</f>
        <v>0.7394665699394295</v>
      </c>
      <c r="F75" s="19">
        <f t="shared" si="4"/>
        <v>67.765992800572789</v>
      </c>
      <c r="G75" s="1">
        <v>69</v>
      </c>
      <c r="H75" s="189" t="s">
        <v>1004</v>
      </c>
      <c r="I75" s="183">
        <v>9938</v>
      </c>
      <c r="J75" s="150" t="s">
        <v>1023</v>
      </c>
      <c r="K75" s="150" t="s">
        <v>1024</v>
      </c>
      <c r="L75" s="150" t="s">
        <v>155</v>
      </c>
      <c r="M75" s="152">
        <v>11886</v>
      </c>
      <c r="N75" s="151" t="s">
        <v>972</v>
      </c>
      <c r="O75" s="157" t="s">
        <v>973</v>
      </c>
      <c r="P75" s="152">
        <v>37206</v>
      </c>
      <c r="Q75" s="151"/>
    </row>
    <row r="76" spans="1:17">
      <c r="A76" s="1">
        <v>70</v>
      </c>
      <c r="B76" s="189" t="s">
        <v>1005</v>
      </c>
      <c r="C76" s="25">
        <f t="shared" si="1"/>
        <v>142.48333333333335</v>
      </c>
      <c r="D76" s="25">
        <f t="shared" si="5"/>
        <v>113.53226242959123</v>
      </c>
      <c r="E76" s="232">
        <f>H.Marathon!$E76*(1-$K$2)+Marathon!$E76*$K$2</f>
        <v>0.73106972611836851</v>
      </c>
      <c r="F76" s="19">
        <f t="shared" ref="F76:F81" si="6">100*(D76/C76)</f>
        <v>79.68108253334276</v>
      </c>
      <c r="G76" s="1">
        <v>70</v>
      </c>
      <c r="H76" s="189" t="s">
        <v>1005</v>
      </c>
      <c r="I76" s="183">
        <v>8549</v>
      </c>
      <c r="J76" s="150" t="s">
        <v>221</v>
      </c>
      <c r="K76" s="150" t="s">
        <v>222</v>
      </c>
      <c r="L76" s="150" t="s">
        <v>155</v>
      </c>
      <c r="M76" s="152">
        <v>17637</v>
      </c>
      <c r="N76" s="151" t="s">
        <v>1025</v>
      </c>
      <c r="O76" s="157" t="s">
        <v>358</v>
      </c>
      <c r="P76" s="152">
        <v>43380</v>
      </c>
      <c r="Q76" s="151"/>
    </row>
    <row r="77" spans="1:17">
      <c r="A77" s="1">
        <v>71</v>
      </c>
      <c r="B77" s="189" t="s">
        <v>1006</v>
      </c>
      <c r="C77" s="25">
        <f t="shared" ref="C77:C89" si="7">B77*1440</f>
        <v>194.79999999999998</v>
      </c>
      <c r="D77" s="25">
        <f t="shared" si="5"/>
        <v>114.90618305375301</v>
      </c>
      <c r="E77" s="232">
        <f>H.Marathon!$E77*(1-$K$2)+Marathon!$E77*$K$2</f>
        <v>0.72232840561045064</v>
      </c>
      <c r="F77" s="19">
        <f t="shared" si="6"/>
        <v>58.986746947511811</v>
      </c>
      <c r="G77" s="1">
        <v>71</v>
      </c>
      <c r="H77" s="189" t="s">
        <v>1006</v>
      </c>
      <c r="I77" s="183">
        <v>11688</v>
      </c>
      <c r="J77" s="150" t="s">
        <v>708</v>
      </c>
      <c r="K77" s="150" t="s">
        <v>709</v>
      </c>
      <c r="L77" s="150" t="s">
        <v>155</v>
      </c>
      <c r="M77" s="152">
        <v>8453</v>
      </c>
      <c r="N77" s="151" t="s">
        <v>1026</v>
      </c>
      <c r="O77" s="157" t="s">
        <v>1027</v>
      </c>
      <c r="P77" s="152">
        <v>34420</v>
      </c>
      <c r="Q77" s="151"/>
    </row>
    <row r="78" spans="1:17">
      <c r="A78" s="1">
        <v>72</v>
      </c>
      <c r="B78" s="189" t="s">
        <v>1007</v>
      </c>
      <c r="C78" s="25">
        <f t="shared" si="7"/>
        <v>171.41666666666666</v>
      </c>
      <c r="D78" s="25">
        <f t="shared" si="5"/>
        <v>116.403353888124</v>
      </c>
      <c r="E78" s="232">
        <f>H.Marathon!$E78*(1-$K$2)+Marathon!$E78*$K$2</f>
        <v>0.71303787414726749</v>
      </c>
      <c r="F78" s="19">
        <f t="shared" si="6"/>
        <v>67.906672175862326</v>
      </c>
      <c r="G78" s="1">
        <v>72</v>
      </c>
      <c r="H78" s="189" t="s">
        <v>1007</v>
      </c>
      <c r="I78" s="183">
        <v>10285</v>
      </c>
      <c r="J78" s="150" t="s">
        <v>1023</v>
      </c>
      <c r="K78" s="150" t="s">
        <v>1024</v>
      </c>
      <c r="L78" s="150" t="s">
        <v>155</v>
      </c>
      <c r="M78" s="152">
        <v>11886</v>
      </c>
      <c r="N78" s="151" t="s">
        <v>972</v>
      </c>
      <c r="O78" s="157" t="s">
        <v>973</v>
      </c>
      <c r="P78" s="152">
        <v>38305</v>
      </c>
      <c r="Q78" s="151"/>
    </row>
    <row r="79" spans="1:17">
      <c r="A79" s="1">
        <v>73</v>
      </c>
      <c r="B79" s="189" t="s">
        <v>1008</v>
      </c>
      <c r="C79" s="25">
        <f t="shared" si="7"/>
        <v>273.28333333333336</v>
      </c>
      <c r="D79" s="25">
        <f t="shared" si="5"/>
        <v>118.08280972535059</v>
      </c>
      <c r="E79" s="232">
        <f>H.Marathon!$E79*(1-$K$2)+Marathon!$E79*$K$2</f>
        <v>0.70289655363934955</v>
      </c>
      <c r="F79" s="19">
        <f t="shared" si="6"/>
        <v>43.2089320212297</v>
      </c>
      <c r="G79" s="1">
        <v>73</v>
      </c>
      <c r="H79" s="189" t="s">
        <v>1008</v>
      </c>
      <c r="I79" s="183">
        <v>16397</v>
      </c>
      <c r="J79" s="150" t="s">
        <v>1028</v>
      </c>
      <c r="K79" s="150" t="s">
        <v>1029</v>
      </c>
      <c r="L79" s="150" t="s">
        <v>155</v>
      </c>
      <c r="M79" s="152"/>
      <c r="N79" s="151" t="s">
        <v>972</v>
      </c>
      <c r="O79" s="157" t="s">
        <v>973</v>
      </c>
      <c r="P79" s="152">
        <v>33923</v>
      </c>
      <c r="Q79" s="151"/>
    </row>
    <row r="80" spans="1:17">
      <c r="A80" s="1">
        <v>74</v>
      </c>
      <c r="B80" s="189" t="s">
        <v>1009</v>
      </c>
      <c r="C80" s="25">
        <f t="shared" si="7"/>
        <v>212.23333333333335</v>
      </c>
      <c r="D80" s="25">
        <f t="shared" si="5"/>
        <v>119.9328973921355</v>
      </c>
      <c r="E80" s="232">
        <f>H.Marathon!$E80*(1-$K$2)+Marathon!$E80*$K$2</f>
        <v>0.69205365504196226</v>
      </c>
      <c r="F80" s="19">
        <f t="shared" si="6"/>
        <v>56.509924953102953</v>
      </c>
      <c r="G80" s="1">
        <v>74</v>
      </c>
      <c r="H80" s="189" t="s">
        <v>1009</v>
      </c>
      <c r="I80" s="183">
        <v>12734</v>
      </c>
      <c r="J80" s="150" t="s">
        <v>189</v>
      </c>
      <c r="K80" s="150" t="s">
        <v>1030</v>
      </c>
      <c r="L80" s="150" t="s">
        <v>155</v>
      </c>
      <c r="M80" s="152">
        <v>8805</v>
      </c>
      <c r="N80" s="151" t="s">
        <v>1031</v>
      </c>
      <c r="O80" s="157" t="s">
        <v>334</v>
      </c>
      <c r="P80" s="152">
        <v>36037</v>
      </c>
      <c r="Q80" s="151"/>
    </row>
    <row r="81" spans="1:17" ht="15.75">
      <c r="A81" s="1">
        <v>75</v>
      </c>
      <c r="B81" s="189" t="s">
        <v>1010</v>
      </c>
      <c r="C81" s="25">
        <f t="shared" si="7"/>
        <v>146.85</v>
      </c>
      <c r="D81" s="25">
        <f t="shared" si="5"/>
        <v>121.97631598690209</v>
      </c>
      <c r="E81" s="232">
        <f>H.Marathon!$E81*(1-$K$2)+Marathon!$E81*$K$2</f>
        <v>0.68045996739984016</v>
      </c>
      <c r="F81" s="19">
        <f t="shared" si="6"/>
        <v>83.061842687709969</v>
      </c>
      <c r="G81" s="1">
        <v>75</v>
      </c>
      <c r="H81" s="189" t="s">
        <v>1010</v>
      </c>
      <c r="I81" s="183">
        <v>8811</v>
      </c>
      <c r="J81" s="195" t="s">
        <v>221</v>
      </c>
      <c r="K81" s="195" t="s">
        <v>372</v>
      </c>
      <c r="L81" s="195" t="s">
        <v>155</v>
      </c>
      <c r="M81" s="196">
        <v>17637</v>
      </c>
      <c r="N81" s="193" t="s">
        <v>924</v>
      </c>
      <c r="O81" s="193" t="s">
        <v>358</v>
      </c>
      <c r="P81" s="194">
        <v>45207</v>
      </c>
      <c r="Q81" s="151"/>
    </row>
    <row r="82" spans="1:17" ht="15.75">
      <c r="A82" s="1">
        <v>76</v>
      </c>
      <c r="B82" s="189"/>
      <c r="C82" s="25"/>
      <c r="D82" s="25">
        <f t="shared" si="5"/>
        <v>124.23946332254599</v>
      </c>
      <c r="E82" s="232">
        <f>H.Marathon!$E82*(1-$K$2)+Marathon!$E82*$K$2</f>
        <v>0.66806470166824861</v>
      </c>
      <c r="F82" s="19"/>
      <c r="G82" s="1">
        <v>76</v>
      </c>
      <c r="H82" s="189"/>
      <c r="I82" s="183"/>
      <c r="J82" s="195"/>
      <c r="K82" s="195"/>
      <c r="L82" s="195"/>
      <c r="M82" s="196"/>
      <c r="N82" s="193"/>
      <c r="O82" s="193"/>
      <c r="P82" s="194"/>
      <c r="Q82" s="151"/>
    </row>
    <row r="83" spans="1:17">
      <c r="A83" s="1">
        <v>77</v>
      </c>
      <c r="B83" s="189" t="s">
        <v>1011</v>
      </c>
      <c r="C83" s="25">
        <f t="shared" si="7"/>
        <v>217.86666666666665</v>
      </c>
      <c r="D83" s="25">
        <f t="shared" si="5"/>
        <v>126.7332979353954</v>
      </c>
      <c r="E83" s="232">
        <f>H.Marathon!$E83*(1-$K$2)+Marathon!$E83*$K$2</f>
        <v>0.65491864689192225</v>
      </c>
      <c r="F83" s="19">
        <f>100*(D83/C83)</f>
        <v>58.170118391399363</v>
      </c>
      <c r="G83" s="1">
        <v>77</v>
      </c>
      <c r="H83" s="189" t="s">
        <v>1011</v>
      </c>
      <c r="I83" s="183">
        <v>13072</v>
      </c>
      <c r="J83" s="150" t="s">
        <v>859</v>
      </c>
      <c r="K83" s="150" t="s">
        <v>1032</v>
      </c>
      <c r="L83" s="150" t="s">
        <v>155</v>
      </c>
      <c r="M83" s="152">
        <v>7742</v>
      </c>
      <c r="N83" s="151" t="s">
        <v>1033</v>
      </c>
      <c r="O83" s="157" t="s">
        <v>752</v>
      </c>
      <c r="P83" s="152">
        <v>35938</v>
      </c>
      <c r="Q83" s="151"/>
    </row>
    <row r="84" spans="1:17">
      <c r="A84" s="1">
        <v>78</v>
      </c>
      <c r="B84" s="189" t="s">
        <v>1012</v>
      </c>
      <c r="C84" s="25">
        <f t="shared" si="7"/>
        <v>234.7</v>
      </c>
      <c r="D84" s="25">
        <f t="shared" si="5"/>
        <v>129.47083581073809</v>
      </c>
      <c r="E84" s="232">
        <f>H.Marathon!$E84*(1-$K$2)+Marathon!$E84*$K$2</f>
        <v>0.64107101402612643</v>
      </c>
      <c r="F84" s="19"/>
      <c r="G84" s="1">
        <v>78</v>
      </c>
      <c r="H84" s="189" t="s">
        <v>1012</v>
      </c>
      <c r="I84" s="183">
        <v>14082</v>
      </c>
      <c r="J84" s="150" t="s">
        <v>859</v>
      </c>
      <c r="K84" s="150" t="s">
        <v>1032</v>
      </c>
      <c r="L84" s="150" t="s">
        <v>155</v>
      </c>
      <c r="M84" s="152">
        <v>7742</v>
      </c>
      <c r="N84" s="151" t="s">
        <v>1033</v>
      </c>
      <c r="O84" s="157" t="s">
        <v>752</v>
      </c>
      <c r="P84" s="152">
        <v>36267</v>
      </c>
      <c r="Q84" s="151"/>
    </row>
    <row r="85" spans="1:17">
      <c r="A85" s="1">
        <v>79</v>
      </c>
      <c r="B85" s="189" t="s">
        <v>1013</v>
      </c>
      <c r="C85" s="25">
        <f t="shared" si="7"/>
        <v>244.4</v>
      </c>
      <c r="D85" s="25">
        <f t="shared" si="5"/>
        <v>132.49858097709122</v>
      </c>
      <c r="E85" s="232">
        <f>H.Marathon!$E85*(1-$K$2)+Marathon!$E85*$K$2</f>
        <v>0.62642180307086126</v>
      </c>
      <c r="F85" s="19"/>
      <c r="G85" s="1">
        <v>79</v>
      </c>
      <c r="H85" s="189" t="s">
        <v>1013</v>
      </c>
      <c r="I85" s="183">
        <v>14664</v>
      </c>
      <c r="J85" s="150" t="s">
        <v>1034</v>
      </c>
      <c r="K85" s="150" t="s">
        <v>224</v>
      </c>
      <c r="L85" s="150" t="s">
        <v>155</v>
      </c>
      <c r="M85" s="152">
        <v>3536</v>
      </c>
      <c r="N85" s="152" t="s">
        <v>1035</v>
      </c>
      <c r="O85" s="183" t="s">
        <v>839</v>
      </c>
      <c r="P85" s="152">
        <v>32551</v>
      </c>
      <c r="Q85" s="151"/>
    </row>
    <row r="86" spans="1:17">
      <c r="A86" s="1">
        <v>80</v>
      </c>
      <c r="B86" s="189"/>
      <c r="C86" s="25"/>
      <c r="D86" s="25">
        <f t="shared" si="5"/>
        <v>135.84897435840529</v>
      </c>
      <c r="E86" s="232">
        <f>H.Marathon!$E86*(1-$K$2)+Marathon!$E86*$K$2</f>
        <v>0.61097259211559596</v>
      </c>
      <c r="F86" s="19"/>
      <c r="G86" s="1">
        <v>80</v>
      </c>
      <c r="H86" s="189"/>
      <c r="I86" s="183"/>
      <c r="J86" s="150"/>
      <c r="K86" s="150"/>
      <c r="L86" s="150"/>
      <c r="M86" s="152"/>
      <c r="N86" s="152"/>
      <c r="O86" s="183"/>
      <c r="P86" s="152"/>
      <c r="Q86" s="151"/>
    </row>
    <row r="87" spans="1:17">
      <c r="A87" s="1">
        <v>81</v>
      </c>
      <c r="B87" s="189" t="s">
        <v>1014</v>
      </c>
      <c r="C87" s="25">
        <f t="shared" si="7"/>
        <v>253.53333333333333</v>
      </c>
      <c r="D87" s="25">
        <f t="shared" si="5"/>
        <v>139.54950399844816</v>
      </c>
      <c r="E87" s="232">
        <f>H.Marathon!$E87*(1-$K$2)+Marathon!$E87*$K$2</f>
        <v>0.59477101402612642</v>
      </c>
      <c r="F87" s="19"/>
      <c r="G87" s="1">
        <v>81</v>
      </c>
      <c r="H87" s="189" t="s">
        <v>1014</v>
      </c>
      <c r="I87" s="183">
        <v>15212</v>
      </c>
      <c r="J87" s="150" t="s">
        <v>376</v>
      </c>
      <c r="K87" s="150" t="s">
        <v>1036</v>
      </c>
      <c r="L87" s="150" t="s">
        <v>155</v>
      </c>
      <c r="M87" s="152">
        <v>2649</v>
      </c>
      <c r="N87" s="151" t="s">
        <v>1037</v>
      </c>
      <c r="O87" s="157" t="s">
        <v>973</v>
      </c>
      <c r="P87" s="152">
        <v>32460</v>
      </c>
      <c r="Q87" s="151"/>
    </row>
    <row r="88" spans="1:17">
      <c r="A88" s="1">
        <v>82</v>
      </c>
      <c r="B88" s="190" t="s">
        <v>1015</v>
      </c>
      <c r="C88" s="25">
        <f t="shared" si="7"/>
        <v>257.88333333333333</v>
      </c>
      <c r="D88" s="25">
        <f t="shared" si="5"/>
        <v>143.64368551699698</v>
      </c>
      <c r="E88" s="232">
        <f>H.Marathon!$E88*(1-$K$2)+Marathon!$E88*$K$2</f>
        <v>0.57781864689192219</v>
      </c>
      <c r="F88" s="19"/>
      <c r="G88" s="1">
        <v>82</v>
      </c>
      <c r="H88" s="190" t="s">
        <v>1015</v>
      </c>
      <c r="I88" s="183">
        <v>15473</v>
      </c>
      <c r="J88" s="150" t="s">
        <v>376</v>
      </c>
      <c r="K88" s="150" t="s">
        <v>1036</v>
      </c>
      <c r="L88" s="150" t="s">
        <v>155</v>
      </c>
      <c r="M88" s="152">
        <v>2649</v>
      </c>
      <c r="N88" s="151" t="s">
        <v>1037</v>
      </c>
      <c r="O88" s="157" t="s">
        <v>973</v>
      </c>
      <c r="P88" s="152">
        <v>32824</v>
      </c>
      <c r="Q88" s="151"/>
    </row>
    <row r="89" spans="1:17">
      <c r="A89" s="1">
        <v>83</v>
      </c>
      <c r="B89" s="190" t="s">
        <v>1016</v>
      </c>
      <c r="C89" s="25">
        <f t="shared" si="7"/>
        <v>273.40000000000003</v>
      </c>
      <c r="D89" s="25">
        <f t="shared" si="5"/>
        <v>148.17070720953038</v>
      </c>
      <c r="E89" s="232">
        <f>H.Marathon!$E89*(1-$K$2)+Marathon!$E89*$K$2</f>
        <v>0.56016470166824861</v>
      </c>
      <c r="F89" s="19"/>
      <c r="G89" s="1">
        <v>83</v>
      </c>
      <c r="H89" s="190" t="s">
        <v>1016</v>
      </c>
      <c r="I89" s="183">
        <v>16404</v>
      </c>
      <c r="J89" s="150" t="s">
        <v>1038</v>
      </c>
      <c r="K89" s="150" t="s">
        <v>1039</v>
      </c>
      <c r="L89" s="150" t="s">
        <v>155</v>
      </c>
      <c r="M89" s="152">
        <v>8952</v>
      </c>
      <c r="N89" s="151" t="s">
        <v>1037</v>
      </c>
      <c r="O89" s="157" t="s">
        <v>973</v>
      </c>
      <c r="P89" s="152">
        <v>39397</v>
      </c>
      <c r="Q89" s="151"/>
    </row>
    <row r="90" spans="1:17">
      <c r="A90" s="1">
        <v>84</v>
      </c>
      <c r="B90" s="212"/>
      <c r="C90" s="25"/>
      <c r="D90" s="25">
        <f t="shared" si="5"/>
        <v>153.23266439354828</v>
      </c>
      <c r="E90" s="232">
        <f>H.Marathon!$E90*(1-$K$2)+Marathon!$E90*$K$2</f>
        <v>0.54165996739984013</v>
      </c>
      <c r="F90" s="19"/>
      <c r="G90" s="1">
        <v>84</v>
      </c>
      <c r="H90" s="184"/>
    </row>
    <row r="91" spans="1:17">
      <c r="A91" s="1">
        <v>85</v>
      </c>
      <c r="B91" s="212"/>
      <c r="C91" s="25"/>
      <c r="D91" s="25">
        <f t="shared" si="5"/>
        <v>158.86576579377865</v>
      </c>
      <c r="E91" s="232">
        <f>H.Marathon!$E91*(1-$K$2)+Marathon!$E91*$K$2</f>
        <v>0.52245365504196228</v>
      </c>
      <c r="F91" s="19"/>
      <c r="G91" s="1">
        <v>85</v>
      </c>
      <c r="H91" s="184"/>
    </row>
    <row r="92" spans="1:17">
      <c r="A92" s="1">
        <v>86</v>
      </c>
      <c r="B92" s="212"/>
      <c r="C92" s="25"/>
      <c r="D92" s="25">
        <f t="shared" si="5"/>
        <v>165.19195871213356</v>
      </c>
      <c r="E92" s="232">
        <f>H.Marathon!$E92*(1-$K$2)+Marathon!$E92*$K$2</f>
        <v>0.50244576459461487</v>
      </c>
      <c r="F92" s="19"/>
      <c r="G92" s="1">
        <v>86</v>
      </c>
      <c r="H92" s="184"/>
    </row>
    <row r="93" spans="1:17">
      <c r="A93" s="1">
        <v>87</v>
      </c>
      <c r="B93" s="212"/>
      <c r="C93" s="25"/>
      <c r="D93" s="25">
        <f t="shared" si="5"/>
        <v>172.31103462600097</v>
      </c>
      <c r="E93" s="232">
        <f>H.Marathon!$E93*(1-$K$2)+Marathon!$E93*$K$2</f>
        <v>0.48168708510253272</v>
      </c>
      <c r="F93" s="19"/>
      <c r="G93" s="1">
        <v>87</v>
      </c>
      <c r="H93" s="184"/>
    </row>
    <row r="94" spans="1:17">
      <c r="A94" s="1">
        <v>88</v>
      </c>
      <c r="B94" s="212"/>
      <c r="C94" s="25"/>
      <c r="D94" s="25">
        <f t="shared" si="5"/>
        <v>180.36513948554284</v>
      </c>
      <c r="E94" s="232">
        <f>H.Marathon!$E94*(1-$K$2)+Marathon!$E94*$K$2</f>
        <v>0.46017761656571587</v>
      </c>
      <c r="F94" s="19"/>
      <c r="G94" s="1">
        <v>88</v>
      </c>
      <c r="H94" s="184"/>
    </row>
    <row r="95" spans="1:17">
      <c r="A95" s="1">
        <v>89</v>
      </c>
      <c r="B95" s="212"/>
      <c r="C95" s="25"/>
      <c r="D95" s="25">
        <f t="shared" si="5"/>
        <v>189.53416072475119</v>
      </c>
      <c r="E95" s="232">
        <f>H.Marathon!$E95*(1-$K$2)+Marathon!$E95*$K$2</f>
        <v>0.43791578089469474</v>
      </c>
      <c r="F95" s="19"/>
      <c r="G95" s="1">
        <v>89</v>
      </c>
      <c r="H95" s="184"/>
    </row>
    <row r="96" spans="1:17">
      <c r="A96" s="1">
        <v>90</v>
      </c>
      <c r="B96" s="212"/>
      <c r="C96" s="25"/>
      <c r="D96" s="25">
        <f t="shared" si="5"/>
        <v>200.09490950978983</v>
      </c>
      <c r="E96" s="232">
        <f>H.Marathon!$E96*(1-$K$2)+Marathon!$E96*$K$2</f>
        <v>0.41480315617893893</v>
      </c>
      <c r="F96" s="19"/>
      <c r="G96" s="1">
        <v>90</v>
      </c>
      <c r="H96" s="184"/>
    </row>
    <row r="97" spans="1:8">
      <c r="A97" s="1">
        <v>91</v>
      </c>
      <c r="B97" s="212"/>
      <c r="C97" s="25"/>
      <c r="D97" s="25">
        <f t="shared" si="5"/>
        <v>212.25464063236413</v>
      </c>
      <c r="E97" s="232">
        <f>H.Marathon!$E97*(1-$K$2)+Marathon!$E97*$K$2</f>
        <v>0.39103974241844841</v>
      </c>
      <c r="F97" s="19"/>
      <c r="G97" s="1">
        <v>91</v>
      </c>
      <c r="H97" s="184"/>
    </row>
    <row r="98" spans="1:8">
      <c r="A98" s="1">
        <v>92</v>
      </c>
      <c r="B98" s="212"/>
      <c r="C98" s="25"/>
      <c r="D98" s="25">
        <f t="shared" si="5"/>
        <v>226.48217884382902</v>
      </c>
      <c r="E98" s="232">
        <f>H.Marathon!$E98*(1-$K$2)+Marathon!$E98*$K$2</f>
        <v>0.36647475056848833</v>
      </c>
      <c r="F98" s="19"/>
      <c r="G98" s="1">
        <v>92</v>
      </c>
      <c r="H98" s="184"/>
    </row>
    <row r="99" spans="1:8">
      <c r="A99" s="1">
        <v>93</v>
      </c>
      <c r="B99" s="212"/>
      <c r="C99" s="25"/>
      <c r="D99" s="25">
        <f t="shared" si="5"/>
        <v>243.32456596887982</v>
      </c>
      <c r="E99" s="232">
        <f>H.Marathon!$E99*(1-$K$2)+Marathon!$E99*$K$2</f>
        <v>0.34110818062905884</v>
      </c>
      <c r="F99" s="19"/>
      <c r="G99" s="1">
        <v>93</v>
      </c>
      <c r="H99" s="184"/>
    </row>
    <row r="100" spans="1:8">
      <c r="A100" s="1">
        <v>94</v>
      </c>
      <c r="B100" s="212"/>
      <c r="C100" s="25"/>
      <c r="D100" s="25">
        <f t="shared" si="5"/>
        <v>263.41611465135117</v>
      </c>
      <c r="E100" s="232">
        <f>H.Marathon!$E100*(1-$K$2)+Marathon!$E100*$K$2</f>
        <v>0.3150908216448946</v>
      </c>
      <c r="F100" s="19"/>
      <c r="G100" s="1">
        <v>94</v>
      </c>
      <c r="H100" s="184"/>
    </row>
    <row r="101" spans="1:8">
      <c r="A101" s="1">
        <v>95</v>
      </c>
      <c r="B101" s="212"/>
      <c r="C101" s="25"/>
      <c r="D101" s="25">
        <f t="shared" si="5"/>
        <v>288.02254641699881</v>
      </c>
      <c r="E101" s="232">
        <f>H.Marathon!$E101*(1-$K$2)+Marathon!$E101*$K$2</f>
        <v>0.28817188457126086</v>
      </c>
      <c r="F101" s="19"/>
      <c r="G101" s="1">
        <v>95</v>
      </c>
    </row>
    <row r="102" spans="1:8">
      <c r="A102" s="1">
        <v>96</v>
      </c>
      <c r="B102" s="212"/>
      <c r="C102" s="25"/>
      <c r="D102" s="25">
        <f t="shared" si="5"/>
        <v>318.49314101135292</v>
      </c>
      <c r="E102" s="232">
        <f>H.Marathon!$E102*(1-$K$2)+Marathon!$E102*$K$2</f>
        <v>0.26060215845289242</v>
      </c>
      <c r="F102" s="19"/>
      <c r="G102" s="1">
        <v>96</v>
      </c>
    </row>
    <row r="103" spans="1:8">
      <c r="A103" s="1">
        <v>97</v>
      </c>
      <c r="B103" s="212"/>
      <c r="C103" s="25"/>
      <c r="D103" s="25">
        <f t="shared" si="5"/>
        <v>357.40298277685707</v>
      </c>
      <c r="E103" s="232">
        <f>H.Marathon!$E103*(1-$K$2)+Marathon!$E103*$K$2</f>
        <v>0.23223085424505446</v>
      </c>
      <c r="G103" s="1">
        <v>97</v>
      </c>
    </row>
    <row r="104" spans="1:8">
      <c r="A104" s="1">
        <v>98</v>
      </c>
      <c r="B104" s="212"/>
      <c r="C104" s="25"/>
      <c r="D104" s="25">
        <f t="shared" si="5"/>
        <v>408.75026576823296</v>
      </c>
      <c r="E104" s="232">
        <f>H.Marathon!$E104*(1-$K$2)+Marathon!$E104*$K$2</f>
        <v>0.20305797194774705</v>
      </c>
      <c r="G104" s="1">
        <v>98</v>
      </c>
    </row>
    <row r="105" spans="1:8">
      <c r="A105" s="1">
        <v>99</v>
      </c>
      <c r="B105" s="212"/>
      <c r="C105" s="25"/>
      <c r="D105" s="25">
        <f t="shared" si="5"/>
        <v>479.39662856884587</v>
      </c>
      <c r="E105" s="232">
        <f>H.Marathon!$E105*(1-$K$2)+Marathon!$E105*$K$2</f>
        <v>0.17313430060570487</v>
      </c>
      <c r="G105" s="1">
        <v>99</v>
      </c>
    </row>
    <row r="106" spans="1:8">
      <c r="A106" s="1">
        <v>100</v>
      </c>
      <c r="B106" s="212"/>
      <c r="D106" s="25">
        <f t="shared" si="5"/>
        <v>582.62033617648387</v>
      </c>
      <c r="E106" s="232">
        <f>H.Marathon!$E106*(1-$K$2)+Marathon!$E106*$K$2</f>
        <v>0.14245984021892799</v>
      </c>
      <c r="G106" s="1">
        <v>100</v>
      </c>
    </row>
  </sheetData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06"/>
  <sheetViews>
    <sheetView zoomScale="87" zoomScaleNormal="87" workbookViewId="0">
      <selection activeCell="G16" sqref="G16"/>
    </sheetView>
  </sheetViews>
  <sheetFormatPr defaultColWidth="9.6640625" defaultRowHeight="15"/>
  <cols>
    <col min="1" max="1" width="9.6640625" style="1" customWidth="1"/>
    <col min="2" max="2" width="11.33203125" style="1" customWidth="1"/>
    <col min="3" max="3" width="9.6640625" style="1" customWidth="1"/>
    <col min="4" max="4" width="13" style="1" customWidth="1"/>
    <col min="5" max="5" width="9.6640625" style="1" customWidth="1"/>
    <col min="6" max="6" width="12.88671875" style="1" customWidth="1"/>
    <col min="7" max="7" width="12.6640625" style="1" customWidth="1"/>
    <col min="8" max="8" width="10.44140625" style="1" customWidth="1"/>
    <col min="9" max="9" width="15.77734375" style="1" customWidth="1"/>
    <col min="10" max="10" width="14.21875" style="1" customWidth="1"/>
    <col min="11" max="11" width="12.6640625" style="1" customWidth="1"/>
    <col min="12" max="12" width="12.44140625" style="1" customWidth="1"/>
    <col min="13" max="13" width="13.88671875" style="1" customWidth="1"/>
    <col min="14" max="14" width="16.77734375" style="1" customWidth="1"/>
    <col min="15" max="15" width="7.21875" style="1" customWidth="1"/>
    <col min="16" max="16" width="12.21875" style="1" customWidth="1"/>
    <col min="17" max="17" width="19" style="1" customWidth="1"/>
    <col min="18" max="18" width="21.6640625" style="1" customWidth="1"/>
    <col min="19" max="19" width="10.33203125" style="1" bestFit="1" customWidth="1"/>
    <col min="20" max="16384" width="9.6640625" style="1"/>
  </cols>
  <sheetData>
    <row r="1" spans="1:21" ht="29.1" customHeight="1">
      <c r="A1" s="30" t="s">
        <v>1841</v>
      </c>
      <c r="B1" s="31"/>
      <c r="C1" s="32"/>
      <c r="D1" s="33" t="s">
        <v>32</v>
      </c>
      <c r="E1" s="33" t="s">
        <v>71</v>
      </c>
      <c r="F1" s="33" t="s">
        <v>72</v>
      </c>
      <c r="G1" s="33" t="s">
        <v>73</v>
      </c>
      <c r="H1" s="33" t="s">
        <v>74</v>
      </c>
      <c r="I1" s="33" t="s">
        <v>75</v>
      </c>
    </row>
    <row r="2" spans="1:21" ht="15.95" customHeight="1">
      <c r="A2" s="30"/>
      <c r="B2" s="31"/>
      <c r="C2" s="32"/>
      <c r="D2" s="33"/>
      <c r="E2" s="33"/>
      <c r="F2" s="84">
        <f>(+H$3-H$4)*F$4/2</f>
        <v>0.05</v>
      </c>
      <c r="G2" s="85">
        <f>(+I$4-I$3)*G$4/2</f>
        <v>1.9270000000000013E-2</v>
      </c>
      <c r="H2" s="86"/>
      <c r="I2" s="86"/>
    </row>
    <row r="3" spans="1:21" ht="15.95" customHeight="1">
      <c r="A3" s="30"/>
      <c r="B3" s="31"/>
      <c r="C3" s="32"/>
      <c r="D3" s="33"/>
      <c r="E3" s="33"/>
      <c r="F3" s="84">
        <f>F4/(2*(+H3-H4))</f>
        <v>2E-3</v>
      </c>
      <c r="G3" s="85">
        <f>G4/(2*(+I4-I3))</f>
        <v>8.7234042553191449E-4</v>
      </c>
      <c r="H3" s="31">
        <v>22</v>
      </c>
      <c r="I3" s="31">
        <v>35</v>
      </c>
      <c r="J3" s="7"/>
    </row>
    <row r="4" spans="1:21" ht="15.75">
      <c r="A4" s="31"/>
      <c r="B4" s="31"/>
      <c r="C4" s="31"/>
      <c r="D4" s="35">
        <f>Parameters!G26</f>
        <v>8.3738425925925924E-2</v>
      </c>
      <c r="E4" s="36">
        <f>D4*1440</f>
        <v>120.58333333333333</v>
      </c>
      <c r="F4" s="34">
        <v>0.02</v>
      </c>
      <c r="G4" s="319">
        <v>8.2000000000000007E-3</v>
      </c>
      <c r="H4" s="31">
        <v>17</v>
      </c>
      <c r="I4" s="31">
        <v>39.700000000000003</v>
      </c>
    </row>
    <row r="5" spans="1:21" ht="15.75">
      <c r="A5" s="31"/>
      <c r="B5" s="31"/>
      <c r="C5" s="31"/>
      <c r="D5" s="35"/>
      <c r="E5" s="31">
        <f>E4*60</f>
        <v>7235</v>
      </c>
      <c r="F5" s="34">
        <v>2.2200000000000002E-3</v>
      </c>
      <c r="G5" s="319">
        <v>4.2000000000000002E-4</v>
      </c>
      <c r="H5" s="31">
        <v>16</v>
      </c>
      <c r="I5" s="31">
        <v>70.900000000000006</v>
      </c>
    </row>
    <row r="6" spans="1:21" ht="63">
      <c r="A6" s="320" t="s">
        <v>69</v>
      </c>
      <c r="B6" s="320" t="s">
        <v>393</v>
      </c>
      <c r="C6" s="320" t="s">
        <v>394</v>
      </c>
      <c r="D6" s="320" t="s">
        <v>408</v>
      </c>
      <c r="E6" s="320" t="s">
        <v>400</v>
      </c>
      <c r="F6" s="320" t="s">
        <v>382</v>
      </c>
      <c r="G6" s="320" t="s">
        <v>410</v>
      </c>
      <c r="H6" s="320" t="s">
        <v>381</v>
      </c>
      <c r="I6" s="320" t="s">
        <v>69</v>
      </c>
      <c r="J6" s="397" t="s">
        <v>409</v>
      </c>
      <c r="K6" s="398" t="s">
        <v>409</v>
      </c>
      <c r="L6" s="320" t="s">
        <v>1944</v>
      </c>
      <c r="M6" s="320" t="s">
        <v>1842</v>
      </c>
      <c r="N6" s="320" t="s">
        <v>1843</v>
      </c>
      <c r="O6" s="320" t="s">
        <v>239</v>
      </c>
      <c r="P6" s="399" t="s">
        <v>240</v>
      </c>
      <c r="Q6" s="320" t="s">
        <v>1844</v>
      </c>
      <c r="R6" s="320" t="s">
        <v>1845</v>
      </c>
      <c r="S6" s="320" t="s">
        <v>1846</v>
      </c>
      <c r="T6" s="160" t="s">
        <v>244</v>
      </c>
    </row>
    <row r="7" spans="1:21">
      <c r="A7" s="1">
        <v>1</v>
      </c>
      <c r="B7" s="419"/>
      <c r="F7" s="25"/>
      <c r="G7" s="25"/>
      <c r="I7" s="1">
        <v>1</v>
      </c>
      <c r="J7" s="327"/>
      <c r="K7" s="148"/>
      <c r="L7" s="326"/>
      <c r="M7" s="326"/>
      <c r="N7" s="326"/>
      <c r="O7" s="326"/>
      <c r="P7" s="326"/>
      <c r="Q7" s="326"/>
      <c r="R7" s="326"/>
      <c r="S7" s="326"/>
    </row>
    <row r="8" spans="1:21">
      <c r="A8" s="1">
        <v>2</v>
      </c>
      <c r="B8" s="419"/>
      <c r="F8" s="25"/>
      <c r="G8" s="25"/>
      <c r="I8" s="1">
        <v>2</v>
      </c>
      <c r="J8" s="327"/>
      <c r="K8" s="148"/>
      <c r="L8" s="326"/>
      <c r="M8" s="326"/>
      <c r="N8" s="326"/>
      <c r="O8" s="326"/>
      <c r="P8" s="326"/>
      <c r="Q8" s="326"/>
      <c r="R8" s="326"/>
      <c r="S8" s="326"/>
    </row>
    <row r="9" spans="1:21">
      <c r="A9" s="1">
        <v>3</v>
      </c>
      <c r="B9" s="419"/>
      <c r="C9" s="25"/>
      <c r="D9" s="25">
        <f t="shared" ref="D9:D41" si="0">E$4/E9</f>
        <v>409.03437358661239</v>
      </c>
      <c r="E9" s="4">
        <f t="shared" ref="E9:E31" si="1">ROUND(1-IF(A9&gt;=H$3,0,IF(A9&gt;=H$4,F$3*(A9-H$3)^2,F$2+F$4*(H$4-A9)+(A9&lt;H$5)*F$5*(H$5-A9)^2)),4)</f>
        <v>0.29480000000000001</v>
      </c>
      <c r="F9" s="25">
        <v>250.51482701812188</v>
      </c>
      <c r="G9" s="25"/>
      <c r="H9" s="167"/>
      <c r="I9" s="1">
        <v>3</v>
      </c>
      <c r="J9" s="327"/>
      <c r="K9" s="148"/>
      <c r="L9" s="382"/>
      <c r="M9" s="326"/>
      <c r="N9" s="326"/>
      <c r="O9" s="326"/>
      <c r="P9" s="383"/>
      <c r="Q9" s="326"/>
      <c r="R9" s="326"/>
      <c r="S9" s="326"/>
    </row>
    <row r="10" spans="1:21">
      <c r="A10" s="1">
        <v>4</v>
      </c>
      <c r="B10" s="421">
        <v>0.28934027777777777</v>
      </c>
      <c r="C10" s="25">
        <f t="shared" ref="C10:C43" si="2">B10*1440</f>
        <v>416.65</v>
      </c>
      <c r="D10" s="25">
        <f t="shared" si="0"/>
        <v>325.636871005491</v>
      </c>
      <c r="E10" s="4">
        <f t="shared" si="1"/>
        <v>0.37030000000000002</v>
      </c>
      <c r="F10" s="25">
        <v>222.15120525931337</v>
      </c>
      <c r="G10" s="25">
        <v>416.65</v>
      </c>
      <c r="H10" s="167"/>
      <c r="I10" s="1">
        <v>4</v>
      </c>
      <c r="J10" s="328">
        <f>100*(+F10/+C10)</f>
        <v>53.318421999115174</v>
      </c>
      <c r="K10" s="149">
        <f t="shared" ref="K10:K73" si="3">100*(+D10/+C10)</f>
        <v>78.155975280329059</v>
      </c>
      <c r="L10" s="384">
        <v>0.28934027777777777</v>
      </c>
      <c r="M10" s="330" t="s">
        <v>1466</v>
      </c>
      <c r="N10" s="330" t="s">
        <v>1847</v>
      </c>
      <c r="O10" s="330" t="s">
        <v>155</v>
      </c>
      <c r="P10" s="388">
        <v>24641</v>
      </c>
      <c r="Q10" s="330"/>
      <c r="R10" s="330" t="s">
        <v>1848</v>
      </c>
      <c r="S10" s="388">
        <v>26453</v>
      </c>
    </row>
    <row r="11" spans="1:21">
      <c r="A11" s="1">
        <v>5</v>
      </c>
      <c r="B11" s="421">
        <v>0.2257986111111111</v>
      </c>
      <c r="C11" s="25">
        <f t="shared" si="2"/>
        <v>325.14999999999998</v>
      </c>
      <c r="D11" s="25">
        <f t="shared" si="0"/>
        <v>273.1838090922821</v>
      </c>
      <c r="E11" s="4">
        <f t="shared" si="1"/>
        <v>0.44140000000000001</v>
      </c>
      <c r="F11" s="25">
        <v>200.87516512549536</v>
      </c>
      <c r="G11" s="25">
        <v>325.14999999999998</v>
      </c>
      <c r="H11" s="167">
        <f t="shared" ref="H11:H74" si="4">((F11-D11)/F11)</f>
        <v>-0.3599680623615788</v>
      </c>
      <c r="I11" s="1">
        <v>5</v>
      </c>
      <c r="J11" s="328">
        <f>100*(+F11/+C11)</f>
        <v>61.779229624940911</v>
      </c>
      <c r="K11" s="149">
        <f t="shared" si="3"/>
        <v>84.017779207221935</v>
      </c>
      <c r="L11" s="384">
        <v>0.2257986111111111</v>
      </c>
      <c r="M11" s="330"/>
      <c r="N11" s="330"/>
      <c r="O11" s="330"/>
      <c r="P11" s="388"/>
      <c r="Q11" s="330"/>
      <c r="R11" s="330"/>
      <c r="S11" s="388"/>
    </row>
    <row r="12" spans="1:21" ht="15.75">
      <c r="A12" s="1">
        <v>6</v>
      </c>
      <c r="B12" s="413">
        <v>0.27716435185185184</v>
      </c>
      <c r="C12" s="25">
        <f t="shared" si="2"/>
        <v>399.11666666666667</v>
      </c>
      <c r="D12" s="25">
        <f t="shared" si="0"/>
        <v>237.36876640419948</v>
      </c>
      <c r="E12" s="4">
        <f t="shared" si="1"/>
        <v>0.50800000000000001</v>
      </c>
      <c r="F12" s="25">
        <v>184.42995755003031</v>
      </c>
      <c r="G12" s="25">
        <v>399.11666666666667</v>
      </c>
      <c r="H12" s="167">
        <f t="shared" si="4"/>
        <v>-0.2870401834789148</v>
      </c>
      <c r="I12" s="1">
        <v>6</v>
      </c>
      <c r="J12" s="328">
        <f>100*(+F12/+C12)</f>
        <v>46.2095354449485</v>
      </c>
      <c r="K12" s="149">
        <f t="shared" si="3"/>
        <v>59.473528977541946</v>
      </c>
      <c r="L12" s="400">
        <v>0.27716435185185184</v>
      </c>
      <c r="M12" s="330" t="s">
        <v>1676</v>
      </c>
      <c r="N12" s="330" t="s">
        <v>1849</v>
      </c>
      <c r="O12" s="330" t="s">
        <v>155</v>
      </c>
      <c r="P12" s="388">
        <v>40405</v>
      </c>
      <c r="Q12" s="332"/>
      <c r="R12" s="330" t="s">
        <v>1850</v>
      </c>
      <c r="S12" s="388">
        <v>42764</v>
      </c>
      <c r="T12" s="181"/>
      <c r="U12" s="151"/>
    </row>
    <row r="13" spans="1:21" ht="15.75">
      <c r="A13" s="1">
        <v>7</v>
      </c>
      <c r="B13" s="413">
        <v>0.16953703703703704</v>
      </c>
      <c r="C13" s="25">
        <f t="shared" si="2"/>
        <v>244.13333333333333</v>
      </c>
      <c r="D13" s="25">
        <f t="shared" si="0"/>
        <v>211.47550567052494</v>
      </c>
      <c r="E13" s="4">
        <f t="shared" si="1"/>
        <v>0.57020000000000004</v>
      </c>
      <c r="F13" s="25">
        <v>171.43461104847799</v>
      </c>
      <c r="G13" s="25">
        <v>244.13333333333333</v>
      </c>
      <c r="H13" s="167">
        <f t="shared" si="4"/>
        <v>-0.23356365658696687</v>
      </c>
      <c r="I13" s="1">
        <v>7</v>
      </c>
      <c r="J13" s="328">
        <f t="shared" ref="J13:J76" si="5">100*(+F13/+C13)</f>
        <v>70.221713973980613</v>
      </c>
      <c r="K13" s="149">
        <f t="shared" si="3"/>
        <v>86.622954261547619</v>
      </c>
      <c r="L13" s="400">
        <v>0.16953703703703704</v>
      </c>
      <c r="M13" s="330" t="s">
        <v>1689</v>
      </c>
      <c r="N13" s="330" t="s">
        <v>1849</v>
      </c>
      <c r="O13" s="330" t="s">
        <v>155</v>
      </c>
      <c r="P13" s="388">
        <v>25228</v>
      </c>
      <c r="Q13" s="332"/>
      <c r="R13" s="330" t="s">
        <v>1851</v>
      </c>
      <c r="S13" s="388">
        <v>28009</v>
      </c>
      <c r="T13" s="181"/>
      <c r="U13" s="151"/>
    </row>
    <row r="14" spans="1:21" ht="15.75">
      <c r="A14" s="1">
        <v>8</v>
      </c>
      <c r="B14" s="413">
        <v>0.13564814814814816</v>
      </c>
      <c r="C14" s="25">
        <f t="shared" si="2"/>
        <v>195.33333333333334</v>
      </c>
      <c r="D14" s="25">
        <f t="shared" si="0"/>
        <v>192.04225725964855</v>
      </c>
      <c r="E14" s="4">
        <f t="shared" si="1"/>
        <v>0.62790000000000001</v>
      </c>
      <c r="F14" s="25">
        <v>160.99788247750129</v>
      </c>
      <c r="G14" s="25">
        <v>195.33333333333334</v>
      </c>
      <c r="H14" s="167">
        <f t="shared" si="4"/>
        <v>-0.19282473970727887</v>
      </c>
      <c r="I14" s="1">
        <v>8</v>
      </c>
      <c r="J14" s="328">
        <f t="shared" si="5"/>
        <v>82.422124135239557</v>
      </c>
      <c r="K14" s="149">
        <f t="shared" si="3"/>
        <v>98.315148767738165</v>
      </c>
      <c r="L14" s="400">
        <v>0.13564814814814816</v>
      </c>
      <c r="M14" s="330" t="s">
        <v>1689</v>
      </c>
      <c r="N14" s="330" t="s">
        <v>1690</v>
      </c>
      <c r="O14" s="330" t="s">
        <v>155</v>
      </c>
      <c r="P14" s="388">
        <v>25228</v>
      </c>
      <c r="Q14" s="332" t="s">
        <v>357</v>
      </c>
      <c r="R14" s="330" t="s">
        <v>361</v>
      </c>
      <c r="S14" s="388">
        <v>28393</v>
      </c>
      <c r="T14" s="181"/>
      <c r="U14" s="151"/>
    </row>
    <row r="15" spans="1:21" ht="15.75">
      <c r="A15" s="1">
        <v>9</v>
      </c>
      <c r="B15" s="413">
        <v>0.12288194444444445</v>
      </c>
      <c r="C15" s="25">
        <f t="shared" si="2"/>
        <v>176.95</v>
      </c>
      <c r="D15" s="25">
        <f t="shared" si="0"/>
        <v>177.01605010765314</v>
      </c>
      <c r="E15" s="4">
        <f t="shared" si="1"/>
        <v>0.68120000000000003</v>
      </c>
      <c r="F15" s="25">
        <v>152.52006018054161</v>
      </c>
      <c r="G15" s="25">
        <v>176.95</v>
      </c>
      <c r="H15" s="167">
        <f t="shared" si="4"/>
        <v>-0.16060831537907247</v>
      </c>
      <c r="I15" s="1">
        <v>9</v>
      </c>
      <c r="J15" s="328">
        <f t="shared" si="5"/>
        <v>86.193874077729077</v>
      </c>
      <c r="K15" s="149">
        <f t="shared" si="3"/>
        <v>100.03732698934907</v>
      </c>
      <c r="L15" s="400">
        <v>0.12288194444444445</v>
      </c>
      <c r="M15" s="330"/>
      <c r="N15" s="330"/>
      <c r="O15" s="330"/>
      <c r="P15" s="388"/>
      <c r="Q15" s="332"/>
      <c r="R15" s="330"/>
      <c r="S15" s="388"/>
      <c r="T15" s="181"/>
      <c r="U15" s="151"/>
    </row>
    <row r="16" spans="1:21" ht="15.75">
      <c r="A16" s="1">
        <v>10</v>
      </c>
      <c r="B16" s="413">
        <v>0.12665509259259258</v>
      </c>
      <c r="C16" s="25">
        <f t="shared" si="2"/>
        <v>182.38333333333333</v>
      </c>
      <c r="D16" s="25">
        <f t="shared" si="0"/>
        <v>165.16002374104005</v>
      </c>
      <c r="E16" s="4">
        <f t="shared" si="1"/>
        <v>0.73009999999999997</v>
      </c>
      <c r="F16" s="25">
        <v>145.58401148875058</v>
      </c>
      <c r="G16" s="25">
        <v>182.38333333333333</v>
      </c>
      <c r="H16" s="167">
        <f t="shared" si="4"/>
        <v>-0.13446539940824567</v>
      </c>
      <c r="I16" s="1">
        <v>10</v>
      </c>
      <c r="J16" s="328">
        <f t="shared" si="5"/>
        <v>79.823089548798649</v>
      </c>
      <c r="K16" s="149">
        <f t="shared" si="3"/>
        <v>90.556533166977999</v>
      </c>
      <c r="L16" s="400">
        <v>0.12665509259259258</v>
      </c>
      <c r="M16" s="330"/>
      <c r="N16" s="330"/>
      <c r="O16" s="330"/>
      <c r="P16" s="388"/>
      <c r="Q16" s="332"/>
      <c r="R16" s="330"/>
      <c r="S16" s="388"/>
      <c r="T16" s="181"/>
      <c r="U16" s="151"/>
    </row>
    <row r="17" spans="1:21" ht="15.75">
      <c r="A17" s="1">
        <v>11</v>
      </c>
      <c r="B17" s="413">
        <v>0.1180787037037037</v>
      </c>
      <c r="C17" s="25">
        <f t="shared" si="2"/>
        <v>170.03333333333333</v>
      </c>
      <c r="D17" s="25">
        <f t="shared" si="0"/>
        <v>155.6918442005595</v>
      </c>
      <c r="E17" s="4">
        <f t="shared" si="1"/>
        <v>0.77449999999999997</v>
      </c>
      <c r="F17" s="25">
        <v>139.89190432382705</v>
      </c>
      <c r="G17" s="25">
        <v>170.03333333333333</v>
      </c>
      <c r="H17" s="167">
        <f t="shared" si="4"/>
        <v>-0.11294391875714377</v>
      </c>
      <c r="I17" s="1">
        <v>11</v>
      </c>
      <c r="J17" s="328">
        <f t="shared" si="5"/>
        <v>82.273223480000226</v>
      </c>
      <c r="K17" s="149">
        <f t="shared" si="3"/>
        <v>91.565483748613701</v>
      </c>
      <c r="L17" s="400">
        <v>0.1180787037037037</v>
      </c>
      <c r="M17" s="330" t="s">
        <v>1689</v>
      </c>
      <c r="N17" s="330" t="s">
        <v>1690</v>
      </c>
      <c r="O17" s="330" t="s">
        <v>155</v>
      </c>
      <c r="P17" s="388">
        <v>25228</v>
      </c>
      <c r="Q17" s="332"/>
      <c r="R17" s="330" t="s">
        <v>1852</v>
      </c>
      <c r="S17" s="388">
        <v>29310</v>
      </c>
      <c r="T17" s="181"/>
      <c r="U17" s="151" t="s">
        <v>351</v>
      </c>
    </row>
    <row r="18" spans="1:21" ht="15.75">
      <c r="A18" s="1">
        <v>12</v>
      </c>
      <c r="B18" s="413">
        <v>0.12660879629629629</v>
      </c>
      <c r="C18" s="25">
        <f t="shared" si="2"/>
        <v>182.31666666666666</v>
      </c>
      <c r="D18" s="25">
        <f t="shared" si="0"/>
        <v>148.04583589113975</v>
      </c>
      <c r="E18" s="4">
        <f t="shared" si="1"/>
        <v>0.8145</v>
      </c>
      <c r="F18" s="25">
        <v>135.22676745220099</v>
      </c>
      <c r="G18" s="25">
        <v>182.31666666666666</v>
      </c>
      <c r="H18" s="167">
        <f t="shared" si="4"/>
        <v>-9.479682669682947E-2</v>
      </c>
      <c r="I18" s="1">
        <v>12</v>
      </c>
      <c r="J18" s="328">
        <f t="shared" si="5"/>
        <v>74.171368928897152</v>
      </c>
      <c r="K18" s="149">
        <f t="shared" si="3"/>
        <v>81.202579335116425</v>
      </c>
      <c r="L18" s="400">
        <v>0.12660879629629629</v>
      </c>
      <c r="M18" s="330" t="s">
        <v>1689</v>
      </c>
      <c r="N18" s="330" t="s">
        <v>1690</v>
      </c>
      <c r="O18" s="330" t="s">
        <v>155</v>
      </c>
      <c r="P18" s="388">
        <v>25228</v>
      </c>
      <c r="Q18" s="332"/>
      <c r="R18" s="330" t="s">
        <v>1851</v>
      </c>
      <c r="S18" s="388">
        <v>29836</v>
      </c>
      <c r="T18" s="181"/>
      <c r="U18" s="151"/>
    </row>
    <row r="19" spans="1:21" ht="15.75">
      <c r="A19" s="1">
        <v>13</v>
      </c>
      <c r="B19" s="413">
        <v>0.11321759259259261</v>
      </c>
      <c r="C19" s="25">
        <f t="shared" si="2"/>
        <v>163.03333333333336</v>
      </c>
      <c r="D19" s="25">
        <f t="shared" si="0"/>
        <v>141.86274509803923</v>
      </c>
      <c r="E19" s="4">
        <f t="shared" si="1"/>
        <v>0.85</v>
      </c>
      <c r="F19" s="25">
        <v>131.42826274848747</v>
      </c>
      <c r="G19" s="25">
        <v>163.03333333333336</v>
      </c>
      <c r="H19" s="167">
        <f t="shared" si="4"/>
        <v>-7.9392986952282016E-2</v>
      </c>
      <c r="I19" s="1">
        <v>13</v>
      </c>
      <c r="J19" s="328">
        <f t="shared" si="5"/>
        <v>80.614350489769436</v>
      </c>
      <c r="K19" s="149">
        <f t="shared" si="3"/>
        <v>87.014564566370396</v>
      </c>
      <c r="L19" s="400">
        <v>0.11321759259259261</v>
      </c>
      <c r="M19" s="330" t="s">
        <v>1492</v>
      </c>
      <c r="N19" s="330" t="s">
        <v>1853</v>
      </c>
      <c r="O19" s="330" t="s">
        <v>155</v>
      </c>
      <c r="P19" s="388">
        <v>23245</v>
      </c>
      <c r="Q19" s="332"/>
      <c r="R19" s="330" t="s">
        <v>752</v>
      </c>
      <c r="S19" s="388">
        <v>28140</v>
      </c>
      <c r="T19" s="181"/>
      <c r="U19" s="151"/>
    </row>
    <row r="20" spans="1:21" ht="15.75">
      <c r="A20" s="1">
        <v>14</v>
      </c>
      <c r="B20" s="420">
        <v>0.11230324074074073</v>
      </c>
      <c r="C20" s="25">
        <f t="shared" si="2"/>
        <v>161.71666666666664</v>
      </c>
      <c r="D20" s="25">
        <f t="shared" si="0"/>
        <v>136.8554458442099</v>
      </c>
      <c r="E20" s="4">
        <f t="shared" si="1"/>
        <v>0.88109999999999999</v>
      </c>
      <c r="F20" s="25">
        <v>128.37695230054874</v>
      </c>
      <c r="G20" s="25">
        <v>161.71666666666664</v>
      </c>
      <c r="H20" s="167">
        <f t="shared" si="4"/>
        <v>-6.6043735980051921E-2</v>
      </c>
      <c r="I20" s="1">
        <v>14</v>
      </c>
      <c r="J20" s="328">
        <f t="shared" si="5"/>
        <v>79.383872390321812</v>
      </c>
      <c r="K20" s="149">
        <f t="shared" si="3"/>
        <v>84.626679899542353</v>
      </c>
      <c r="L20" s="400">
        <v>0.11230324074074073</v>
      </c>
      <c r="M20" s="330" t="s">
        <v>1466</v>
      </c>
      <c r="N20" s="330" t="s">
        <v>1854</v>
      </c>
      <c r="O20" s="330" t="s">
        <v>155</v>
      </c>
      <c r="P20" s="388">
        <v>21953</v>
      </c>
      <c r="Q20" s="332"/>
      <c r="R20" s="330" t="s">
        <v>1855</v>
      </c>
      <c r="S20" s="388">
        <v>27349</v>
      </c>
      <c r="T20" s="181"/>
      <c r="U20" s="151"/>
    </row>
    <row r="21" spans="1:21" ht="15.75">
      <c r="A21" s="1">
        <v>15</v>
      </c>
      <c r="B21" s="413">
        <v>0.10359953703703705</v>
      </c>
      <c r="C21" s="25">
        <f t="shared" si="2"/>
        <v>149.18333333333334</v>
      </c>
      <c r="D21" s="25">
        <f t="shared" si="0"/>
        <v>132.83028567232134</v>
      </c>
      <c r="E21" s="4">
        <f t="shared" si="1"/>
        <v>0.90780000000000005</v>
      </c>
      <c r="F21" s="25">
        <v>125.98384424192211</v>
      </c>
      <c r="G21" s="25">
        <v>149.18333333333334</v>
      </c>
      <c r="H21" s="167">
        <f t="shared" si="4"/>
        <v>-5.4343804728265444E-2</v>
      </c>
      <c r="I21" s="1">
        <v>15</v>
      </c>
      <c r="J21" s="328">
        <f t="shared" si="5"/>
        <v>84.449007423922765</v>
      </c>
      <c r="K21" s="149">
        <f t="shared" si="3"/>
        <v>89.038287792864253</v>
      </c>
      <c r="L21" s="400">
        <v>0.10359953703703705</v>
      </c>
      <c r="M21" s="330" t="s">
        <v>1856</v>
      </c>
      <c r="N21" s="330" t="s">
        <v>1857</v>
      </c>
      <c r="O21" s="330" t="s">
        <v>155</v>
      </c>
      <c r="P21" s="388">
        <v>20639</v>
      </c>
      <c r="Q21" s="332"/>
      <c r="R21" s="330" t="s">
        <v>1858</v>
      </c>
      <c r="S21" s="388">
        <v>26342</v>
      </c>
      <c r="T21" s="181"/>
      <c r="U21" s="151"/>
    </row>
    <row r="22" spans="1:21" ht="15.75">
      <c r="A22" s="1">
        <v>16</v>
      </c>
      <c r="B22" s="413">
        <v>9.3831018518518508E-2</v>
      </c>
      <c r="C22" s="25">
        <f t="shared" si="2"/>
        <v>135.11666666666665</v>
      </c>
      <c r="D22" s="25">
        <f t="shared" si="0"/>
        <v>129.65949820788529</v>
      </c>
      <c r="E22" s="4">
        <f t="shared" si="1"/>
        <v>0.93</v>
      </c>
      <c r="F22" s="25">
        <v>124.18334013883216</v>
      </c>
      <c r="G22" s="25">
        <v>135.11666666666665</v>
      </c>
      <c r="H22" s="167">
        <f t="shared" si="4"/>
        <v>-4.4097364935835957E-2</v>
      </c>
      <c r="I22" s="1">
        <v>16</v>
      </c>
      <c r="J22" s="328">
        <f t="shared" si="5"/>
        <v>91.908232494510074</v>
      </c>
      <c r="K22" s="149">
        <f t="shared" si="3"/>
        <v>95.961143363428135</v>
      </c>
      <c r="L22" s="400">
        <v>9.3831018518518508E-2</v>
      </c>
      <c r="M22" s="330" t="s">
        <v>1859</v>
      </c>
      <c r="N22" s="330" t="s">
        <v>1860</v>
      </c>
      <c r="O22" s="330" t="s">
        <v>251</v>
      </c>
      <c r="P22" s="388">
        <v>30611</v>
      </c>
      <c r="Q22" s="332"/>
      <c r="R22" s="330" t="s">
        <v>252</v>
      </c>
      <c r="S22" s="388">
        <v>36814</v>
      </c>
      <c r="T22" s="181"/>
      <c r="U22" s="151"/>
    </row>
    <row r="23" spans="1:21" ht="15.75">
      <c r="A23" s="1">
        <v>17</v>
      </c>
      <c r="B23" s="414">
        <v>9.0810185185185188E-2</v>
      </c>
      <c r="C23" s="25">
        <f t="shared" si="2"/>
        <v>130.76666666666668</v>
      </c>
      <c r="D23" s="25">
        <f t="shared" si="0"/>
        <v>126.92982456140351</v>
      </c>
      <c r="E23" s="4">
        <f t="shared" si="1"/>
        <v>0.95</v>
      </c>
      <c r="F23" s="25">
        <v>122.68051633723275</v>
      </c>
      <c r="G23" s="25">
        <v>130.76666666666668</v>
      </c>
      <c r="H23" s="167">
        <f t="shared" si="4"/>
        <v>-3.4637188944412062E-2</v>
      </c>
      <c r="I23" s="1">
        <v>17</v>
      </c>
      <c r="J23" s="328">
        <f t="shared" si="5"/>
        <v>93.816352029492279</v>
      </c>
      <c r="K23" s="149">
        <f t="shared" si="3"/>
        <v>97.065886740813283</v>
      </c>
      <c r="L23" s="401">
        <v>9.0810185185185188E-2</v>
      </c>
      <c r="M23" s="330" t="s">
        <v>1859</v>
      </c>
      <c r="N23" s="330" t="s">
        <v>1860</v>
      </c>
      <c r="O23" s="330" t="s">
        <v>251</v>
      </c>
      <c r="P23" s="388">
        <v>30611</v>
      </c>
      <c r="Q23" s="332"/>
      <c r="R23" s="330" t="s">
        <v>252</v>
      </c>
      <c r="S23" s="388">
        <v>37178</v>
      </c>
      <c r="T23" s="181"/>
      <c r="U23" s="151"/>
    </row>
    <row r="24" spans="1:21" ht="15.75">
      <c r="A24" s="1">
        <v>18</v>
      </c>
      <c r="B24" s="414">
        <v>8.6481481481481479E-2</v>
      </c>
      <c r="C24" s="25">
        <f t="shared" si="2"/>
        <v>124.53333333333333</v>
      </c>
      <c r="D24" s="25">
        <f t="shared" si="0"/>
        <v>124.56955922865014</v>
      </c>
      <c r="E24" s="4">
        <f t="shared" si="1"/>
        <v>0.96799999999999997</v>
      </c>
      <c r="F24" s="25">
        <v>121.73347438243366</v>
      </c>
      <c r="G24" s="25">
        <v>124.53333333333333</v>
      </c>
      <c r="H24" s="167">
        <f t="shared" si="4"/>
        <v>-2.3297493648351264E-2</v>
      </c>
      <c r="I24" s="1">
        <v>18</v>
      </c>
      <c r="J24" s="328">
        <f t="shared" si="5"/>
        <v>97.751719257842879</v>
      </c>
      <c r="K24" s="149">
        <f t="shared" si="3"/>
        <v>100.02908931636789</v>
      </c>
      <c r="L24" s="401">
        <v>8.6481481481481479E-2</v>
      </c>
      <c r="M24" s="330" t="s">
        <v>1861</v>
      </c>
      <c r="N24" s="330" t="s">
        <v>1862</v>
      </c>
      <c r="O24" s="330" t="s">
        <v>163</v>
      </c>
      <c r="P24" s="388">
        <v>34865</v>
      </c>
      <c r="Q24" s="387" t="s">
        <v>354</v>
      </c>
      <c r="R24" s="330" t="s">
        <v>355</v>
      </c>
      <c r="S24" s="388">
        <v>41663</v>
      </c>
      <c r="T24" s="181"/>
      <c r="U24" s="151"/>
    </row>
    <row r="25" spans="1:21" ht="15.75">
      <c r="A25" s="1">
        <v>19</v>
      </c>
      <c r="B25" s="414">
        <v>8.666666666666667E-2</v>
      </c>
      <c r="C25" s="25">
        <f t="shared" si="2"/>
        <v>124.80000000000001</v>
      </c>
      <c r="D25" s="25">
        <f t="shared" si="0"/>
        <v>122.79361846571622</v>
      </c>
      <c r="E25" s="4">
        <f t="shared" si="1"/>
        <v>0.98199999999999998</v>
      </c>
      <c r="F25" s="25">
        <v>121.64999999999999</v>
      </c>
      <c r="G25" s="25">
        <v>124.80000000000001</v>
      </c>
      <c r="H25" s="167">
        <f t="shared" si="4"/>
        <v>-9.4008916211773957E-3</v>
      </c>
      <c r="I25" s="1">
        <v>19</v>
      </c>
      <c r="J25" s="328">
        <f t="shared" si="5"/>
        <v>97.475961538461519</v>
      </c>
      <c r="K25" s="149">
        <f t="shared" si="3"/>
        <v>98.392322488554655</v>
      </c>
      <c r="L25" s="401">
        <v>8.666666666666667E-2</v>
      </c>
      <c r="M25" s="330" t="s">
        <v>1863</v>
      </c>
      <c r="N25" s="330" t="s">
        <v>1864</v>
      </c>
      <c r="O25" s="330" t="s">
        <v>163</v>
      </c>
      <c r="P25" s="388">
        <v>34120</v>
      </c>
      <c r="Q25" s="387" t="s">
        <v>354</v>
      </c>
      <c r="R25" s="330" t="s">
        <v>355</v>
      </c>
      <c r="S25" s="388">
        <v>41299</v>
      </c>
      <c r="T25" s="181"/>
      <c r="U25" s="151"/>
    </row>
    <row r="26" spans="1:21" ht="15.75">
      <c r="A26" s="1">
        <v>20</v>
      </c>
      <c r="B26" s="414">
        <v>8.6643518518518522E-2</v>
      </c>
      <c r="C26" s="25">
        <f t="shared" si="2"/>
        <v>124.76666666666667</v>
      </c>
      <c r="D26" s="25">
        <f t="shared" si="0"/>
        <v>121.55577956989247</v>
      </c>
      <c r="E26" s="4">
        <f t="shared" si="1"/>
        <v>0.99199999999999999</v>
      </c>
      <c r="F26" s="25">
        <v>121.64999999999999</v>
      </c>
      <c r="G26" s="25">
        <v>124.76666666666667</v>
      </c>
      <c r="H26" s="167">
        <f t="shared" si="4"/>
        <v>7.7452059274579906E-4</v>
      </c>
      <c r="I26" s="1">
        <v>20</v>
      </c>
      <c r="J26" s="328">
        <f t="shared" si="5"/>
        <v>97.502003740315246</v>
      </c>
      <c r="K26" s="149">
        <f t="shared" si="3"/>
        <v>97.426486430584404</v>
      </c>
      <c r="L26" s="401">
        <v>8.6643518518518522E-2</v>
      </c>
      <c r="M26" s="330" t="s">
        <v>1861</v>
      </c>
      <c r="N26" s="330" t="s">
        <v>1862</v>
      </c>
      <c r="O26" s="330" t="s">
        <v>163</v>
      </c>
      <c r="P26" s="388">
        <v>34865</v>
      </c>
      <c r="Q26" s="387" t="s">
        <v>354</v>
      </c>
      <c r="R26" s="330" t="s">
        <v>355</v>
      </c>
      <c r="S26" s="388">
        <v>42391</v>
      </c>
      <c r="T26" s="181"/>
      <c r="U26" s="151"/>
    </row>
    <row r="27" spans="1:21" ht="15.75">
      <c r="A27" s="1">
        <v>21</v>
      </c>
      <c r="B27" s="414">
        <v>8.637731481481481E-2</v>
      </c>
      <c r="C27" s="25">
        <f t="shared" si="2"/>
        <v>124.38333333333333</v>
      </c>
      <c r="D27" s="25">
        <f t="shared" si="0"/>
        <v>120.82498329993319</v>
      </c>
      <c r="E27" s="4">
        <f t="shared" si="1"/>
        <v>0.998</v>
      </c>
      <c r="F27" s="25">
        <v>121.64999999999999</v>
      </c>
      <c r="G27" s="25">
        <v>124.38333333333333</v>
      </c>
      <c r="H27" s="167">
        <f t="shared" si="4"/>
        <v>6.7818882044126368E-3</v>
      </c>
      <c r="I27" s="1">
        <v>21</v>
      </c>
      <c r="J27" s="328">
        <f t="shared" si="5"/>
        <v>97.802492295323589</v>
      </c>
      <c r="K27" s="149">
        <f t="shared" si="3"/>
        <v>97.139206726463783</v>
      </c>
      <c r="L27" s="401">
        <v>8.637731481481481E-2</v>
      </c>
      <c r="M27" s="330" t="s">
        <v>1865</v>
      </c>
      <c r="N27" s="330" t="s">
        <v>1866</v>
      </c>
      <c r="O27" s="330" t="s">
        <v>163</v>
      </c>
      <c r="P27" s="388">
        <v>33235</v>
      </c>
      <c r="Q27" s="387" t="s">
        <v>354</v>
      </c>
      <c r="R27" s="330" t="s">
        <v>355</v>
      </c>
      <c r="S27" s="388">
        <v>40935</v>
      </c>
      <c r="T27" s="181"/>
      <c r="U27" s="151"/>
    </row>
    <row r="28" spans="1:21" ht="15.75">
      <c r="A28" s="1">
        <v>22</v>
      </c>
      <c r="B28" s="413">
        <v>8.671296296296295E-2</v>
      </c>
      <c r="C28" s="25">
        <f t="shared" si="2"/>
        <v>124.86666666666665</v>
      </c>
      <c r="D28" s="25">
        <f t="shared" si="0"/>
        <v>120.58333333333333</v>
      </c>
      <c r="E28" s="4">
        <f t="shared" si="1"/>
        <v>1</v>
      </c>
      <c r="F28" s="25">
        <v>121.64999999999999</v>
      </c>
      <c r="G28" s="25">
        <v>124.86666666666665</v>
      </c>
      <c r="H28" s="167">
        <f t="shared" si="4"/>
        <v>8.7683244280038052E-3</v>
      </c>
      <c r="I28" s="1">
        <v>22</v>
      </c>
      <c r="J28" s="328">
        <f t="shared" si="5"/>
        <v>97.423918846769894</v>
      </c>
      <c r="K28" s="149">
        <f t="shared" si="3"/>
        <v>96.569674319273901</v>
      </c>
      <c r="L28" s="400">
        <v>8.671296296296295E-2</v>
      </c>
      <c r="M28" s="330" t="s">
        <v>1867</v>
      </c>
      <c r="N28" s="330" t="s">
        <v>1868</v>
      </c>
      <c r="O28" s="330" t="s">
        <v>163</v>
      </c>
      <c r="P28" s="388">
        <v>32905</v>
      </c>
      <c r="Q28" s="332" t="s">
        <v>357</v>
      </c>
      <c r="R28" s="330" t="s">
        <v>361</v>
      </c>
      <c r="S28" s="388">
        <v>41189</v>
      </c>
      <c r="T28" s="181"/>
      <c r="U28" s="151"/>
    </row>
    <row r="29" spans="1:21" ht="15.75">
      <c r="A29" s="1">
        <v>23</v>
      </c>
      <c r="B29" s="416">
        <v>8.3738425925925924E-2</v>
      </c>
      <c r="C29" s="25">
        <f t="shared" si="2"/>
        <v>120.58333333333333</v>
      </c>
      <c r="D29" s="25">
        <f t="shared" si="0"/>
        <v>120.58333333333333</v>
      </c>
      <c r="E29" s="4">
        <f t="shared" si="1"/>
        <v>1</v>
      </c>
      <c r="F29" s="25">
        <v>121.64999999999999</v>
      </c>
      <c r="G29" s="25">
        <v>124.25</v>
      </c>
      <c r="H29" s="167">
        <f t="shared" si="4"/>
        <v>8.7683244280038052E-3</v>
      </c>
      <c r="I29" s="1">
        <v>23</v>
      </c>
      <c r="J29" s="328">
        <f t="shared" si="5"/>
        <v>100.88458880442295</v>
      </c>
      <c r="K29" s="149">
        <f t="shared" si="3"/>
        <v>100</v>
      </c>
      <c r="L29" s="441">
        <v>8.3738425925925924E-2</v>
      </c>
      <c r="M29" s="390" t="s">
        <v>1869</v>
      </c>
      <c r="N29" s="403" t="s">
        <v>1719</v>
      </c>
      <c r="O29" s="404" t="s">
        <v>160</v>
      </c>
      <c r="P29" s="405">
        <v>36496</v>
      </c>
      <c r="Q29" s="392" t="s">
        <v>357</v>
      </c>
      <c r="R29" s="390" t="s">
        <v>361</v>
      </c>
      <c r="S29" s="406">
        <v>45207</v>
      </c>
      <c r="T29" s="181"/>
      <c r="U29" s="151"/>
    </row>
    <row r="30" spans="1:21" ht="15.75">
      <c r="A30" s="1">
        <v>24</v>
      </c>
      <c r="B30" s="413">
        <v>8.6134259259259258E-2</v>
      </c>
      <c r="C30" s="25">
        <f t="shared" si="2"/>
        <v>124.03333333333333</v>
      </c>
      <c r="D30" s="25">
        <f t="shared" si="0"/>
        <v>120.58333333333333</v>
      </c>
      <c r="E30" s="4">
        <f t="shared" si="1"/>
        <v>1</v>
      </c>
      <c r="F30" s="25">
        <v>121.64999999999999</v>
      </c>
      <c r="G30" s="25">
        <v>124.03333333333333</v>
      </c>
      <c r="H30" s="167">
        <f t="shared" si="4"/>
        <v>8.7683244280038052E-3</v>
      </c>
      <c r="I30" s="1">
        <v>24</v>
      </c>
      <c r="J30" s="328">
        <f t="shared" si="5"/>
        <v>98.078473528621331</v>
      </c>
      <c r="K30" s="149">
        <f t="shared" si="3"/>
        <v>97.218489653318997</v>
      </c>
      <c r="L30" s="400">
        <v>8.6134259259259258E-2</v>
      </c>
      <c r="M30" s="330" t="s">
        <v>1870</v>
      </c>
      <c r="N30" s="330" t="s">
        <v>1871</v>
      </c>
      <c r="O30" s="330" t="s">
        <v>163</v>
      </c>
      <c r="P30" s="388">
        <v>34232</v>
      </c>
      <c r="Q30" s="387" t="s">
        <v>354</v>
      </c>
      <c r="R30" s="330" t="s">
        <v>355</v>
      </c>
      <c r="S30" s="388">
        <v>43126</v>
      </c>
      <c r="T30" s="181"/>
      <c r="U30" s="151"/>
    </row>
    <row r="31" spans="1:21" ht="15.75">
      <c r="A31" s="1">
        <v>25</v>
      </c>
      <c r="B31" s="413">
        <v>8.5277777777777786E-2</v>
      </c>
      <c r="C31" s="25">
        <f t="shared" si="2"/>
        <v>122.80000000000001</v>
      </c>
      <c r="D31" s="25">
        <f t="shared" si="0"/>
        <v>120.58333333333333</v>
      </c>
      <c r="E31" s="4">
        <f t="shared" si="1"/>
        <v>1</v>
      </c>
      <c r="F31" s="25">
        <v>121.64999999999999</v>
      </c>
      <c r="G31" s="25">
        <v>122.80000000000001</v>
      </c>
      <c r="H31" s="167">
        <f t="shared" si="4"/>
        <v>8.7683244280038052E-3</v>
      </c>
      <c r="I31" s="1">
        <v>25</v>
      </c>
      <c r="J31" s="328">
        <f t="shared" si="5"/>
        <v>99.063517915309433</v>
      </c>
      <c r="K31" s="149">
        <f t="shared" si="3"/>
        <v>98.194896851248629</v>
      </c>
      <c r="L31" s="400">
        <v>8.5277777777777786E-2</v>
      </c>
      <c r="M31" s="330" t="s">
        <v>1437</v>
      </c>
      <c r="N31" s="330" t="s">
        <v>1872</v>
      </c>
      <c r="O31" s="330" t="s">
        <v>163</v>
      </c>
      <c r="P31" s="388">
        <v>34588</v>
      </c>
      <c r="Q31" s="332" t="s">
        <v>359</v>
      </c>
      <c r="R31" s="330" t="s">
        <v>261</v>
      </c>
      <c r="S31" s="388">
        <v>43737</v>
      </c>
      <c r="T31" s="181"/>
      <c r="U31" s="151"/>
    </row>
    <row r="32" spans="1:21" ht="15.75">
      <c r="A32" s="1">
        <v>26</v>
      </c>
      <c r="B32" s="413">
        <v>8.5856481481481492E-2</v>
      </c>
      <c r="C32" s="25">
        <f t="shared" si="2"/>
        <v>123.63333333333335</v>
      </c>
      <c r="D32" s="25">
        <f t="shared" si="0"/>
        <v>120.58333333333333</v>
      </c>
      <c r="E32" s="4">
        <f>1-IF(A32&gt;=H$3,0,IF(A32&gt;=H$4,F$3*(A32-H$3)^2,F$2+F$4*(H$4-A32)+(A32&lt;H$5)*F$5*(H$5-A32)^2))</f>
        <v>1</v>
      </c>
      <c r="F32" s="25">
        <v>121.64999999999999</v>
      </c>
      <c r="G32" s="25">
        <v>123.63333333333335</v>
      </c>
      <c r="H32" s="167">
        <f t="shared" si="4"/>
        <v>8.7683244280038052E-3</v>
      </c>
      <c r="I32" s="1">
        <v>26</v>
      </c>
      <c r="J32" s="328">
        <f t="shared" si="5"/>
        <v>98.395794014559158</v>
      </c>
      <c r="K32" s="149">
        <f t="shared" si="3"/>
        <v>97.53302777028847</v>
      </c>
      <c r="L32" s="400">
        <v>8.5856481481481492E-2</v>
      </c>
      <c r="M32" s="330" t="s">
        <v>1632</v>
      </c>
      <c r="N32" s="330" t="s">
        <v>1709</v>
      </c>
      <c r="O32" s="330" t="s">
        <v>160</v>
      </c>
      <c r="P32" s="388">
        <v>31108</v>
      </c>
      <c r="Q32" s="332" t="s">
        <v>359</v>
      </c>
      <c r="R32" s="330" t="s">
        <v>261</v>
      </c>
      <c r="S32" s="388">
        <v>40811</v>
      </c>
      <c r="T32" s="192" t="s">
        <v>387</v>
      </c>
      <c r="U32" s="151"/>
    </row>
    <row r="33" spans="1:21" ht="15.75">
      <c r="A33" s="1">
        <v>27</v>
      </c>
      <c r="B33" s="413">
        <v>8.5358796296296294E-2</v>
      </c>
      <c r="C33" s="25">
        <f t="shared" si="2"/>
        <v>122.91666666666666</v>
      </c>
      <c r="D33" s="25">
        <f t="shared" si="0"/>
        <v>120.58333333333333</v>
      </c>
      <c r="E33" s="4">
        <f>1-IF(A33&gt;=H$3,0,IF(A33&gt;=H$4,F$3*(A33-H$3)^2,F$2+F$4*(H$4-A33)+(A33&lt;H$5)*F$5*(H$5-A33)^2))</f>
        <v>1</v>
      </c>
      <c r="F33" s="25">
        <v>121.64999999999999</v>
      </c>
      <c r="G33" s="25">
        <v>122.91666666666666</v>
      </c>
      <c r="H33" s="167">
        <f t="shared" si="4"/>
        <v>8.7683244280038052E-3</v>
      </c>
      <c r="I33" s="1">
        <v>27</v>
      </c>
      <c r="J33" s="328">
        <f t="shared" si="5"/>
        <v>98.96949152542372</v>
      </c>
      <c r="K33" s="149">
        <f t="shared" si="3"/>
        <v>98.101694915254242</v>
      </c>
      <c r="L33" s="400">
        <v>8.5358796296296294E-2</v>
      </c>
      <c r="M33" s="330" t="s">
        <v>1873</v>
      </c>
      <c r="N33" s="330" t="s">
        <v>1874</v>
      </c>
      <c r="O33" s="330" t="s">
        <v>163</v>
      </c>
      <c r="P33" s="388">
        <v>33646</v>
      </c>
      <c r="Q33" s="332" t="s">
        <v>356</v>
      </c>
      <c r="R33" s="330" t="s">
        <v>173</v>
      </c>
      <c r="S33" s="388">
        <v>43583</v>
      </c>
      <c r="T33" s="181"/>
      <c r="U33" s="151"/>
    </row>
    <row r="34" spans="1:21" ht="15.75">
      <c r="A34" s="1">
        <v>28</v>
      </c>
      <c r="B34" s="413">
        <v>8.5833333333333331E-2</v>
      </c>
      <c r="C34" s="25">
        <f t="shared" si="2"/>
        <v>123.6</v>
      </c>
      <c r="D34" s="25">
        <f t="shared" si="0"/>
        <v>120.58333333333333</v>
      </c>
      <c r="E34" s="4">
        <f t="shared" ref="E34:E65" si="6">ROUND(1-IF(A34&lt;I$3,0,IF(A34&lt;I$4,G$3*(A34-I$3)^2,G$2+G$4*(A34-I$4)+(A34&gt;I$5)*G$5*(A34-I$5)^2)),4)</f>
        <v>1</v>
      </c>
      <c r="F34" s="25">
        <v>121.64999999999999</v>
      </c>
      <c r="G34" s="25">
        <v>123.6</v>
      </c>
      <c r="H34" s="167">
        <f t="shared" si="4"/>
        <v>8.7683244280038052E-3</v>
      </c>
      <c r="I34" s="1">
        <v>28</v>
      </c>
      <c r="J34" s="328">
        <f t="shared" si="5"/>
        <v>98.422330097087368</v>
      </c>
      <c r="K34" s="149">
        <f t="shared" si="3"/>
        <v>97.559331175836022</v>
      </c>
      <c r="L34" s="400">
        <v>8.5833333333333331E-2</v>
      </c>
      <c r="M34" s="330" t="s">
        <v>1875</v>
      </c>
      <c r="N34" s="330" t="s">
        <v>1876</v>
      </c>
      <c r="O34" s="330" t="s">
        <v>163</v>
      </c>
      <c r="P34" s="388">
        <v>33219</v>
      </c>
      <c r="Q34" s="332" t="s">
        <v>359</v>
      </c>
      <c r="R34" s="330" t="s">
        <v>261</v>
      </c>
      <c r="S34" s="388">
        <v>43737</v>
      </c>
      <c r="T34" s="181"/>
      <c r="U34" s="151"/>
    </row>
    <row r="35" spans="1:21" ht="15.75">
      <c r="A35" s="1">
        <v>29</v>
      </c>
      <c r="B35" s="413">
        <v>8.5578703703703699E-2</v>
      </c>
      <c r="C35" s="25">
        <f t="shared" si="2"/>
        <v>123.23333333333332</v>
      </c>
      <c r="D35" s="25">
        <f t="shared" si="0"/>
        <v>120.58333333333333</v>
      </c>
      <c r="E35" s="4">
        <f t="shared" si="6"/>
        <v>1</v>
      </c>
      <c r="F35" s="25">
        <v>121.64999999999999</v>
      </c>
      <c r="G35" s="25">
        <v>123.23333333333332</v>
      </c>
      <c r="H35" s="167">
        <f t="shared" si="4"/>
        <v>8.7683244280038052E-3</v>
      </c>
      <c r="I35" s="1">
        <v>29</v>
      </c>
      <c r="J35" s="328">
        <f t="shared" si="5"/>
        <v>98.715174465783079</v>
      </c>
      <c r="K35" s="149">
        <f t="shared" si="3"/>
        <v>97.849607790100094</v>
      </c>
      <c r="L35" s="400">
        <v>8.5578703703703699E-2</v>
      </c>
      <c r="M35" s="330" t="s">
        <v>1877</v>
      </c>
      <c r="N35" s="330" t="s">
        <v>1878</v>
      </c>
      <c r="O35" s="330" t="s">
        <v>160</v>
      </c>
      <c r="P35" s="388">
        <v>30967</v>
      </c>
      <c r="Q35" s="332" t="s">
        <v>359</v>
      </c>
      <c r="R35" s="330" t="s">
        <v>261</v>
      </c>
      <c r="S35" s="388">
        <v>41910</v>
      </c>
      <c r="T35" s="181"/>
      <c r="U35" s="151"/>
    </row>
    <row r="36" spans="1:21" ht="15.75">
      <c r="A36" s="1">
        <v>30</v>
      </c>
      <c r="B36" s="413">
        <v>8.5381944444444455E-2</v>
      </c>
      <c r="C36" s="25">
        <f t="shared" si="2"/>
        <v>122.95000000000002</v>
      </c>
      <c r="D36" s="25">
        <f t="shared" si="0"/>
        <v>120.58333333333333</v>
      </c>
      <c r="E36" s="4">
        <f t="shared" si="6"/>
        <v>1</v>
      </c>
      <c r="F36" s="25">
        <v>121.64999999999999</v>
      </c>
      <c r="G36" s="25">
        <v>122.95000000000002</v>
      </c>
      <c r="H36" s="167">
        <f t="shared" si="4"/>
        <v>8.7683244280038052E-3</v>
      </c>
      <c r="I36" s="1">
        <v>30</v>
      </c>
      <c r="J36" s="328">
        <f t="shared" si="5"/>
        <v>98.942659617730769</v>
      </c>
      <c r="K36" s="149">
        <f t="shared" si="3"/>
        <v>98.075098278432947</v>
      </c>
      <c r="L36" s="400">
        <v>8.5381944444444455E-2</v>
      </c>
      <c r="M36" s="330" t="s">
        <v>1471</v>
      </c>
      <c r="N36" s="330" t="s">
        <v>1879</v>
      </c>
      <c r="O36" s="330" t="s">
        <v>160</v>
      </c>
      <c r="P36" s="388">
        <v>30703</v>
      </c>
      <c r="Q36" s="332" t="s">
        <v>359</v>
      </c>
      <c r="R36" s="330" t="s">
        <v>261</v>
      </c>
      <c r="S36" s="388">
        <v>41910</v>
      </c>
      <c r="T36" s="181"/>
      <c r="U36" s="151"/>
    </row>
    <row r="37" spans="1:21" ht="15.75">
      <c r="A37" s="1">
        <v>31</v>
      </c>
      <c r="B37" s="413">
        <v>8.5474537037037043E-2</v>
      </c>
      <c r="C37" s="25">
        <f t="shared" si="2"/>
        <v>123.08333333333334</v>
      </c>
      <c r="D37" s="25">
        <f t="shared" si="0"/>
        <v>120.58333333333333</v>
      </c>
      <c r="E37" s="4">
        <f t="shared" si="6"/>
        <v>1</v>
      </c>
      <c r="F37" s="25">
        <v>121.64999999999999</v>
      </c>
      <c r="G37" s="25">
        <v>123.08333333333334</v>
      </c>
      <c r="H37" s="167">
        <f t="shared" si="4"/>
        <v>8.7683244280038052E-3</v>
      </c>
      <c r="I37" s="1">
        <v>31</v>
      </c>
      <c r="J37" s="328">
        <f t="shared" si="5"/>
        <v>98.83547731888963</v>
      </c>
      <c r="K37" s="149">
        <f t="shared" si="3"/>
        <v>97.96885578876099</v>
      </c>
      <c r="L37" s="400">
        <v>8.5474537037037043E-2</v>
      </c>
      <c r="M37" s="330" t="s">
        <v>1438</v>
      </c>
      <c r="N37" s="330" t="s">
        <v>1880</v>
      </c>
      <c r="O37" s="330" t="s">
        <v>160</v>
      </c>
      <c r="P37" s="388">
        <v>30991</v>
      </c>
      <c r="Q37" s="332" t="s">
        <v>356</v>
      </c>
      <c r="R37" s="330" t="s">
        <v>173</v>
      </c>
      <c r="S37" s="388">
        <v>42484</v>
      </c>
      <c r="T37" s="181"/>
      <c r="U37" s="151"/>
    </row>
    <row r="38" spans="1:21" ht="15.75">
      <c r="A38" s="1">
        <v>32</v>
      </c>
      <c r="B38" s="413">
        <v>8.5787037037037037E-2</v>
      </c>
      <c r="C38" s="25">
        <f t="shared" si="2"/>
        <v>123.53333333333333</v>
      </c>
      <c r="D38" s="25">
        <f t="shared" si="0"/>
        <v>120.58333333333333</v>
      </c>
      <c r="E38" s="4">
        <f t="shared" si="6"/>
        <v>1</v>
      </c>
      <c r="F38" s="25">
        <v>121.67390955041175</v>
      </c>
      <c r="G38" s="25">
        <v>123.53333333333333</v>
      </c>
      <c r="H38" s="167">
        <f t="shared" si="4"/>
        <v>8.9631065616953449E-3</v>
      </c>
      <c r="I38" s="1">
        <v>32</v>
      </c>
      <c r="J38" s="328">
        <f t="shared" si="5"/>
        <v>98.494799959858398</v>
      </c>
      <c r="K38" s="149">
        <f t="shared" si="3"/>
        <v>97.611980572045326</v>
      </c>
      <c r="L38" s="400">
        <v>8.5787037037037037E-2</v>
      </c>
      <c r="M38" s="330" t="s">
        <v>1438</v>
      </c>
      <c r="N38" s="330" t="s">
        <v>1880</v>
      </c>
      <c r="O38" s="330" t="s">
        <v>160</v>
      </c>
      <c r="P38" s="388">
        <v>30991</v>
      </c>
      <c r="Q38" s="332" t="s">
        <v>359</v>
      </c>
      <c r="R38" s="330" t="s">
        <v>261</v>
      </c>
      <c r="S38" s="388">
        <v>43002</v>
      </c>
      <c r="T38" s="181"/>
      <c r="U38" s="151"/>
    </row>
    <row r="39" spans="1:21" ht="15.75">
      <c r="A39" s="1">
        <v>33</v>
      </c>
      <c r="B39" s="413">
        <v>8.4479166666666661E-2</v>
      </c>
      <c r="C39" s="25">
        <f t="shared" si="2"/>
        <v>121.64999999999999</v>
      </c>
      <c r="D39" s="25">
        <f t="shared" si="0"/>
        <v>120.58333333333333</v>
      </c>
      <c r="E39" s="4">
        <f t="shared" si="6"/>
        <v>1</v>
      </c>
      <c r="F39" s="25">
        <v>121.79115343567413</v>
      </c>
      <c r="G39" s="25">
        <v>121.64999999999999</v>
      </c>
      <c r="H39" s="167">
        <f t="shared" si="4"/>
        <v>9.9171415022252241E-3</v>
      </c>
      <c r="I39" s="1">
        <v>33</v>
      </c>
      <c r="J39" s="328">
        <f t="shared" si="5"/>
        <v>100.11603241732358</v>
      </c>
      <c r="K39" s="149">
        <f t="shared" si="3"/>
        <v>99.123167557199622</v>
      </c>
      <c r="L39" s="400">
        <v>8.4479166666666661E-2</v>
      </c>
      <c r="M39" s="330" t="s">
        <v>1438</v>
      </c>
      <c r="N39" s="330" t="s">
        <v>1880</v>
      </c>
      <c r="O39" s="330" t="s">
        <v>160</v>
      </c>
      <c r="P39" s="388">
        <v>30991</v>
      </c>
      <c r="Q39" s="332" t="s">
        <v>359</v>
      </c>
      <c r="R39" s="330" t="s">
        <v>261</v>
      </c>
      <c r="S39" s="388">
        <v>43359</v>
      </c>
      <c r="T39" s="181"/>
      <c r="U39" s="151"/>
    </row>
    <row r="40" spans="1:21" ht="15.75">
      <c r="A40" s="1">
        <v>34</v>
      </c>
      <c r="B40" s="413">
        <v>8.5150462962962969E-2</v>
      </c>
      <c r="C40" s="25">
        <f t="shared" si="2"/>
        <v>122.61666666666667</v>
      </c>
      <c r="D40" s="25">
        <f t="shared" si="0"/>
        <v>120.58333333333333</v>
      </c>
      <c r="E40" s="4">
        <f t="shared" si="6"/>
        <v>1</v>
      </c>
      <c r="F40" s="25">
        <v>122.00668844035674</v>
      </c>
      <c r="G40" s="25">
        <v>122.61666666666667</v>
      </c>
      <c r="H40" s="167">
        <f t="shared" si="4"/>
        <v>1.1666205559863399E-2</v>
      </c>
      <c r="I40" s="1">
        <v>34</v>
      </c>
      <c r="J40" s="328">
        <f t="shared" si="5"/>
        <v>99.502532369463154</v>
      </c>
      <c r="K40" s="149">
        <f t="shared" si="3"/>
        <v>98.341715373114042</v>
      </c>
      <c r="L40" s="400">
        <v>8.5150462962962969E-2</v>
      </c>
      <c r="M40" s="330" t="s">
        <v>1438</v>
      </c>
      <c r="N40" s="330" t="s">
        <v>1880</v>
      </c>
      <c r="O40" s="330" t="s">
        <v>160</v>
      </c>
      <c r="P40" s="388">
        <v>30991</v>
      </c>
      <c r="Q40" s="332" t="s">
        <v>356</v>
      </c>
      <c r="R40" s="330" t="s">
        <v>173</v>
      </c>
      <c r="S40" s="388">
        <v>43583</v>
      </c>
      <c r="T40" s="181"/>
      <c r="U40" s="151"/>
    </row>
    <row r="41" spans="1:21" ht="15.75">
      <c r="A41" s="1">
        <v>35</v>
      </c>
      <c r="B41" s="413">
        <v>8.6099537037037044E-2</v>
      </c>
      <c r="C41" s="25">
        <f t="shared" si="2"/>
        <v>123.98333333333335</v>
      </c>
      <c r="D41" s="25">
        <f t="shared" si="0"/>
        <v>120.58333333333333</v>
      </c>
      <c r="E41" s="4">
        <f t="shared" si="6"/>
        <v>1</v>
      </c>
      <c r="F41" s="25">
        <v>122.32155923169904</v>
      </c>
      <c r="G41" s="25">
        <v>123.98333333333335</v>
      </c>
      <c r="H41" s="167">
        <f t="shared" si="4"/>
        <v>1.4210298734609815E-2</v>
      </c>
      <c r="I41" s="1">
        <v>35</v>
      </c>
      <c r="J41" s="328">
        <f t="shared" si="5"/>
        <v>98.659679444843945</v>
      </c>
      <c r="K41" s="149">
        <f t="shared" si="3"/>
        <v>97.257695926871875</v>
      </c>
      <c r="L41" s="400">
        <v>8.6099537037037044E-2</v>
      </c>
      <c r="M41" s="330" t="s">
        <v>1594</v>
      </c>
      <c r="N41" s="330" t="s">
        <v>1595</v>
      </c>
      <c r="O41" s="330" t="s">
        <v>163</v>
      </c>
      <c r="P41" s="388">
        <v>26772</v>
      </c>
      <c r="Q41" s="332" t="s">
        <v>359</v>
      </c>
      <c r="R41" s="330" t="s">
        <v>261</v>
      </c>
      <c r="S41" s="388">
        <v>39719</v>
      </c>
      <c r="T41" s="181"/>
      <c r="U41" s="151"/>
    </row>
    <row r="42" spans="1:21" ht="15.75">
      <c r="A42" s="1">
        <v>36</v>
      </c>
      <c r="B42" s="413">
        <v>8.711805555555556E-2</v>
      </c>
      <c r="C42" s="25">
        <f t="shared" si="2"/>
        <v>125.45</v>
      </c>
      <c r="D42" s="25">
        <f t="shared" ref="D42:D73" si="7">E$4/E42</f>
        <v>120.69195609381777</v>
      </c>
      <c r="E42" s="4">
        <f t="shared" si="6"/>
        <v>0.99909999999999999</v>
      </c>
      <c r="F42" s="25">
        <v>122.73730192038649</v>
      </c>
      <c r="G42" s="25">
        <v>125.45</v>
      </c>
      <c r="H42" s="167">
        <f t="shared" si="4"/>
        <v>1.6664419003567743E-2</v>
      </c>
      <c r="I42" s="1">
        <v>36</v>
      </c>
      <c r="J42" s="328">
        <f t="shared" si="5"/>
        <v>97.837626082412498</v>
      </c>
      <c r="K42" s="149">
        <f t="shared" si="3"/>
        <v>96.20721888706079</v>
      </c>
      <c r="L42" s="400">
        <v>8.711805555555556E-2</v>
      </c>
      <c r="M42" s="330" t="s">
        <v>1723</v>
      </c>
      <c r="N42" s="330" t="s">
        <v>1724</v>
      </c>
      <c r="O42" s="330" t="s">
        <v>1381</v>
      </c>
      <c r="P42" s="407">
        <v>26441</v>
      </c>
      <c r="Q42" s="332" t="s">
        <v>356</v>
      </c>
      <c r="R42" s="408" t="s">
        <v>173</v>
      </c>
      <c r="S42" s="388">
        <v>39929</v>
      </c>
      <c r="T42" s="181"/>
      <c r="U42" s="151"/>
    </row>
    <row r="43" spans="1:21" ht="15.75">
      <c r="A43" s="1">
        <v>37</v>
      </c>
      <c r="B43" s="413">
        <v>8.4502314814814808E-2</v>
      </c>
      <c r="C43" s="25">
        <f t="shared" si="2"/>
        <v>121.68333333333332</v>
      </c>
      <c r="D43" s="25">
        <f t="shared" si="7"/>
        <v>121.00685733400233</v>
      </c>
      <c r="E43" s="4">
        <f t="shared" si="6"/>
        <v>0.99650000000000005</v>
      </c>
      <c r="F43" s="25">
        <v>123.25596293370468</v>
      </c>
      <c r="G43" s="25">
        <v>121.68333333333332</v>
      </c>
      <c r="H43" s="167">
        <f t="shared" si="4"/>
        <v>1.8247438470072774E-2</v>
      </c>
      <c r="I43" s="1">
        <v>37</v>
      </c>
      <c r="J43" s="328">
        <f t="shared" si="5"/>
        <v>101.29239523383484</v>
      </c>
      <c r="K43" s="149">
        <f t="shared" si="3"/>
        <v>99.444068484319146</v>
      </c>
      <c r="L43" s="400">
        <v>8.4502314814814808E-2</v>
      </c>
      <c r="M43" s="330" t="s">
        <v>1881</v>
      </c>
      <c r="N43" s="330" t="s">
        <v>1882</v>
      </c>
      <c r="O43" s="330" t="s">
        <v>163</v>
      </c>
      <c r="P43" s="407">
        <v>30115</v>
      </c>
      <c r="Q43" s="332" t="s">
        <v>359</v>
      </c>
      <c r="R43" s="408" t="s">
        <v>261</v>
      </c>
      <c r="S43" s="388">
        <v>43737</v>
      </c>
      <c r="T43" s="181"/>
      <c r="U43" s="151"/>
    </row>
    <row r="44" spans="1:21" ht="15.75">
      <c r="A44" s="1">
        <v>38</v>
      </c>
      <c r="B44" s="416">
        <v>8.520833333333333E-2</v>
      </c>
      <c r="C44" s="25">
        <f t="shared" ref="C44:C75" si="8">B44*1440</f>
        <v>122.69999999999999</v>
      </c>
      <c r="D44" s="25">
        <f t="shared" si="7"/>
        <v>121.5435271981991</v>
      </c>
      <c r="E44" s="4">
        <f t="shared" si="6"/>
        <v>0.99209999999999998</v>
      </c>
      <c r="F44" s="25">
        <v>123.88012448304019</v>
      </c>
      <c r="G44" s="25">
        <v>126.08333333333333</v>
      </c>
      <c r="H44" s="167">
        <f t="shared" si="4"/>
        <v>1.8861760872390651E-2</v>
      </c>
      <c r="I44" s="1">
        <v>38</v>
      </c>
      <c r="J44" s="328">
        <f t="shared" si="5"/>
        <v>100.96179664469453</v>
      </c>
      <c r="K44" s="149">
        <f t="shared" si="3"/>
        <v>99.057479379135387</v>
      </c>
      <c r="L44" s="402">
        <v>8.520833333333333E-2</v>
      </c>
      <c r="M44" s="157" t="s">
        <v>1438</v>
      </c>
      <c r="N44" s="153" t="s">
        <v>1880</v>
      </c>
      <c r="O44" s="153" t="s">
        <v>160</v>
      </c>
      <c r="P44" s="182">
        <v>30991</v>
      </c>
      <c r="Q44" s="409" t="s">
        <v>359</v>
      </c>
      <c r="R44" s="157" t="s">
        <v>261</v>
      </c>
      <c r="S44" s="410">
        <v>45193</v>
      </c>
      <c r="T44" s="181"/>
      <c r="U44" s="151"/>
    </row>
    <row r="45" spans="1:21" ht="15.75">
      <c r="A45" s="1">
        <v>39</v>
      </c>
      <c r="B45" s="413">
        <v>8.7500000000000008E-2</v>
      </c>
      <c r="C45" s="25">
        <f t="shared" si="8"/>
        <v>126.00000000000001</v>
      </c>
      <c r="D45" s="25">
        <f t="shared" si="7"/>
        <v>122.29546991210277</v>
      </c>
      <c r="E45" s="4">
        <f t="shared" si="6"/>
        <v>0.98599999999999999</v>
      </c>
      <c r="F45" s="25">
        <v>124.61293722441846</v>
      </c>
      <c r="G45" s="25">
        <v>126.00000000000001</v>
      </c>
      <c r="H45" s="167">
        <f t="shared" si="4"/>
        <v>1.8597325156874379E-2</v>
      </c>
      <c r="I45" s="1">
        <v>39</v>
      </c>
      <c r="J45" s="328">
        <f t="shared" si="5"/>
        <v>98.899156527316222</v>
      </c>
      <c r="K45" s="149">
        <f t="shared" si="3"/>
        <v>97.059896755637112</v>
      </c>
      <c r="L45" s="400">
        <v>8.7500000000000008E-2</v>
      </c>
      <c r="M45" s="330" t="s">
        <v>1883</v>
      </c>
      <c r="N45" s="330" t="s">
        <v>1884</v>
      </c>
      <c r="O45" s="330" t="s">
        <v>160</v>
      </c>
      <c r="P45" s="407">
        <v>27932</v>
      </c>
      <c r="Q45" s="332"/>
      <c r="R45" s="408" t="s">
        <v>1885</v>
      </c>
      <c r="S45" s="388">
        <v>42288</v>
      </c>
      <c r="T45" s="181"/>
      <c r="U45" s="151"/>
    </row>
    <row r="46" spans="1:21" ht="15.75">
      <c r="A46" s="1">
        <v>40</v>
      </c>
      <c r="B46" s="417" t="s">
        <v>1886</v>
      </c>
      <c r="C46" s="25">
        <f t="shared" si="8"/>
        <v>125.88333333333334</v>
      </c>
      <c r="D46" s="25">
        <f t="shared" si="7"/>
        <v>123.25803264165729</v>
      </c>
      <c r="E46" s="4">
        <f t="shared" si="6"/>
        <v>0.97829999999999995</v>
      </c>
      <c r="F46" s="25">
        <v>125.45816089598605</v>
      </c>
      <c r="G46" s="25">
        <v>128.76666666666668</v>
      </c>
      <c r="H46" s="167">
        <f t="shared" si="4"/>
        <v>1.7536748814234785E-2</v>
      </c>
      <c r="I46" s="1">
        <v>40</v>
      </c>
      <c r="J46" s="328">
        <f t="shared" si="5"/>
        <v>99.662248825091524</v>
      </c>
      <c r="K46" s="149">
        <f t="shared" si="3"/>
        <v>97.914497001184131</v>
      </c>
      <c r="L46" s="189" t="s">
        <v>1886</v>
      </c>
      <c r="M46" s="153" t="s">
        <v>1881</v>
      </c>
      <c r="N46" s="153" t="s">
        <v>1882</v>
      </c>
      <c r="O46" s="153" t="s">
        <v>163</v>
      </c>
      <c r="P46" s="154">
        <v>30115</v>
      </c>
      <c r="Q46" s="332" t="s">
        <v>356</v>
      </c>
      <c r="R46" s="153" t="s">
        <v>173</v>
      </c>
      <c r="S46" s="388">
        <v>44836</v>
      </c>
      <c r="T46" s="181"/>
      <c r="U46" s="151"/>
    </row>
    <row r="47" spans="1:21" ht="15.75">
      <c r="A47" s="1">
        <v>41</v>
      </c>
      <c r="B47" s="416">
        <v>8.6284722222222221E-2</v>
      </c>
      <c r="C47" s="25">
        <f t="shared" si="8"/>
        <v>124.25</v>
      </c>
      <c r="D47" s="25">
        <f t="shared" si="7"/>
        <v>124.2999003539154</v>
      </c>
      <c r="E47" s="4">
        <f t="shared" si="6"/>
        <v>0.97009999999999996</v>
      </c>
      <c r="F47" s="25">
        <v>126.42021393230776</v>
      </c>
      <c r="G47" s="25">
        <v>128.69999999999999</v>
      </c>
      <c r="H47" s="167">
        <f t="shared" si="4"/>
        <v>1.6771950564232446E-2</v>
      </c>
      <c r="I47" s="1">
        <v>41</v>
      </c>
      <c r="J47" s="328">
        <f t="shared" si="5"/>
        <v>101.74665105215917</v>
      </c>
      <c r="K47" s="149">
        <f t="shared" si="3"/>
        <v>100.04016125063615</v>
      </c>
      <c r="L47" s="402">
        <v>8.6284722222222221E-2</v>
      </c>
      <c r="M47" s="330" t="s">
        <v>1720</v>
      </c>
      <c r="N47" s="330" t="s">
        <v>1887</v>
      </c>
      <c r="O47" s="330" t="s">
        <v>160</v>
      </c>
      <c r="P47" s="407">
        <v>26914</v>
      </c>
      <c r="Q47" s="332" t="s">
        <v>1888</v>
      </c>
      <c r="R47" s="408" t="s">
        <v>1889</v>
      </c>
      <c r="S47" s="388">
        <v>42190</v>
      </c>
      <c r="T47" s="181"/>
      <c r="U47" s="151"/>
    </row>
    <row r="48" spans="1:21" ht="15.75">
      <c r="A48" s="1">
        <v>42</v>
      </c>
      <c r="B48" s="413">
        <v>8.8773148148148143E-2</v>
      </c>
      <c r="C48" s="25">
        <f t="shared" si="8"/>
        <v>127.83333333333333</v>
      </c>
      <c r="D48" s="25">
        <f t="shared" si="7"/>
        <v>125.35953148282913</v>
      </c>
      <c r="E48" s="4">
        <f t="shared" si="6"/>
        <v>0.96189999999999998</v>
      </c>
      <c r="F48" s="25">
        <v>127.45066197863355</v>
      </c>
      <c r="G48" s="25">
        <v>127.83333333333333</v>
      </c>
      <c r="H48" s="167">
        <f t="shared" si="4"/>
        <v>1.6407372573356963E-2</v>
      </c>
      <c r="I48" s="1">
        <v>42</v>
      </c>
      <c r="J48" s="328">
        <f t="shared" si="5"/>
        <v>99.700648223181403</v>
      </c>
      <c r="K48" s="149">
        <f t="shared" si="3"/>
        <v>98.064822541978458</v>
      </c>
      <c r="L48" s="400">
        <v>8.8773148148148143E-2</v>
      </c>
      <c r="M48" s="330" t="s">
        <v>1883</v>
      </c>
      <c r="N48" s="330" t="s">
        <v>1884</v>
      </c>
      <c r="O48" s="330" t="s">
        <v>160</v>
      </c>
      <c r="P48" s="388">
        <v>27932</v>
      </c>
      <c r="Q48" s="332"/>
      <c r="R48" s="330" t="s">
        <v>367</v>
      </c>
      <c r="S48" s="388">
        <v>43401</v>
      </c>
      <c r="T48" s="181"/>
      <c r="U48" s="151"/>
    </row>
    <row r="49" spans="1:21" ht="15.75">
      <c r="A49" s="1">
        <v>43</v>
      </c>
      <c r="B49" s="413">
        <v>8.9629629629629629E-2</v>
      </c>
      <c r="C49" s="25">
        <f t="shared" si="8"/>
        <v>129.06666666666666</v>
      </c>
      <c r="D49" s="25">
        <f t="shared" si="7"/>
        <v>126.43738422285135</v>
      </c>
      <c r="E49" s="4">
        <f t="shared" si="6"/>
        <v>0.95369999999999999</v>
      </c>
      <c r="F49" s="25">
        <v>128.49804638605187</v>
      </c>
      <c r="G49" s="25">
        <v>129.06666666666666</v>
      </c>
      <c r="H49" s="167">
        <f t="shared" si="4"/>
        <v>1.6036525232528347E-2</v>
      </c>
      <c r="I49" s="1">
        <v>43</v>
      </c>
      <c r="J49" s="328">
        <f t="shared" si="5"/>
        <v>99.559436766052585</v>
      </c>
      <c r="K49" s="149">
        <f t="shared" si="3"/>
        <v>97.962849346217467</v>
      </c>
      <c r="L49" s="400">
        <v>8.9629629629629629E-2</v>
      </c>
      <c r="M49" s="330" t="s">
        <v>1720</v>
      </c>
      <c r="N49" s="330" t="s">
        <v>1887</v>
      </c>
      <c r="O49" s="330" t="s">
        <v>160</v>
      </c>
      <c r="P49" s="388">
        <v>26914</v>
      </c>
      <c r="Q49" s="332" t="s">
        <v>1888</v>
      </c>
      <c r="R49" s="330" t="s">
        <v>1889</v>
      </c>
      <c r="S49" s="388">
        <v>42918</v>
      </c>
      <c r="T49" s="181"/>
      <c r="U49" s="151"/>
    </row>
    <row r="50" spans="1:21" ht="15.75">
      <c r="A50" s="1">
        <v>44</v>
      </c>
      <c r="B50" s="413">
        <v>8.9687499999999989E-2</v>
      </c>
      <c r="C50" s="25">
        <f t="shared" si="8"/>
        <v>129.14999999999998</v>
      </c>
      <c r="D50" s="25">
        <f t="shared" si="7"/>
        <v>127.53393266349373</v>
      </c>
      <c r="E50" s="4">
        <f t="shared" si="6"/>
        <v>0.94550000000000001</v>
      </c>
      <c r="F50" s="25">
        <v>129.56278816137996</v>
      </c>
      <c r="G50" s="25">
        <v>129.14999999999998</v>
      </c>
      <c r="H50" s="167">
        <f t="shared" si="4"/>
        <v>1.565924542592537E-2</v>
      </c>
      <c r="I50" s="1">
        <v>44</v>
      </c>
      <c r="J50" s="328">
        <f t="shared" si="5"/>
        <v>100.31961917257451</v>
      </c>
      <c r="K50" s="149">
        <f t="shared" si="3"/>
        <v>98.748689634915792</v>
      </c>
      <c r="L50" s="400">
        <v>8.9687499999999989E-2</v>
      </c>
      <c r="M50" s="330" t="s">
        <v>1720</v>
      </c>
      <c r="N50" s="330" t="s">
        <v>1887</v>
      </c>
      <c r="O50" s="330" t="s">
        <v>160</v>
      </c>
      <c r="P50" s="388">
        <v>26914</v>
      </c>
      <c r="Q50" s="332" t="s">
        <v>1888</v>
      </c>
      <c r="R50" s="330" t="s">
        <v>1889</v>
      </c>
      <c r="S50" s="388">
        <v>43282</v>
      </c>
      <c r="T50" s="181"/>
      <c r="U50" s="151"/>
    </row>
    <row r="51" spans="1:21" ht="15.75">
      <c r="A51" s="1">
        <v>45</v>
      </c>
      <c r="B51" s="413">
        <v>9.2210648148148153E-2</v>
      </c>
      <c r="C51" s="25">
        <f t="shared" si="8"/>
        <v>132.78333333333333</v>
      </c>
      <c r="D51" s="25">
        <f t="shared" si="7"/>
        <v>128.64966748461893</v>
      </c>
      <c r="E51" s="4">
        <f t="shared" si="6"/>
        <v>0.93730000000000002</v>
      </c>
      <c r="F51" s="25">
        <v>130.64532238196546</v>
      </c>
      <c r="G51" s="25">
        <v>132.78333333333333</v>
      </c>
      <c r="H51" s="167">
        <f t="shared" si="4"/>
        <v>1.5275364329630298E-2</v>
      </c>
      <c r="I51" s="1">
        <v>45</v>
      </c>
      <c r="J51" s="328">
        <f t="shared" si="5"/>
        <v>98.389849917383302</v>
      </c>
      <c r="K51" s="149">
        <f t="shared" si="3"/>
        <v>96.886909113557635</v>
      </c>
      <c r="L51" s="400">
        <v>9.2210648148148153E-2</v>
      </c>
      <c r="M51" s="330" t="s">
        <v>1720</v>
      </c>
      <c r="N51" s="330" t="s">
        <v>1887</v>
      </c>
      <c r="O51" s="330" t="s">
        <v>160</v>
      </c>
      <c r="P51" s="388">
        <v>26914</v>
      </c>
      <c r="Q51" s="332"/>
      <c r="R51" s="330" t="s">
        <v>1890</v>
      </c>
      <c r="S51" s="388">
        <v>43513</v>
      </c>
      <c r="T51" s="181"/>
      <c r="U51" s="151"/>
    </row>
    <row r="52" spans="1:21" ht="15.75">
      <c r="A52" s="1">
        <v>46</v>
      </c>
      <c r="B52" s="413">
        <v>9.402777777777778E-2</v>
      </c>
      <c r="C52" s="25">
        <f t="shared" si="8"/>
        <v>135.4</v>
      </c>
      <c r="D52" s="25">
        <f t="shared" si="7"/>
        <v>129.78509668855165</v>
      </c>
      <c r="E52" s="4">
        <f t="shared" si="6"/>
        <v>0.92910000000000004</v>
      </c>
      <c r="F52" s="25">
        <v>131.74609878845573</v>
      </c>
      <c r="G52" s="25">
        <v>135.4</v>
      </c>
      <c r="H52" s="167">
        <f t="shared" si="4"/>
        <v>1.4884707159738013E-2</v>
      </c>
      <c r="I52" s="1">
        <v>46</v>
      </c>
      <c r="J52" s="328">
        <f t="shared" si="5"/>
        <v>97.301402354841741</v>
      </c>
      <c r="K52" s="149">
        <f t="shared" si="3"/>
        <v>95.853099474558078</v>
      </c>
      <c r="L52" s="400">
        <v>9.402777777777778E-2</v>
      </c>
      <c r="M52" s="330" t="s">
        <v>1891</v>
      </c>
      <c r="N52" s="330" t="s">
        <v>1892</v>
      </c>
      <c r="O52" s="330" t="s">
        <v>160</v>
      </c>
      <c r="P52" s="388">
        <v>23002</v>
      </c>
      <c r="Q52" s="332" t="s">
        <v>1893</v>
      </c>
      <c r="R52" s="330" t="s">
        <v>1894</v>
      </c>
      <c r="S52" s="388">
        <v>40090</v>
      </c>
      <c r="T52" s="181"/>
      <c r="U52" s="151" t="s">
        <v>351</v>
      </c>
    </row>
    <row r="53" spans="1:21" ht="15.75">
      <c r="A53" s="1">
        <v>47</v>
      </c>
      <c r="B53" s="413">
        <v>9.4675925925925927E-2</v>
      </c>
      <c r="C53" s="25">
        <f t="shared" si="8"/>
        <v>136.33333333333334</v>
      </c>
      <c r="D53" s="25">
        <f t="shared" si="7"/>
        <v>130.94074637130342</v>
      </c>
      <c r="E53" s="4">
        <f t="shared" si="6"/>
        <v>0.92090000000000005</v>
      </c>
      <c r="F53" s="25">
        <v>132.86558240778865</v>
      </c>
      <c r="G53" s="25">
        <v>136.33333333333334</v>
      </c>
      <c r="H53" s="167">
        <f t="shared" si="4"/>
        <v>1.448709290700702E-2</v>
      </c>
      <c r="I53" s="1">
        <v>47</v>
      </c>
      <c r="J53" s="328">
        <f t="shared" si="5"/>
        <v>97.456417414025893</v>
      </c>
      <c r="K53" s="149">
        <f t="shared" si="3"/>
        <v>96.044557240564842</v>
      </c>
      <c r="L53" s="400">
        <v>9.4675925925925927E-2</v>
      </c>
      <c r="M53" s="330" t="s">
        <v>1463</v>
      </c>
      <c r="N53" s="330" t="s">
        <v>1464</v>
      </c>
      <c r="O53" s="330" t="s">
        <v>160</v>
      </c>
      <c r="P53" s="388">
        <v>22144</v>
      </c>
      <c r="Q53" s="332"/>
      <c r="R53" s="330" t="s">
        <v>1895</v>
      </c>
      <c r="S53" s="388">
        <v>39432</v>
      </c>
      <c r="T53" s="181"/>
      <c r="U53" s="151"/>
    </row>
    <row r="54" spans="1:21" ht="15.75">
      <c r="A54" s="1">
        <v>48</v>
      </c>
      <c r="B54" s="413">
        <v>9.6493055555555554E-2</v>
      </c>
      <c r="C54" s="25">
        <f t="shared" si="8"/>
        <v>138.94999999999999</v>
      </c>
      <c r="D54" s="25">
        <f t="shared" si="7"/>
        <v>132.11716153537125</v>
      </c>
      <c r="E54" s="4">
        <f t="shared" si="6"/>
        <v>0.91269999999999996</v>
      </c>
      <c r="F54" s="25">
        <v>134.00425420821824</v>
      </c>
      <c r="G54" s="25">
        <v>138.94999999999999</v>
      </c>
      <c r="H54" s="167">
        <f t="shared" si="4"/>
        <v>1.4082334057206802E-2</v>
      </c>
      <c r="I54" s="1">
        <v>48</v>
      </c>
      <c r="J54" s="328">
        <f t="shared" si="5"/>
        <v>96.440629153089787</v>
      </c>
      <c r="K54" s="149">
        <f t="shared" si="3"/>
        <v>95.082519996668779</v>
      </c>
      <c r="L54" s="400">
        <v>9.6493055555555554E-2</v>
      </c>
      <c r="M54" s="330" t="s">
        <v>1865</v>
      </c>
      <c r="N54" s="330" t="s">
        <v>1896</v>
      </c>
      <c r="O54" s="330" t="s">
        <v>1897</v>
      </c>
      <c r="P54" s="388">
        <v>22747</v>
      </c>
      <c r="Q54" s="332"/>
      <c r="R54" s="330" t="s">
        <v>1898</v>
      </c>
      <c r="S54" s="388">
        <v>40549</v>
      </c>
      <c r="T54" s="181"/>
      <c r="U54" s="151"/>
    </row>
    <row r="55" spans="1:21" ht="15.75">
      <c r="A55" s="1">
        <v>49</v>
      </c>
      <c r="B55" s="413">
        <v>9.707175925925926E-2</v>
      </c>
      <c r="C55" s="25">
        <f t="shared" si="8"/>
        <v>139.78333333333333</v>
      </c>
      <c r="D55" s="25">
        <f t="shared" si="7"/>
        <v>133.31490694674775</v>
      </c>
      <c r="E55" s="4">
        <f t="shared" si="6"/>
        <v>0.90449999999999997</v>
      </c>
      <c r="F55" s="25">
        <v>135.162611788313</v>
      </c>
      <c r="G55" s="25">
        <v>139.78333333333333</v>
      </c>
      <c r="H55" s="167">
        <f t="shared" si="4"/>
        <v>1.3670236296255191E-2</v>
      </c>
      <c r="I55" s="1">
        <v>49</v>
      </c>
      <c r="J55" s="328">
        <f t="shared" si="5"/>
        <v>96.694368752817212</v>
      </c>
      <c r="K55" s="149">
        <f t="shared" si="3"/>
        <v>95.372533883448966</v>
      </c>
      <c r="L55" s="400">
        <v>9.707175925925926E-2</v>
      </c>
      <c r="M55" s="330" t="s">
        <v>1899</v>
      </c>
      <c r="N55" s="330" t="s">
        <v>1900</v>
      </c>
      <c r="O55" s="330" t="s">
        <v>292</v>
      </c>
      <c r="P55" s="388">
        <v>16850</v>
      </c>
      <c r="Q55" s="332"/>
      <c r="R55" s="330" t="s">
        <v>1775</v>
      </c>
      <c r="S55" s="388">
        <v>34860</v>
      </c>
      <c r="T55" s="181"/>
      <c r="U55" s="151" t="s">
        <v>351</v>
      </c>
    </row>
    <row r="56" spans="1:21" ht="15.75">
      <c r="A56" s="1">
        <v>50</v>
      </c>
      <c r="B56" s="413">
        <v>9.6863425925925936E-2</v>
      </c>
      <c r="C56" s="25">
        <f t="shared" si="8"/>
        <v>139.48333333333335</v>
      </c>
      <c r="D56" s="25">
        <f t="shared" si="7"/>
        <v>134.53456803897504</v>
      </c>
      <c r="E56" s="4">
        <f t="shared" si="6"/>
        <v>0.89629999999999999</v>
      </c>
      <c r="F56" s="25">
        <v>136.34117010200089</v>
      </c>
      <c r="G56" s="25">
        <v>139.48333333333335</v>
      </c>
      <c r="H56" s="167">
        <f t="shared" si="4"/>
        <v>1.3250598199166668E-2</v>
      </c>
      <c r="I56" s="1">
        <v>50</v>
      </c>
      <c r="J56" s="328">
        <f t="shared" si="5"/>
        <v>97.747284097503311</v>
      </c>
      <c r="K56" s="149">
        <f t="shared" si="3"/>
        <v>96.4520741108675</v>
      </c>
      <c r="L56" s="400">
        <v>9.6863425925925936E-2</v>
      </c>
      <c r="M56" s="330" t="s">
        <v>1735</v>
      </c>
      <c r="N56" s="330" t="s">
        <v>1736</v>
      </c>
      <c r="O56" s="330" t="s">
        <v>176</v>
      </c>
      <c r="P56" s="388">
        <v>14987</v>
      </c>
      <c r="Q56" s="332"/>
      <c r="R56" s="330" t="s">
        <v>255</v>
      </c>
      <c r="S56" s="388">
        <v>33439</v>
      </c>
      <c r="T56" s="181"/>
      <c r="U56" s="151" t="s">
        <v>351</v>
      </c>
    </row>
    <row r="57" spans="1:21" ht="15.75">
      <c r="A57" s="1">
        <v>51</v>
      </c>
      <c r="B57" s="413">
        <v>0.10020833333333334</v>
      </c>
      <c r="C57" s="25">
        <f t="shared" si="8"/>
        <v>144.30000000000001</v>
      </c>
      <c r="D57" s="25">
        <f t="shared" si="7"/>
        <v>135.7767518672822</v>
      </c>
      <c r="E57" s="4">
        <f t="shared" si="6"/>
        <v>0.8881</v>
      </c>
      <c r="F57" s="25">
        <v>137.54046222188052</v>
      </c>
      <c r="G57" s="25">
        <v>144.30000000000001</v>
      </c>
      <c r="H57" s="167">
        <f t="shared" si="4"/>
        <v>1.2823210901771553E-2</v>
      </c>
      <c r="I57" s="1">
        <v>51</v>
      </c>
      <c r="J57" s="328">
        <f t="shared" si="5"/>
        <v>95.31563563539882</v>
      </c>
      <c r="K57" s="149">
        <f t="shared" si="3"/>
        <v>94.093383137409688</v>
      </c>
      <c r="L57" s="400">
        <v>0.10020833333333334</v>
      </c>
      <c r="M57" s="330" t="s">
        <v>1901</v>
      </c>
      <c r="N57" s="330" t="s">
        <v>1902</v>
      </c>
      <c r="O57" s="330" t="s">
        <v>179</v>
      </c>
      <c r="P57" s="388">
        <v>11186</v>
      </c>
      <c r="Q57" s="332"/>
      <c r="R57" s="330" t="s">
        <v>1903</v>
      </c>
      <c r="S57" s="388">
        <v>29842</v>
      </c>
      <c r="T57" s="181"/>
      <c r="U57" s="151" t="s">
        <v>351</v>
      </c>
    </row>
    <row r="58" spans="1:21" ht="15.75">
      <c r="A58" s="1">
        <v>52</v>
      </c>
      <c r="B58" s="413">
        <v>9.8773148148148152E-2</v>
      </c>
      <c r="C58" s="25">
        <f t="shared" si="8"/>
        <v>142.23333333333335</v>
      </c>
      <c r="D58" s="25">
        <f t="shared" si="7"/>
        <v>137.04208811607378</v>
      </c>
      <c r="E58" s="4">
        <f t="shared" si="6"/>
        <v>0.87990000000000002</v>
      </c>
      <c r="F58" s="25">
        <v>138.76104014317536</v>
      </c>
      <c r="G58" s="25">
        <v>142.23333333333335</v>
      </c>
      <c r="H58" s="167">
        <f t="shared" si="4"/>
        <v>1.2387857754078115E-2</v>
      </c>
      <c r="I58" s="1">
        <v>52</v>
      </c>
      <c r="J58" s="328">
        <f t="shared" si="5"/>
        <v>97.558734574531542</v>
      </c>
      <c r="K58" s="149">
        <f t="shared" si="3"/>
        <v>96.35019084795438</v>
      </c>
      <c r="L58" s="400">
        <v>9.8773148148148152E-2</v>
      </c>
      <c r="M58" s="330" t="s">
        <v>1901</v>
      </c>
      <c r="N58" s="330" t="s">
        <v>1902</v>
      </c>
      <c r="O58" s="330" t="s">
        <v>179</v>
      </c>
      <c r="P58" s="388">
        <v>11186</v>
      </c>
      <c r="Q58" s="332" t="s">
        <v>1904</v>
      </c>
      <c r="R58" s="330" t="s">
        <v>1641</v>
      </c>
      <c r="S58" s="388">
        <v>30415</v>
      </c>
      <c r="T58" s="181"/>
      <c r="U58" s="151"/>
    </row>
    <row r="59" spans="1:21" ht="15.75">
      <c r="A59" s="1">
        <v>53</v>
      </c>
      <c r="B59" s="413">
        <v>9.9814814814814815E-2</v>
      </c>
      <c r="C59" s="25">
        <f t="shared" si="8"/>
        <v>143.73333333333332</v>
      </c>
      <c r="D59" s="25">
        <f t="shared" si="7"/>
        <v>138.33123016328247</v>
      </c>
      <c r="E59" s="4">
        <f t="shared" si="6"/>
        <v>0.87170000000000003</v>
      </c>
      <c r="F59" s="25">
        <v>140.0034756308788</v>
      </c>
      <c r="G59" s="25">
        <v>143.73333333333332</v>
      </c>
      <c r="H59" s="167">
        <f t="shared" si="4"/>
        <v>1.1944313954070867E-2</v>
      </c>
      <c r="I59" s="1">
        <v>53</v>
      </c>
      <c r="J59" s="328">
        <f t="shared" si="5"/>
        <v>97.4050155131346</v>
      </c>
      <c r="K59" s="149">
        <f t="shared" si="3"/>
        <v>96.241579427144586</v>
      </c>
      <c r="L59" s="400">
        <v>9.9814814814814815E-2</v>
      </c>
      <c r="M59" s="330" t="s">
        <v>1901</v>
      </c>
      <c r="N59" s="330" t="s">
        <v>1902</v>
      </c>
      <c r="O59" s="330" t="s">
        <v>179</v>
      </c>
      <c r="P59" s="388">
        <v>11186</v>
      </c>
      <c r="Q59" s="332"/>
      <c r="R59" s="330" t="s">
        <v>1905</v>
      </c>
      <c r="S59" s="388">
        <v>30611</v>
      </c>
      <c r="T59" s="181"/>
      <c r="U59" s="151"/>
    </row>
    <row r="60" spans="1:21" ht="15.75">
      <c r="A60" s="1">
        <v>54</v>
      </c>
      <c r="B60" s="413">
        <v>0.10179398148148149</v>
      </c>
      <c r="C60" s="25">
        <f t="shared" si="8"/>
        <v>146.58333333333334</v>
      </c>
      <c r="D60" s="25">
        <f t="shared" si="7"/>
        <v>139.64485620536576</v>
      </c>
      <c r="E60" s="4">
        <f t="shared" si="6"/>
        <v>0.86350000000000005</v>
      </c>
      <c r="F60" s="25">
        <v>141.26836111282074</v>
      </c>
      <c r="G60" s="25">
        <v>146.58333333333334</v>
      </c>
      <c r="H60" s="167">
        <f t="shared" si="4"/>
        <v>1.1492346160641103E-2</v>
      </c>
      <c r="I60" s="1">
        <v>54</v>
      </c>
      <c r="J60" s="328">
        <f t="shared" si="5"/>
        <v>96.374095130974908</v>
      </c>
      <c r="K60" s="149">
        <f t="shared" si="3"/>
        <v>95.2665306688112</v>
      </c>
      <c r="L60" s="400">
        <v>0.10179398148148149</v>
      </c>
      <c r="M60" s="330" t="s">
        <v>1901</v>
      </c>
      <c r="N60" s="330" t="s">
        <v>1902</v>
      </c>
      <c r="O60" s="330" t="s">
        <v>179</v>
      </c>
      <c r="P60" s="388">
        <v>11186</v>
      </c>
      <c r="Q60" s="332" t="s">
        <v>1904</v>
      </c>
      <c r="R60" s="330" t="s">
        <v>1641</v>
      </c>
      <c r="S60" s="388">
        <v>31157</v>
      </c>
      <c r="T60" s="181"/>
      <c r="U60" s="151"/>
    </row>
    <row r="61" spans="1:21" ht="15.75">
      <c r="A61" s="1">
        <v>55</v>
      </c>
      <c r="B61" s="413">
        <v>0.1013425925925926</v>
      </c>
      <c r="C61" s="25">
        <f t="shared" si="8"/>
        <v>145.93333333333334</v>
      </c>
      <c r="D61" s="25">
        <f t="shared" si="7"/>
        <v>140.98367044701664</v>
      </c>
      <c r="E61" s="4">
        <f t="shared" si="6"/>
        <v>0.85529999999999995</v>
      </c>
      <c r="F61" s="25">
        <v>142.55631062158767</v>
      </c>
      <c r="G61" s="25">
        <v>145.93333333333334</v>
      </c>
      <c r="H61" s="167">
        <f t="shared" si="4"/>
        <v>1.1031712084255397E-2</v>
      </c>
      <c r="I61" s="1">
        <v>55</v>
      </c>
      <c r="J61" s="328">
        <f t="shared" si="5"/>
        <v>97.685914085144589</v>
      </c>
      <c r="K61" s="149">
        <f t="shared" si="3"/>
        <v>96.608271206269961</v>
      </c>
      <c r="L61" s="400">
        <v>0.1013425925925926</v>
      </c>
      <c r="M61" s="330" t="s">
        <v>1901</v>
      </c>
      <c r="N61" s="330" t="s">
        <v>1902</v>
      </c>
      <c r="O61" s="330" t="s">
        <v>179</v>
      </c>
      <c r="P61" s="388">
        <v>11186</v>
      </c>
      <c r="Q61" s="332" t="s">
        <v>1904</v>
      </c>
      <c r="R61" s="330" t="s">
        <v>1641</v>
      </c>
      <c r="S61" s="388">
        <v>31521</v>
      </c>
      <c r="T61" s="181"/>
      <c r="U61" s="151"/>
    </row>
    <row r="62" spans="1:21" ht="15.75">
      <c r="A62" s="1">
        <v>56</v>
      </c>
      <c r="B62" s="413">
        <v>0.10214120370370371</v>
      </c>
      <c r="C62" s="25">
        <f t="shared" si="8"/>
        <v>147.08333333333334</v>
      </c>
      <c r="D62" s="25">
        <f t="shared" si="7"/>
        <v>142.34840435997324</v>
      </c>
      <c r="E62" s="4">
        <f t="shared" si="6"/>
        <v>0.84709999999999996</v>
      </c>
      <c r="F62" s="25">
        <v>143.86796078844137</v>
      </c>
      <c r="G62" s="25">
        <v>147.08333333333334</v>
      </c>
      <c r="H62" s="167">
        <f t="shared" si="4"/>
        <v>1.0562160053847133E-2</v>
      </c>
      <c r="I62" s="1">
        <v>56</v>
      </c>
      <c r="J62" s="328">
        <f t="shared" si="5"/>
        <v>97.813911017637182</v>
      </c>
      <c r="K62" s="149">
        <f t="shared" si="3"/>
        <v>96.780784833976142</v>
      </c>
      <c r="L62" s="400">
        <v>0.10214120370370371</v>
      </c>
      <c r="M62" s="330" t="s">
        <v>1906</v>
      </c>
      <c r="N62" s="330" t="s">
        <v>1907</v>
      </c>
      <c r="O62" s="330" t="s">
        <v>292</v>
      </c>
      <c r="P62" s="388">
        <v>7696</v>
      </c>
      <c r="Q62" s="332"/>
      <c r="R62" s="330" t="s">
        <v>293</v>
      </c>
      <c r="S62" s="388">
        <v>28386</v>
      </c>
      <c r="T62" s="181"/>
      <c r="U62" s="151"/>
    </row>
    <row r="63" spans="1:21" ht="15.75">
      <c r="A63" s="1">
        <v>57</v>
      </c>
      <c r="B63" s="413">
        <v>0.10638888888888888</v>
      </c>
      <c r="C63" s="25">
        <f t="shared" si="8"/>
        <v>153.19999999999999</v>
      </c>
      <c r="D63" s="25">
        <f t="shared" si="7"/>
        <v>143.73981801565543</v>
      </c>
      <c r="E63" s="4">
        <f t="shared" si="6"/>
        <v>0.83889999999999998</v>
      </c>
      <c r="F63" s="25">
        <v>145.20397189261709</v>
      </c>
      <c r="G63" s="25">
        <v>153.19999999999999</v>
      </c>
      <c r="H63" s="167">
        <f t="shared" si="4"/>
        <v>1.0083428558307262E-2</v>
      </c>
      <c r="I63" s="1">
        <v>57</v>
      </c>
      <c r="J63" s="328">
        <f t="shared" si="5"/>
        <v>94.780660504319258</v>
      </c>
      <c r="K63" s="149">
        <f t="shared" si="3"/>
        <v>93.824946485414785</v>
      </c>
      <c r="L63" s="400">
        <v>0.10638888888888888</v>
      </c>
      <c r="M63" s="330" t="s">
        <v>1738</v>
      </c>
      <c r="N63" s="330" t="s">
        <v>1739</v>
      </c>
      <c r="O63" s="330" t="s">
        <v>155</v>
      </c>
      <c r="P63" s="388">
        <v>11867</v>
      </c>
      <c r="Q63" s="332" t="s">
        <v>1893</v>
      </c>
      <c r="R63" s="330" t="s">
        <v>1894</v>
      </c>
      <c r="S63" s="388">
        <v>32789</v>
      </c>
      <c r="T63" s="181"/>
      <c r="U63" s="151"/>
    </row>
    <row r="64" spans="1:21" ht="15.75">
      <c r="A64" s="1">
        <v>58</v>
      </c>
      <c r="B64" s="413">
        <v>0.10822916666666667</v>
      </c>
      <c r="C64" s="25">
        <f t="shared" si="8"/>
        <v>155.85</v>
      </c>
      <c r="D64" s="25">
        <f t="shared" si="7"/>
        <v>145.15870149672966</v>
      </c>
      <c r="E64" s="4">
        <f t="shared" si="6"/>
        <v>0.83069999999999999</v>
      </c>
      <c r="F64" s="25">
        <v>146.56502896963516</v>
      </c>
      <c r="G64" s="25">
        <v>155.85</v>
      </c>
      <c r="H64" s="167">
        <f t="shared" si="4"/>
        <v>9.5952457608210247E-3</v>
      </c>
      <c r="I64" s="1">
        <v>58</v>
      </c>
      <c r="J64" s="328">
        <f t="shared" si="5"/>
        <v>94.042367000086742</v>
      </c>
      <c r="K64" s="149">
        <f t="shared" si="3"/>
        <v>93.140007376791573</v>
      </c>
      <c r="L64" s="400">
        <v>0.10822916666666667</v>
      </c>
      <c r="M64" s="330" t="s">
        <v>1908</v>
      </c>
      <c r="N64" s="330" t="s">
        <v>1909</v>
      </c>
      <c r="O64" s="330" t="s">
        <v>155</v>
      </c>
      <c r="P64" s="388">
        <v>9022</v>
      </c>
      <c r="Q64" s="332" t="s">
        <v>1893</v>
      </c>
      <c r="R64" s="330" t="s">
        <v>1894</v>
      </c>
      <c r="S64" s="388">
        <v>30227</v>
      </c>
      <c r="T64" s="181"/>
      <c r="U64" s="151"/>
    </row>
    <row r="65" spans="1:21" ht="15.75">
      <c r="A65" s="1">
        <v>59</v>
      </c>
      <c r="B65" s="413">
        <v>0.10438657407407408</v>
      </c>
      <c r="C65" s="25">
        <f t="shared" si="8"/>
        <v>150.31666666666666</v>
      </c>
      <c r="D65" s="25">
        <f t="shared" si="7"/>
        <v>146.60587639311044</v>
      </c>
      <c r="E65" s="4">
        <f t="shared" si="6"/>
        <v>0.82250000000000001</v>
      </c>
      <c r="F65" s="25">
        <v>147.951842982534</v>
      </c>
      <c r="G65" s="25">
        <v>150.31666666666666</v>
      </c>
      <c r="H65" s="167">
        <f t="shared" si="4"/>
        <v>9.097328984151028E-3</v>
      </c>
      <c r="I65" s="1">
        <v>59</v>
      </c>
      <c r="J65" s="328">
        <f t="shared" si="5"/>
        <v>98.426772136068749</v>
      </c>
      <c r="K65" s="149">
        <f t="shared" si="3"/>
        <v>97.53135140909886</v>
      </c>
      <c r="L65" s="400">
        <v>0.10438657407407408</v>
      </c>
      <c r="M65" s="330" t="s">
        <v>1910</v>
      </c>
      <c r="N65" s="330" t="s">
        <v>1911</v>
      </c>
      <c r="O65" s="330" t="s">
        <v>185</v>
      </c>
      <c r="P65" s="388">
        <v>21923</v>
      </c>
      <c r="Q65" s="332" t="s">
        <v>1904</v>
      </c>
      <c r="R65" s="330" t="s">
        <v>1641</v>
      </c>
      <c r="S65" s="388">
        <v>43562</v>
      </c>
      <c r="T65" s="181"/>
      <c r="U65" s="151"/>
    </row>
    <row r="66" spans="1:21" ht="15.75">
      <c r="A66" s="1">
        <v>60</v>
      </c>
      <c r="B66" s="413">
        <v>0.10868055555555556</v>
      </c>
      <c r="C66" s="25">
        <f t="shared" si="8"/>
        <v>156.5</v>
      </c>
      <c r="D66" s="25">
        <f t="shared" si="7"/>
        <v>148.0821973883499</v>
      </c>
      <c r="E66" s="4">
        <f t="shared" ref="E66:E97" si="9">ROUND(1-IF(A66&lt;I$3,0,IF(A66&lt;I$4,G$3*(A66-I$3)^2,G$2+G$4*(A66-I$4)+(A66&gt;I$5)*G$5*(A66-I$5)^2)),4)</f>
        <v>0.81430000000000002</v>
      </c>
      <c r="F66" s="25">
        <v>149.36515206023228</v>
      </c>
      <c r="G66" s="25">
        <v>156.5</v>
      </c>
      <c r="H66" s="167">
        <f t="shared" si="4"/>
        <v>8.5893841648219324E-3</v>
      </c>
      <c r="I66" s="1">
        <v>60</v>
      </c>
      <c r="J66" s="328">
        <f t="shared" si="5"/>
        <v>95.440991731777814</v>
      </c>
      <c r="K66" s="149">
        <f t="shared" si="3"/>
        <v>94.621212388721972</v>
      </c>
      <c r="L66" s="400">
        <v>0.10868055555555556</v>
      </c>
      <c r="M66" s="330" t="s">
        <v>1912</v>
      </c>
      <c r="N66" s="330" t="s">
        <v>1913</v>
      </c>
      <c r="O66" s="330" t="s">
        <v>158</v>
      </c>
      <c r="P66" s="388">
        <v>17903</v>
      </c>
      <c r="Q66" s="332"/>
      <c r="R66" s="330" t="s">
        <v>1914</v>
      </c>
      <c r="S66" s="388">
        <v>39845</v>
      </c>
      <c r="T66" s="181"/>
      <c r="U66" s="151"/>
    </row>
    <row r="67" spans="1:21" ht="15.75">
      <c r="A67" s="1">
        <v>61</v>
      </c>
      <c r="B67" s="413">
        <v>0.10986111111111112</v>
      </c>
      <c r="C67" s="25">
        <f t="shared" si="8"/>
        <v>158.20000000000002</v>
      </c>
      <c r="D67" s="25">
        <f t="shared" si="7"/>
        <v>149.5885539428524</v>
      </c>
      <c r="E67" s="4">
        <f t="shared" si="9"/>
        <v>0.80610000000000004</v>
      </c>
      <c r="F67" s="25">
        <v>150.80572280755254</v>
      </c>
      <c r="G67" s="25">
        <v>158.20000000000002</v>
      </c>
      <c r="H67" s="167">
        <f t="shared" si="4"/>
        <v>8.0711052739915277E-3</v>
      </c>
      <c r="I67" s="1">
        <v>61</v>
      </c>
      <c r="J67" s="328">
        <f t="shared" si="5"/>
        <v>95.325994189350524</v>
      </c>
      <c r="K67" s="149">
        <f t="shared" si="3"/>
        <v>94.556608054900366</v>
      </c>
      <c r="L67" s="400">
        <v>0.10986111111111112</v>
      </c>
      <c r="M67" s="330" t="s">
        <v>1912</v>
      </c>
      <c r="N67" s="330" t="s">
        <v>1913</v>
      </c>
      <c r="O67" s="330" t="s">
        <v>158</v>
      </c>
      <c r="P67" s="388">
        <v>17903</v>
      </c>
      <c r="Q67" s="332"/>
      <c r="R67" s="330" t="s">
        <v>1914</v>
      </c>
      <c r="S67" s="388">
        <v>40216</v>
      </c>
      <c r="T67" s="181"/>
      <c r="U67" s="151"/>
    </row>
    <row r="68" spans="1:21" ht="15.75">
      <c r="A68" s="1">
        <v>62</v>
      </c>
      <c r="B68" s="413">
        <v>0.11188657407407408</v>
      </c>
      <c r="C68" s="25">
        <f t="shared" si="8"/>
        <v>161.11666666666667</v>
      </c>
      <c r="D68" s="25">
        <f t="shared" si="7"/>
        <v>151.12587208087896</v>
      </c>
      <c r="E68" s="4">
        <f t="shared" si="9"/>
        <v>0.79790000000000005</v>
      </c>
      <c r="F68" s="25">
        <v>152.2743516917912</v>
      </c>
      <c r="G68" s="25">
        <v>161.11666666666667</v>
      </c>
      <c r="H68" s="167">
        <f t="shared" si="4"/>
        <v>7.5421737026127493E-3</v>
      </c>
      <c r="I68" s="1">
        <v>62</v>
      </c>
      <c r="J68" s="328">
        <f t="shared" si="5"/>
        <v>94.511855813669925</v>
      </c>
      <c r="K68" s="149">
        <f t="shared" si="3"/>
        <v>93.799030980166933</v>
      </c>
      <c r="L68" s="400">
        <v>0.11188657407407408</v>
      </c>
      <c r="M68" s="330" t="s">
        <v>1450</v>
      </c>
      <c r="N68" s="330" t="s">
        <v>1915</v>
      </c>
      <c r="O68" s="330" t="s">
        <v>302</v>
      </c>
      <c r="P68" s="388">
        <v>7063</v>
      </c>
      <c r="Q68" s="332"/>
      <c r="R68" s="330" t="s">
        <v>1916</v>
      </c>
      <c r="S68" s="388">
        <v>29911</v>
      </c>
      <c r="T68" s="181"/>
      <c r="U68" s="151"/>
    </row>
    <row r="69" spans="1:21" ht="15.75">
      <c r="A69" s="1">
        <v>63</v>
      </c>
      <c r="B69" s="413">
        <v>0.11484953703703704</v>
      </c>
      <c r="C69" s="25">
        <f t="shared" si="8"/>
        <v>165.38333333333333</v>
      </c>
      <c r="D69" s="25">
        <f t="shared" si="7"/>
        <v>152.69511628888608</v>
      </c>
      <c r="E69" s="4">
        <f t="shared" si="9"/>
        <v>0.78969999999999996</v>
      </c>
      <c r="F69" s="25">
        <v>153.77186651110404</v>
      </c>
      <c r="G69" s="25">
        <v>165.38333333333333</v>
      </c>
      <c r="H69" s="167">
        <f t="shared" si="4"/>
        <v>7.0022576082875319E-3</v>
      </c>
      <c r="I69" s="1">
        <v>63</v>
      </c>
      <c r="J69" s="328">
        <f t="shared" si="5"/>
        <v>92.979058658331581</v>
      </c>
      <c r="K69" s="149">
        <f t="shared" si="3"/>
        <v>92.327995337429869</v>
      </c>
      <c r="L69" s="400">
        <v>0.11484953703703704</v>
      </c>
      <c r="M69" s="330" t="s">
        <v>1450</v>
      </c>
      <c r="N69" s="330" t="s">
        <v>1917</v>
      </c>
      <c r="O69" s="330" t="s">
        <v>302</v>
      </c>
      <c r="P69" s="388">
        <v>19513</v>
      </c>
      <c r="Q69" s="332"/>
      <c r="R69" s="330" t="s">
        <v>1889</v>
      </c>
      <c r="S69" s="388">
        <v>42554</v>
      </c>
      <c r="T69" s="181"/>
      <c r="U69" s="151"/>
    </row>
    <row r="70" spans="1:21" ht="15.75">
      <c r="A70" s="1">
        <v>64</v>
      </c>
      <c r="B70" s="413">
        <v>0.11300925925925925</v>
      </c>
      <c r="C70" s="25">
        <f t="shared" si="8"/>
        <v>162.73333333333332</v>
      </c>
      <c r="D70" s="25">
        <f t="shared" si="7"/>
        <v>154.29729153337598</v>
      </c>
      <c r="E70" s="4">
        <f t="shared" si="9"/>
        <v>0.78149999999999997</v>
      </c>
      <c r="F70" s="25">
        <v>155.29912795039618</v>
      </c>
      <c r="G70" s="25">
        <v>162.73333333333332</v>
      </c>
      <c r="H70" s="167">
        <f t="shared" si="4"/>
        <v>6.4510112210043793E-3</v>
      </c>
      <c r="I70" s="1">
        <v>64</v>
      </c>
      <c r="J70" s="328">
        <f t="shared" si="5"/>
        <v>95.431664041619939</v>
      </c>
      <c r="K70" s="149">
        <f t="shared" si="3"/>
        <v>94.81603330604834</v>
      </c>
      <c r="L70" s="400">
        <v>0.11300925925925925</v>
      </c>
      <c r="M70" s="330" t="s">
        <v>1918</v>
      </c>
      <c r="N70" s="330" t="s">
        <v>371</v>
      </c>
      <c r="O70" s="330" t="s">
        <v>155</v>
      </c>
      <c r="P70" s="388">
        <v>5708</v>
      </c>
      <c r="Q70" s="332" t="s">
        <v>377</v>
      </c>
      <c r="R70" s="330" t="s">
        <v>378</v>
      </c>
      <c r="S70" s="388">
        <v>29156</v>
      </c>
      <c r="T70" s="181"/>
      <c r="U70" s="151"/>
    </row>
    <row r="71" spans="1:21" ht="15.75">
      <c r="A71" s="1">
        <v>65</v>
      </c>
      <c r="B71" s="413">
        <v>0.11246527777777778</v>
      </c>
      <c r="C71" s="25">
        <f t="shared" si="8"/>
        <v>161.94999999999999</v>
      </c>
      <c r="D71" s="25">
        <f t="shared" si="7"/>
        <v>155.93344540712962</v>
      </c>
      <c r="E71" s="4">
        <f t="shared" si="9"/>
        <v>0.77329999999999999</v>
      </c>
      <c r="F71" s="25">
        <v>156.85703123086029</v>
      </c>
      <c r="G71" s="25">
        <v>161.94999999999999</v>
      </c>
      <c r="H71" s="167">
        <f t="shared" si="4"/>
        <v>5.8880741047007265E-3</v>
      </c>
      <c r="I71" s="1">
        <v>65</v>
      </c>
      <c r="J71" s="328">
        <f t="shared" si="5"/>
        <v>96.855221507169063</v>
      </c>
      <c r="K71" s="149">
        <f t="shared" si="3"/>
        <v>96.284930785507655</v>
      </c>
      <c r="L71" s="400">
        <v>0.11246527777777778</v>
      </c>
      <c r="M71" s="330" t="s">
        <v>1919</v>
      </c>
      <c r="N71" s="330" t="s">
        <v>1920</v>
      </c>
      <c r="O71" s="330" t="s">
        <v>338</v>
      </c>
      <c r="P71" s="388">
        <v>9836</v>
      </c>
      <c r="Q71" s="332" t="s">
        <v>356</v>
      </c>
      <c r="R71" s="330" t="s">
        <v>173</v>
      </c>
      <c r="S71" s="388">
        <v>33706</v>
      </c>
      <c r="T71" s="181"/>
      <c r="U71" s="151"/>
    </row>
    <row r="72" spans="1:21" ht="15.75">
      <c r="A72" s="1">
        <v>66</v>
      </c>
      <c r="B72" s="413">
        <v>0.11306712962962963</v>
      </c>
      <c r="C72" s="25">
        <f t="shared" si="8"/>
        <v>162.81666666666666</v>
      </c>
      <c r="D72" s="25">
        <f t="shared" si="7"/>
        <v>157.60467041345356</v>
      </c>
      <c r="E72" s="4">
        <f t="shared" si="9"/>
        <v>0.7651</v>
      </c>
      <c r="F72" s="25">
        <v>158.44650785980639</v>
      </c>
      <c r="G72" s="25">
        <v>162.81666666666666</v>
      </c>
      <c r="H72" s="167">
        <f t="shared" si="4"/>
        <v>5.31307037134378E-3</v>
      </c>
      <c r="I72" s="1">
        <v>66</v>
      </c>
      <c r="J72" s="328">
        <f t="shared" si="5"/>
        <v>97.315902053315412</v>
      </c>
      <c r="K72" s="149">
        <f t="shared" si="3"/>
        <v>96.798855817455348</v>
      </c>
      <c r="L72" s="400">
        <v>0.11306712962962963</v>
      </c>
      <c r="M72" s="330" t="s">
        <v>1918</v>
      </c>
      <c r="N72" s="330" t="s">
        <v>371</v>
      </c>
      <c r="O72" s="330" t="s">
        <v>155</v>
      </c>
      <c r="P72" s="388">
        <v>5708</v>
      </c>
      <c r="Q72" s="332"/>
      <c r="R72" s="330" t="s">
        <v>1903</v>
      </c>
      <c r="S72" s="388">
        <v>29842</v>
      </c>
      <c r="T72" s="181"/>
      <c r="U72" s="151"/>
    </row>
    <row r="73" spans="1:21" ht="15.75">
      <c r="A73" s="1">
        <v>67</v>
      </c>
      <c r="B73" s="413">
        <v>0.11883101851851852</v>
      </c>
      <c r="C73" s="25">
        <f t="shared" si="8"/>
        <v>171.11666666666667</v>
      </c>
      <c r="D73" s="25">
        <f t="shared" si="7"/>
        <v>159.31210639890782</v>
      </c>
      <c r="E73" s="4">
        <f t="shared" si="9"/>
        <v>0.75690000000000002</v>
      </c>
      <c r="F73" s="25">
        <v>160.06852748797019</v>
      </c>
      <c r="G73" s="25">
        <v>171.11666666666667</v>
      </c>
      <c r="H73" s="167">
        <f t="shared" si="4"/>
        <v>4.7256078439230935E-3</v>
      </c>
      <c r="I73" s="1">
        <v>67</v>
      </c>
      <c r="J73" s="328">
        <f t="shared" si="5"/>
        <v>93.543504911641278</v>
      </c>
      <c r="K73" s="149">
        <f t="shared" si="3"/>
        <v>93.101454991082775</v>
      </c>
      <c r="L73" s="400">
        <v>0.11883101851851852</v>
      </c>
      <c r="M73" s="330" t="s">
        <v>1921</v>
      </c>
      <c r="N73" s="330" t="s">
        <v>1922</v>
      </c>
      <c r="O73" s="330" t="s">
        <v>331</v>
      </c>
      <c r="P73" s="388">
        <v>8454</v>
      </c>
      <c r="Q73" s="332"/>
      <c r="R73" s="330" t="s">
        <v>1923</v>
      </c>
      <c r="S73" s="388">
        <v>32971</v>
      </c>
      <c r="T73" s="181"/>
      <c r="U73" s="151"/>
    </row>
    <row r="74" spans="1:21" ht="15.75">
      <c r="A74" s="1">
        <v>68</v>
      </c>
      <c r="B74" s="413">
        <v>0.11877314814814814</v>
      </c>
      <c r="C74" s="25">
        <f t="shared" si="8"/>
        <v>171.03333333333333</v>
      </c>
      <c r="D74" s="25">
        <f t="shared" ref="D74:D105" si="10">E$4/E74</f>
        <v>161.05694314589732</v>
      </c>
      <c r="E74" s="4">
        <f t="shared" si="9"/>
        <v>0.74870000000000003</v>
      </c>
      <c r="F74" s="25">
        <v>161.72409988208031</v>
      </c>
      <c r="G74" s="25">
        <v>171.03333333333333</v>
      </c>
      <c r="H74" s="167">
        <f t="shared" si="4"/>
        <v>4.1252771644389426E-3</v>
      </c>
      <c r="I74" s="1">
        <v>68</v>
      </c>
      <c r="J74" s="328">
        <f t="shared" si="5"/>
        <v>94.557064830684254</v>
      </c>
      <c r="K74" s="149">
        <f t="shared" ref="K74:K98" si="11">100*(+D74/+C74)</f>
        <v>94.166990730401864</v>
      </c>
      <c r="L74" s="400">
        <v>0.11877314814814814</v>
      </c>
      <c r="M74" s="330" t="s">
        <v>1496</v>
      </c>
      <c r="N74" s="330" t="s">
        <v>1625</v>
      </c>
      <c r="O74" s="330" t="s">
        <v>225</v>
      </c>
      <c r="P74" s="388">
        <v>11388</v>
      </c>
      <c r="Q74" s="332" t="s">
        <v>373</v>
      </c>
      <c r="R74" s="330" t="s">
        <v>1376</v>
      </c>
      <c r="S74" s="388">
        <v>36478</v>
      </c>
      <c r="T74" s="181"/>
      <c r="U74" s="151"/>
    </row>
    <row r="75" spans="1:21" ht="15.75">
      <c r="A75" s="1">
        <v>69</v>
      </c>
      <c r="B75" s="413">
        <v>0.12002314814814814</v>
      </c>
      <c r="C75" s="25">
        <f t="shared" si="8"/>
        <v>172.83333333333331</v>
      </c>
      <c r="D75" s="25">
        <f t="shared" si="10"/>
        <v>162.84042313751968</v>
      </c>
      <c r="E75" s="4">
        <f t="shared" si="9"/>
        <v>0.74050000000000005</v>
      </c>
      <c r="F75" s="25">
        <v>163.41427702111827</v>
      </c>
      <c r="G75" s="25">
        <v>172.83333333333331</v>
      </c>
      <c r="H75" s="167">
        <f t="shared" ref="H75:H106" si="12">((F75-D75)/F75)</f>
        <v>3.5116508426275865E-3</v>
      </c>
      <c r="I75" s="1">
        <v>69</v>
      </c>
      <c r="J75" s="328">
        <f t="shared" si="5"/>
        <v>94.550208498236231</v>
      </c>
      <c r="K75" s="149">
        <f t="shared" si="11"/>
        <v>94.218181178892792</v>
      </c>
      <c r="L75" s="400">
        <v>0.12002314814814814</v>
      </c>
      <c r="M75" s="330" t="s">
        <v>1496</v>
      </c>
      <c r="N75" s="330" t="s">
        <v>1625</v>
      </c>
      <c r="O75" s="330" t="s">
        <v>225</v>
      </c>
      <c r="P75" s="388">
        <v>11388</v>
      </c>
      <c r="Q75" s="332" t="s">
        <v>373</v>
      </c>
      <c r="R75" s="330" t="s">
        <v>1376</v>
      </c>
      <c r="S75" s="388">
        <v>36828</v>
      </c>
      <c r="T75" s="181"/>
    </row>
    <row r="76" spans="1:21" ht="15.75">
      <c r="A76" s="1">
        <v>70</v>
      </c>
      <c r="B76" s="413">
        <v>0.12109953703703703</v>
      </c>
      <c r="C76" s="25">
        <f t="shared" ref="C76:C97" si="13">B76*1440</f>
        <v>174.38333333333333</v>
      </c>
      <c r="D76" s="25">
        <f t="shared" si="10"/>
        <v>164.6638445081706</v>
      </c>
      <c r="E76" s="4">
        <f t="shared" si="9"/>
        <v>0.73229999999999995</v>
      </c>
      <c r="F76" s="25">
        <v>165.14015532541364</v>
      </c>
      <c r="G76" s="25">
        <v>174.38333333333333</v>
      </c>
      <c r="H76" s="167">
        <f t="shared" si="12"/>
        <v>2.8842822407697363E-3</v>
      </c>
      <c r="I76" s="1">
        <v>70</v>
      </c>
      <c r="J76" s="328">
        <f t="shared" si="5"/>
        <v>94.699506064463534</v>
      </c>
      <c r="K76" s="149">
        <f t="shared" si="11"/>
        <v>94.426365960912122</v>
      </c>
      <c r="L76" s="400">
        <v>0.12109953703703703</v>
      </c>
      <c r="M76" s="330" t="s">
        <v>1924</v>
      </c>
      <c r="N76" s="330" t="s">
        <v>1925</v>
      </c>
      <c r="O76" s="330" t="s">
        <v>155</v>
      </c>
      <c r="P76" s="388">
        <v>17626</v>
      </c>
      <c r="Q76" s="411" t="s">
        <v>1926</v>
      </c>
      <c r="R76" s="330" t="s">
        <v>1122</v>
      </c>
      <c r="S76" s="388">
        <v>43449</v>
      </c>
      <c r="T76" s="181"/>
      <c r="U76" s="151"/>
    </row>
    <row r="77" spans="1:21" ht="15.75">
      <c r="A77" s="1">
        <v>71</v>
      </c>
      <c r="B77" s="413">
        <v>0.12567129629629628</v>
      </c>
      <c r="C77" s="25">
        <f t="shared" si="13"/>
        <v>180.96666666666664</v>
      </c>
      <c r="D77" s="25">
        <f t="shared" si="10"/>
        <v>166.52856419463242</v>
      </c>
      <c r="E77" s="4">
        <f t="shared" si="9"/>
        <v>0.72409999999999997</v>
      </c>
      <c r="F77" s="25">
        <v>166.96782180765825</v>
      </c>
      <c r="G77" s="25">
        <v>180.96666666666664</v>
      </c>
      <c r="H77" s="167">
        <f t="shared" si="12"/>
        <v>2.6307920189067428E-3</v>
      </c>
      <c r="I77" s="1">
        <v>71</v>
      </c>
      <c r="J77" s="328">
        <f t="shared" ref="J77:J98" si="14">100*(+F77/+C77)</f>
        <v>92.264406966840085</v>
      </c>
      <c r="K77" s="149">
        <f t="shared" si="11"/>
        <v>92.021678501362558</v>
      </c>
      <c r="L77" s="400">
        <v>0.12567129629629628</v>
      </c>
      <c r="M77" s="330" t="s">
        <v>1450</v>
      </c>
      <c r="N77" s="330" t="s">
        <v>1759</v>
      </c>
      <c r="O77" s="330" t="s">
        <v>155</v>
      </c>
      <c r="P77" s="388">
        <v>9106</v>
      </c>
      <c r="Q77" s="332" t="s">
        <v>1893</v>
      </c>
      <c r="R77" s="330" t="s">
        <v>1894</v>
      </c>
      <c r="S77" s="388">
        <v>35344</v>
      </c>
      <c r="T77" s="181"/>
      <c r="U77" s="151"/>
    </row>
    <row r="78" spans="1:21" ht="15.75">
      <c r="A78" s="1">
        <v>72</v>
      </c>
      <c r="B78" s="413">
        <v>0.12442129629629629</v>
      </c>
      <c r="C78" s="25">
        <f t="shared" si="13"/>
        <v>179.16666666666666</v>
      </c>
      <c r="D78" s="25">
        <f t="shared" si="10"/>
        <v>168.5537228590066</v>
      </c>
      <c r="E78" s="4">
        <f t="shared" si="9"/>
        <v>0.71540000000000004</v>
      </c>
      <c r="F78" s="25">
        <v>168.99976174715053</v>
      </c>
      <c r="G78" s="25">
        <v>179.16666666666666</v>
      </c>
      <c r="H78" s="167">
        <f t="shared" si="12"/>
        <v>2.6392870826130147E-3</v>
      </c>
      <c r="I78" s="1">
        <v>72</v>
      </c>
      <c r="J78" s="328">
        <f t="shared" si="14"/>
        <v>94.325448417014258</v>
      </c>
      <c r="K78" s="149">
        <f t="shared" si="11"/>
        <v>94.076496479445552</v>
      </c>
      <c r="L78" s="400">
        <v>0.12442129629629629</v>
      </c>
      <c r="M78" s="330" t="s">
        <v>1496</v>
      </c>
      <c r="N78" s="330" t="s">
        <v>1625</v>
      </c>
      <c r="O78" s="330" t="s">
        <v>225</v>
      </c>
      <c r="P78" s="388">
        <v>11388</v>
      </c>
      <c r="Q78" s="332" t="s">
        <v>1927</v>
      </c>
      <c r="R78" s="330" t="s">
        <v>1377</v>
      </c>
      <c r="S78" s="388">
        <v>37892</v>
      </c>
      <c r="T78" s="181"/>
      <c r="U78" s="151"/>
    </row>
    <row r="79" spans="1:21" ht="15.75">
      <c r="A79" s="1">
        <v>73</v>
      </c>
      <c r="B79" s="413">
        <v>0.12140046296296296</v>
      </c>
      <c r="C79" s="25">
        <f t="shared" si="13"/>
        <v>174.81666666666666</v>
      </c>
      <c r="D79" s="25">
        <f t="shared" si="10"/>
        <v>170.84632095966751</v>
      </c>
      <c r="E79" s="4">
        <f t="shared" si="9"/>
        <v>0.70579999999999998</v>
      </c>
      <c r="F79" s="25">
        <v>171.25035281232775</v>
      </c>
      <c r="G79" s="25">
        <v>174.81666666666666</v>
      </c>
      <c r="H79" s="167">
        <f t="shared" si="12"/>
        <v>2.3593052278439112E-3</v>
      </c>
      <c r="I79" s="1">
        <v>73</v>
      </c>
      <c r="J79" s="328">
        <f t="shared" si="14"/>
        <v>97.959969193818907</v>
      </c>
      <c r="K79" s="149">
        <f t="shared" si="11"/>
        <v>97.728851726380512</v>
      </c>
      <c r="L79" s="400">
        <v>0.12140046296296296</v>
      </c>
      <c r="M79" s="330" t="s">
        <v>1496</v>
      </c>
      <c r="N79" s="330" t="s">
        <v>1625</v>
      </c>
      <c r="O79" s="330" t="s">
        <v>225</v>
      </c>
      <c r="P79" s="388">
        <v>11388</v>
      </c>
      <c r="Q79" s="332" t="s">
        <v>1927</v>
      </c>
      <c r="R79" s="330" t="s">
        <v>1377</v>
      </c>
      <c r="S79" s="388">
        <v>38256</v>
      </c>
      <c r="T79" s="181"/>
      <c r="U79" s="151"/>
    </row>
    <row r="80" spans="1:21" ht="15.75">
      <c r="A80" s="1">
        <v>74</v>
      </c>
      <c r="B80" s="413">
        <v>0.12407407407407407</v>
      </c>
      <c r="C80" s="25">
        <f t="shared" si="13"/>
        <v>178.66666666666666</v>
      </c>
      <c r="D80" s="25">
        <f t="shared" si="10"/>
        <v>173.40139967404849</v>
      </c>
      <c r="E80" s="4">
        <f t="shared" si="9"/>
        <v>0.69540000000000002</v>
      </c>
      <c r="F80" s="25">
        <v>173.73520697911391</v>
      </c>
      <c r="G80" s="25">
        <v>178.66666666666666</v>
      </c>
      <c r="H80" s="167">
        <f t="shared" si="12"/>
        <v>1.9213567063902589E-3</v>
      </c>
      <c r="I80" s="1">
        <v>74</v>
      </c>
      <c r="J80" s="328">
        <f t="shared" si="14"/>
        <v>97.239854652489129</v>
      </c>
      <c r="K80" s="149">
        <f t="shared" si="11"/>
        <v>97.05302220562416</v>
      </c>
      <c r="L80" s="400">
        <v>0.12407407407407407</v>
      </c>
      <c r="M80" s="330" t="s">
        <v>1496</v>
      </c>
      <c r="N80" s="330" t="s">
        <v>1625</v>
      </c>
      <c r="O80" s="330" t="s">
        <v>225</v>
      </c>
      <c r="P80" s="388">
        <v>11388</v>
      </c>
      <c r="Q80" s="332" t="s">
        <v>1904</v>
      </c>
      <c r="R80" s="330" t="s">
        <v>1641</v>
      </c>
      <c r="S80" s="388">
        <v>38452</v>
      </c>
      <c r="T80" s="181"/>
      <c r="U80" s="151"/>
    </row>
    <row r="81" spans="1:21" ht="15.75">
      <c r="A81" s="1">
        <v>75</v>
      </c>
      <c r="B81" s="413">
        <v>0.13096064814814815</v>
      </c>
      <c r="C81" s="25">
        <f t="shared" si="13"/>
        <v>188.58333333333334</v>
      </c>
      <c r="D81" s="25">
        <f t="shared" si="10"/>
        <v>176.23989087011594</v>
      </c>
      <c r="E81" s="4">
        <f t="shared" si="9"/>
        <v>0.68420000000000003</v>
      </c>
      <c r="F81" s="25">
        <v>176.47225222258567</v>
      </c>
      <c r="G81" s="25">
        <v>188.58333333333334</v>
      </c>
      <c r="H81" s="167">
        <f t="shared" si="12"/>
        <v>1.3167019151353308E-3</v>
      </c>
      <c r="I81" s="1">
        <v>75</v>
      </c>
      <c r="J81" s="328">
        <f t="shared" si="14"/>
        <v>93.577862424702957</v>
      </c>
      <c r="K81" s="149">
        <f t="shared" si="11"/>
        <v>93.454648274034085</v>
      </c>
      <c r="L81" s="400">
        <v>0.13096064814814815</v>
      </c>
      <c r="M81" s="330" t="s">
        <v>1496</v>
      </c>
      <c r="N81" s="330" t="s">
        <v>1625</v>
      </c>
      <c r="O81" s="330" t="s">
        <v>225</v>
      </c>
      <c r="P81" s="388">
        <v>11388</v>
      </c>
      <c r="Q81" s="332" t="s">
        <v>1927</v>
      </c>
      <c r="R81" s="330" t="s">
        <v>1377</v>
      </c>
      <c r="S81" s="388">
        <v>38984</v>
      </c>
      <c r="T81" s="181"/>
      <c r="U81" s="151"/>
    </row>
    <row r="82" spans="1:21" ht="15.75">
      <c r="A82" s="1">
        <v>76</v>
      </c>
      <c r="B82" s="413">
        <v>0.12840277777777778</v>
      </c>
      <c r="C82" s="25">
        <f t="shared" si="13"/>
        <v>184.9</v>
      </c>
      <c r="D82" s="25">
        <f t="shared" si="10"/>
        <v>179.41278579576451</v>
      </c>
      <c r="E82" s="4">
        <f t="shared" si="9"/>
        <v>0.67210000000000003</v>
      </c>
      <c r="F82" s="25">
        <v>179.48209125775412</v>
      </c>
      <c r="G82" s="25">
        <v>184.9</v>
      </c>
      <c r="H82" s="167">
        <f t="shared" si="12"/>
        <v>3.8614137769369414E-4</v>
      </c>
      <c r="I82" s="1">
        <v>76</v>
      </c>
      <c r="J82" s="328">
        <f t="shared" si="14"/>
        <v>97.069816797054685</v>
      </c>
      <c r="K82" s="149">
        <f t="shared" si="11"/>
        <v>97.032334124264196</v>
      </c>
      <c r="L82" s="400">
        <v>0.12840277777777778</v>
      </c>
      <c r="M82" s="330" t="s">
        <v>1496</v>
      </c>
      <c r="N82" s="330" t="s">
        <v>1625</v>
      </c>
      <c r="O82" s="330" t="s">
        <v>225</v>
      </c>
      <c r="P82" s="388">
        <v>11388</v>
      </c>
      <c r="Q82" s="332" t="s">
        <v>1904</v>
      </c>
      <c r="R82" s="330" t="s">
        <v>1641</v>
      </c>
      <c r="S82" s="388">
        <v>39187</v>
      </c>
      <c r="T82" s="181"/>
      <c r="U82" s="151"/>
    </row>
    <row r="83" spans="1:21" ht="15.75">
      <c r="A83" s="1">
        <v>77</v>
      </c>
      <c r="B83" s="413">
        <v>0.14822916666666666</v>
      </c>
      <c r="C83" s="25">
        <f t="shared" si="13"/>
        <v>213.45</v>
      </c>
      <c r="D83" s="25">
        <f t="shared" si="10"/>
        <v>182.92374595469255</v>
      </c>
      <c r="E83" s="4">
        <f t="shared" si="9"/>
        <v>0.65920000000000001</v>
      </c>
      <c r="F83" s="25">
        <v>182.78843647143941</v>
      </c>
      <c r="G83" s="25">
        <v>213.45</v>
      </c>
      <c r="H83" s="167">
        <f t="shared" si="12"/>
        <v>-7.4025187733514164E-4</v>
      </c>
      <c r="I83" s="1">
        <v>77</v>
      </c>
      <c r="J83" s="328">
        <f t="shared" si="14"/>
        <v>85.635247819835755</v>
      </c>
      <c r="K83" s="149">
        <f t="shared" si="11"/>
        <v>85.698639472800451</v>
      </c>
      <c r="L83" s="400">
        <v>0.14822916666666666</v>
      </c>
      <c r="M83" s="330" t="s">
        <v>1496</v>
      </c>
      <c r="N83" s="330" t="s">
        <v>1766</v>
      </c>
      <c r="O83" s="330" t="s">
        <v>155</v>
      </c>
      <c r="P83" s="388">
        <v>2750</v>
      </c>
      <c r="Q83" s="332" t="s">
        <v>1928</v>
      </c>
      <c r="R83" s="330" t="s">
        <v>752</v>
      </c>
      <c r="S83" s="388">
        <v>31018</v>
      </c>
      <c r="T83" s="181"/>
      <c r="U83" s="151"/>
    </row>
    <row r="84" spans="1:21" ht="15.75">
      <c r="A84" s="1">
        <v>78</v>
      </c>
      <c r="B84" s="413">
        <v>0.15068287037037037</v>
      </c>
      <c r="C84" s="25">
        <f t="shared" si="13"/>
        <v>216.98333333333332</v>
      </c>
      <c r="D84" s="25">
        <f t="shared" si="10"/>
        <v>186.80609346759618</v>
      </c>
      <c r="E84" s="4">
        <f t="shared" si="9"/>
        <v>0.64549999999999996</v>
      </c>
      <c r="F84" s="25">
        <v>186.41863971858677</v>
      </c>
      <c r="G84" s="25">
        <v>216.98333333333332</v>
      </c>
      <c r="H84" s="167">
        <f t="shared" si="12"/>
        <v>-2.0784066957805348E-3</v>
      </c>
      <c r="I84" s="1">
        <v>78</v>
      </c>
      <c r="J84" s="328">
        <f t="shared" si="14"/>
        <v>85.913805846187927</v>
      </c>
      <c r="K84" s="149">
        <f t="shared" si="11"/>
        <v>86.09236967551864</v>
      </c>
      <c r="L84" s="400">
        <v>0.15068287037037037</v>
      </c>
      <c r="M84" s="330" t="s">
        <v>1500</v>
      </c>
      <c r="N84" s="330" t="s">
        <v>1636</v>
      </c>
      <c r="O84" s="330" t="s">
        <v>155</v>
      </c>
      <c r="P84" s="388">
        <v>7482</v>
      </c>
      <c r="Q84" s="332" t="s">
        <v>1893</v>
      </c>
      <c r="R84" s="330" t="s">
        <v>1894</v>
      </c>
      <c r="S84" s="388">
        <v>36072</v>
      </c>
      <c r="T84" s="181"/>
      <c r="U84" s="151"/>
    </row>
    <row r="85" spans="1:21" ht="15.75">
      <c r="A85" s="1">
        <v>79</v>
      </c>
      <c r="B85" s="413">
        <v>0.15765046296296295</v>
      </c>
      <c r="C85" s="25">
        <f t="shared" si="13"/>
        <v>227.01666666666665</v>
      </c>
      <c r="D85" s="25">
        <f t="shared" si="10"/>
        <v>191.12907486659267</v>
      </c>
      <c r="E85" s="4">
        <f t="shared" si="9"/>
        <v>0.63090000000000002</v>
      </c>
      <c r="F85" s="25">
        <v>190.40434118767541</v>
      </c>
      <c r="G85" s="25">
        <v>227.01666666666665</v>
      </c>
      <c r="H85" s="167">
        <f t="shared" si="12"/>
        <v>-3.8062875793515344E-3</v>
      </c>
      <c r="I85" s="1">
        <v>79</v>
      </c>
      <c r="J85" s="328">
        <f t="shared" si="14"/>
        <v>83.87240636708411</v>
      </c>
      <c r="K85" s="149">
        <f t="shared" si="11"/>
        <v>84.191648865689459</v>
      </c>
      <c r="L85" s="400">
        <v>0.15765046296296295</v>
      </c>
      <c r="M85" s="330" t="s">
        <v>1929</v>
      </c>
      <c r="N85" s="330" t="s">
        <v>1930</v>
      </c>
      <c r="O85" s="330" t="s">
        <v>331</v>
      </c>
      <c r="P85" s="388">
        <v>11668</v>
      </c>
      <c r="Q85" s="332"/>
      <c r="R85" s="330" t="s">
        <v>1931</v>
      </c>
      <c r="S85" s="388">
        <v>40811</v>
      </c>
      <c r="T85" s="181"/>
      <c r="U85" s="151"/>
    </row>
    <row r="86" spans="1:21" ht="15.75">
      <c r="A86" s="1">
        <v>80</v>
      </c>
      <c r="B86" s="413">
        <v>0.13604166666666667</v>
      </c>
      <c r="C86" s="25">
        <f t="shared" si="13"/>
        <v>195.9</v>
      </c>
      <c r="D86" s="25">
        <f t="shared" si="10"/>
        <v>195.91118331979419</v>
      </c>
      <c r="E86" s="4">
        <f>ROUND(1-IF(A86&lt;I$3,0,IF(A86&lt;I$4,G$3*(A86-I$3)^2,G$2+G$4*(A86-I$4)+(A86&gt;I$5)*G$5*(A86-I$5)^2)),4)</f>
        <v>0.61550000000000005</v>
      </c>
      <c r="F86" s="25">
        <v>194.78226896925514</v>
      </c>
      <c r="G86" s="25">
        <v>195.9</v>
      </c>
      <c r="H86" s="167">
        <f t="shared" si="12"/>
        <v>-5.7957757475206265E-3</v>
      </c>
      <c r="I86" s="1">
        <v>80</v>
      </c>
      <c r="J86" s="328">
        <f t="shared" si="14"/>
        <v>99.429437962866331</v>
      </c>
      <c r="K86" s="149">
        <f t="shared" si="11"/>
        <v>100.00570868800112</v>
      </c>
      <c r="L86" s="400">
        <v>0.13604166666666667</v>
      </c>
      <c r="M86" s="330" t="s">
        <v>1496</v>
      </c>
      <c r="N86" s="330" t="s">
        <v>1625</v>
      </c>
      <c r="O86" s="330" t="s">
        <v>225</v>
      </c>
      <c r="P86" s="388">
        <v>11388</v>
      </c>
      <c r="Q86" s="332" t="s">
        <v>1927</v>
      </c>
      <c r="R86" s="330" t="s">
        <v>1377</v>
      </c>
      <c r="S86" s="388">
        <v>40832</v>
      </c>
      <c r="T86" s="181"/>
      <c r="U86" s="151"/>
    </row>
    <row r="87" spans="1:21" ht="15.75">
      <c r="A87" s="1">
        <v>81</v>
      </c>
      <c r="B87" s="413">
        <v>0.14616898148148147</v>
      </c>
      <c r="C87" s="25">
        <f t="shared" si="13"/>
        <v>210.48333333333332</v>
      </c>
      <c r="D87" s="25">
        <f t="shared" si="10"/>
        <v>201.24054294615044</v>
      </c>
      <c r="E87" s="4">
        <f t="shared" si="9"/>
        <v>0.59919999999999995</v>
      </c>
      <c r="F87" s="25">
        <v>199.59523104399054</v>
      </c>
      <c r="G87" s="25">
        <v>210.48333333333332</v>
      </c>
      <c r="H87" s="167">
        <f t="shared" si="12"/>
        <v>-8.2432425542135271E-3</v>
      </c>
      <c r="I87" s="1">
        <v>81</v>
      </c>
      <c r="J87" s="328">
        <f t="shared" si="14"/>
        <v>94.827095277848073</v>
      </c>
      <c r="K87" s="149">
        <f t="shared" si="11"/>
        <v>95.608778024934892</v>
      </c>
      <c r="L87" s="400">
        <v>0.14616898148148147</v>
      </c>
      <c r="M87" s="330" t="s">
        <v>1496</v>
      </c>
      <c r="N87" s="330" t="s">
        <v>1625</v>
      </c>
      <c r="O87" s="330" t="s">
        <v>225</v>
      </c>
      <c r="P87" s="388">
        <v>11388</v>
      </c>
      <c r="Q87" s="332" t="s">
        <v>1927</v>
      </c>
      <c r="R87" s="330" t="s">
        <v>1377</v>
      </c>
      <c r="S87" s="388">
        <v>41196</v>
      </c>
      <c r="T87" s="181"/>
      <c r="U87" s="151"/>
    </row>
    <row r="88" spans="1:21" ht="15.75">
      <c r="A88" s="1">
        <v>82</v>
      </c>
      <c r="B88" s="413">
        <v>0.15414351851851851</v>
      </c>
      <c r="C88" s="25">
        <f t="shared" si="13"/>
        <v>221.96666666666667</v>
      </c>
      <c r="D88" s="25">
        <f t="shared" si="10"/>
        <v>207.15226478840978</v>
      </c>
      <c r="E88" s="4">
        <f t="shared" si="9"/>
        <v>0.58209999999999995</v>
      </c>
      <c r="F88" s="25">
        <v>204.89335524027598</v>
      </c>
      <c r="G88" s="25">
        <v>221.96666666666667</v>
      </c>
      <c r="H88" s="167">
        <f t="shared" si="12"/>
        <v>-1.102480627292576E-2</v>
      </c>
      <c r="I88" s="1">
        <v>82</v>
      </c>
      <c r="J88" s="328">
        <f t="shared" si="14"/>
        <v>92.30816424700825</v>
      </c>
      <c r="K88" s="149">
        <f t="shared" si="11"/>
        <v>93.325843875240935</v>
      </c>
      <c r="L88" s="400">
        <v>0.15414351851851851</v>
      </c>
      <c r="M88" s="330" t="s">
        <v>1496</v>
      </c>
      <c r="N88" s="330" t="s">
        <v>1625</v>
      </c>
      <c r="O88" s="330" t="s">
        <v>225</v>
      </c>
      <c r="P88" s="388">
        <v>11388</v>
      </c>
      <c r="Q88" s="332" t="s">
        <v>1927</v>
      </c>
      <c r="R88" s="330" t="s">
        <v>1377</v>
      </c>
      <c r="S88" s="388">
        <v>41567</v>
      </c>
      <c r="T88" s="181"/>
      <c r="U88" s="151"/>
    </row>
    <row r="89" spans="1:21" ht="15.75">
      <c r="A89" s="1">
        <v>83</v>
      </c>
      <c r="B89" s="413">
        <v>0.17994212962962963</v>
      </c>
      <c r="C89" s="25">
        <f t="shared" si="13"/>
        <v>259.11666666666667</v>
      </c>
      <c r="D89" s="25">
        <f t="shared" si="10"/>
        <v>213.72444759541531</v>
      </c>
      <c r="E89" s="4">
        <f t="shared" si="9"/>
        <v>0.56420000000000003</v>
      </c>
      <c r="F89" s="25">
        <v>210.73565191632591</v>
      </c>
      <c r="G89" s="25">
        <v>259.11666666666667</v>
      </c>
      <c r="H89" s="167">
        <f t="shared" si="12"/>
        <v>-1.4182676979005571E-2</v>
      </c>
      <c r="I89" s="1">
        <v>83</v>
      </c>
      <c r="J89" s="328">
        <f t="shared" si="14"/>
        <v>81.328482118605223</v>
      </c>
      <c r="K89" s="149">
        <f t="shared" si="11"/>
        <v>82.481937709686221</v>
      </c>
      <c r="L89" s="400">
        <v>0.17994212962962963</v>
      </c>
      <c r="M89" s="330" t="s">
        <v>1929</v>
      </c>
      <c r="N89" s="330" t="s">
        <v>1930</v>
      </c>
      <c r="O89" s="330" t="s">
        <v>331</v>
      </c>
      <c r="P89" s="388">
        <v>11668</v>
      </c>
      <c r="Q89" s="332"/>
      <c r="R89" s="330" t="s">
        <v>1932</v>
      </c>
      <c r="S89" s="388">
        <v>42267</v>
      </c>
      <c r="T89" s="181"/>
      <c r="U89" s="151"/>
    </row>
    <row r="90" spans="1:21" ht="15.75">
      <c r="A90" s="1">
        <v>84</v>
      </c>
      <c r="B90" s="413">
        <v>0.17906250000000001</v>
      </c>
      <c r="C90" s="25">
        <f t="shared" si="13"/>
        <v>257.85000000000002</v>
      </c>
      <c r="D90" s="25">
        <f t="shared" si="10"/>
        <v>221.09155359980443</v>
      </c>
      <c r="E90" s="4">
        <f t="shared" si="9"/>
        <v>0.5454</v>
      </c>
      <c r="F90" s="25">
        <v>217.19200112122138</v>
      </c>
      <c r="G90" s="25">
        <v>257.85000000000002</v>
      </c>
      <c r="H90" s="167">
        <f t="shared" si="12"/>
        <v>-1.7954401904546152E-2</v>
      </c>
      <c r="I90" s="1">
        <v>84</v>
      </c>
      <c r="J90" s="328">
        <f t="shared" si="14"/>
        <v>84.231918216490726</v>
      </c>
      <c r="K90" s="149">
        <f t="shared" si="11"/>
        <v>85.744251929340479</v>
      </c>
      <c r="L90" s="400">
        <v>0.17906250000000001</v>
      </c>
      <c r="M90" s="330" t="s">
        <v>1496</v>
      </c>
      <c r="N90" s="330" t="s">
        <v>1766</v>
      </c>
      <c r="O90" s="330" t="s">
        <v>155</v>
      </c>
      <c r="P90" s="388">
        <v>2750</v>
      </c>
      <c r="Q90" s="332" t="s">
        <v>1893</v>
      </c>
      <c r="R90" s="330" t="s">
        <v>1894</v>
      </c>
      <c r="S90" s="388">
        <v>33517</v>
      </c>
      <c r="T90" s="181"/>
      <c r="U90" s="151"/>
    </row>
    <row r="91" spans="1:21" ht="15.75">
      <c r="A91" s="1">
        <v>85</v>
      </c>
      <c r="B91" s="413">
        <v>0.1643287037037037</v>
      </c>
      <c r="C91" s="25">
        <f t="shared" si="13"/>
        <v>236.63333333333333</v>
      </c>
      <c r="D91" s="25">
        <f t="shared" si="10"/>
        <v>229.33307975148978</v>
      </c>
      <c r="E91" s="4">
        <f t="shared" si="9"/>
        <v>0.52580000000000005</v>
      </c>
      <c r="F91" s="25">
        <v>224.34570446672021</v>
      </c>
      <c r="G91" s="25">
        <v>236.63333333333333</v>
      </c>
      <c r="H91" s="167">
        <f t="shared" si="12"/>
        <v>-2.2230758982547869E-2</v>
      </c>
      <c r="I91" s="1">
        <v>85</v>
      </c>
      <c r="J91" s="328">
        <f t="shared" si="14"/>
        <v>94.807312776470027</v>
      </c>
      <c r="K91" s="149">
        <f t="shared" si="11"/>
        <v>96.91495129658675</v>
      </c>
      <c r="L91" s="400">
        <v>0.1643287037037037</v>
      </c>
      <c r="M91" s="330" t="s">
        <v>1496</v>
      </c>
      <c r="N91" s="330" t="s">
        <v>1625</v>
      </c>
      <c r="O91" s="330" t="s">
        <v>225</v>
      </c>
      <c r="P91" s="388">
        <v>11388</v>
      </c>
      <c r="Q91" s="332" t="s">
        <v>1927</v>
      </c>
      <c r="R91" s="330" t="s">
        <v>1377</v>
      </c>
      <c r="S91" s="388">
        <v>42659</v>
      </c>
      <c r="T91" s="181"/>
      <c r="U91" s="151"/>
    </row>
    <row r="92" spans="1:21" ht="15.75">
      <c r="A92" s="1">
        <v>86</v>
      </c>
      <c r="B92" s="413">
        <v>0.19091435185185182</v>
      </c>
      <c r="C92" s="25">
        <f t="shared" si="13"/>
        <v>274.91666666666663</v>
      </c>
      <c r="D92" s="25">
        <f t="shared" si="10"/>
        <v>238.63711326604658</v>
      </c>
      <c r="E92" s="4">
        <f t="shared" si="9"/>
        <v>0.50529999999999997</v>
      </c>
      <c r="F92" s="25">
        <v>232.29679758861985</v>
      </c>
      <c r="G92" s="25">
        <v>274.91666666666663</v>
      </c>
      <c r="H92" s="167">
        <f t="shared" si="12"/>
        <v>-2.7294029634687224E-2</v>
      </c>
      <c r="I92" s="1">
        <v>86</v>
      </c>
      <c r="J92" s="328">
        <f t="shared" si="14"/>
        <v>84.497167961910833</v>
      </c>
      <c r="K92" s="149">
        <f t="shared" si="11"/>
        <v>86.803436168310384</v>
      </c>
      <c r="L92" s="400">
        <v>0.19091435185185182</v>
      </c>
      <c r="M92" s="330" t="s">
        <v>1530</v>
      </c>
      <c r="N92" s="330" t="s">
        <v>1933</v>
      </c>
      <c r="O92" s="330" t="s">
        <v>302</v>
      </c>
      <c r="P92" s="388">
        <v>6632</v>
      </c>
      <c r="Q92" s="332"/>
      <c r="R92" s="330" t="s">
        <v>1889</v>
      </c>
      <c r="S92" s="388">
        <v>38172</v>
      </c>
      <c r="T92" s="181"/>
      <c r="U92" s="151"/>
    </row>
    <row r="93" spans="1:21" ht="15.75">
      <c r="A93" s="1">
        <v>87</v>
      </c>
      <c r="B93" s="413">
        <v>0.21505787037037039</v>
      </c>
      <c r="C93" s="25">
        <f t="shared" si="13"/>
        <v>309.68333333333334</v>
      </c>
      <c r="D93" s="25">
        <f t="shared" si="10"/>
        <v>249.13911845730027</v>
      </c>
      <c r="E93" s="4">
        <f t="shared" si="9"/>
        <v>0.48399999999999999</v>
      </c>
      <c r="F93" s="25">
        <v>241.16640085166534</v>
      </c>
      <c r="G93" s="25">
        <v>309.68333333333334</v>
      </c>
      <c r="H93" s="167">
        <f t="shared" si="12"/>
        <v>-3.305898988200566E-2</v>
      </c>
      <c r="I93" s="1">
        <v>87</v>
      </c>
      <c r="J93" s="328">
        <f t="shared" si="14"/>
        <v>77.875163075722085</v>
      </c>
      <c r="K93" s="149">
        <f t="shared" si="11"/>
        <v>80.449637303901923</v>
      </c>
      <c r="L93" s="400">
        <v>0.21505787037037039</v>
      </c>
      <c r="M93" s="330" t="s">
        <v>1507</v>
      </c>
      <c r="N93" s="330" t="s">
        <v>1768</v>
      </c>
      <c r="O93" s="330" t="s">
        <v>283</v>
      </c>
      <c r="P93" s="388">
        <v>10817</v>
      </c>
      <c r="Q93" s="332"/>
      <c r="R93" s="330" t="s">
        <v>1934</v>
      </c>
      <c r="S93" s="388">
        <v>42666</v>
      </c>
      <c r="T93" s="181"/>
      <c r="U93" s="151"/>
    </row>
    <row r="94" spans="1:21" ht="15.75">
      <c r="A94" s="1">
        <v>88</v>
      </c>
      <c r="B94" s="413">
        <v>0.25408564814814816</v>
      </c>
      <c r="C94" s="25">
        <f t="shared" si="13"/>
        <v>365.88333333333333</v>
      </c>
      <c r="D94" s="25">
        <f t="shared" si="10"/>
        <v>261.05939236486972</v>
      </c>
      <c r="E94" s="4">
        <f t="shared" si="9"/>
        <v>0.46189999999999998</v>
      </c>
      <c r="F94" s="25">
        <v>251.10250823849475</v>
      </c>
      <c r="G94" s="25">
        <v>365.88333333333333</v>
      </c>
      <c r="H94" s="167">
        <f t="shared" si="12"/>
        <v>-3.9652666937591959E-2</v>
      </c>
      <c r="I94" s="1">
        <v>88</v>
      </c>
      <c r="J94" s="328">
        <f t="shared" si="14"/>
        <v>68.629119001091809</v>
      </c>
      <c r="K94" s="149">
        <f t="shared" si="11"/>
        <v>71.350446599062465</v>
      </c>
      <c r="L94" s="400">
        <v>0.25408564814814816</v>
      </c>
      <c r="M94" s="330" t="s">
        <v>1776</v>
      </c>
      <c r="N94" s="330" t="s">
        <v>1777</v>
      </c>
      <c r="O94" s="330" t="s">
        <v>155</v>
      </c>
      <c r="P94" s="388">
        <v>8090</v>
      </c>
      <c r="Q94" s="332"/>
      <c r="R94" s="330" t="s">
        <v>1935</v>
      </c>
      <c r="S94" s="388">
        <v>40300</v>
      </c>
      <c r="T94" s="181"/>
      <c r="U94" s="151"/>
    </row>
    <row r="95" spans="1:21" ht="15.75">
      <c r="A95" s="1">
        <v>89</v>
      </c>
      <c r="B95" s="413">
        <v>0.27474537037037039</v>
      </c>
      <c r="C95" s="25">
        <f t="shared" si="13"/>
        <v>395.63333333333338</v>
      </c>
      <c r="D95" s="25">
        <f t="shared" si="10"/>
        <v>274.73988000303785</v>
      </c>
      <c r="E95" s="4">
        <f t="shared" si="9"/>
        <v>0.43890000000000001</v>
      </c>
      <c r="F95" s="25">
        <v>262.28780076045138</v>
      </c>
      <c r="G95" s="25">
        <v>395.63333333333338</v>
      </c>
      <c r="H95" s="167">
        <f t="shared" si="12"/>
        <v>-4.7474869995799071E-2</v>
      </c>
      <c r="I95" s="1">
        <v>89</v>
      </c>
      <c r="J95" s="328">
        <f t="shared" si="14"/>
        <v>66.295678008370885</v>
      </c>
      <c r="K95" s="149">
        <f t="shared" si="11"/>
        <v>69.443056703101647</v>
      </c>
      <c r="L95" s="400">
        <v>0.27474537037037039</v>
      </c>
      <c r="M95" s="330" t="s">
        <v>1936</v>
      </c>
      <c r="N95" s="330" t="s">
        <v>1937</v>
      </c>
      <c r="O95" s="330" t="s">
        <v>155</v>
      </c>
      <c r="P95" s="388">
        <v>2526</v>
      </c>
      <c r="Q95" s="332"/>
      <c r="R95" s="330" t="s">
        <v>336</v>
      </c>
      <c r="S95" s="388">
        <v>35127</v>
      </c>
      <c r="T95" s="181"/>
      <c r="U95" s="151"/>
    </row>
    <row r="96" spans="1:21" ht="15.75">
      <c r="A96" s="1">
        <v>90</v>
      </c>
      <c r="B96" s="413">
        <v>0.27484953703703702</v>
      </c>
      <c r="C96" s="25">
        <f t="shared" si="13"/>
        <v>395.7833333333333</v>
      </c>
      <c r="D96" s="25">
        <f t="shared" si="10"/>
        <v>290.56224899598396</v>
      </c>
      <c r="E96" s="4">
        <f t="shared" si="9"/>
        <v>0.41499999999999998</v>
      </c>
      <c r="F96" s="25">
        <v>274.95036089353789</v>
      </c>
      <c r="G96" s="25">
        <v>395.7833333333333</v>
      </c>
      <c r="H96" s="167">
        <f t="shared" si="12"/>
        <v>-5.678075144804437E-2</v>
      </c>
      <c r="I96" s="1">
        <v>90</v>
      </c>
      <c r="J96" s="328">
        <f t="shared" si="14"/>
        <v>69.469918952340407</v>
      </c>
      <c r="K96" s="149">
        <f t="shared" si="11"/>
        <v>73.414473153489027</v>
      </c>
      <c r="L96" s="400">
        <v>0.27484953703703702</v>
      </c>
      <c r="M96" s="330" t="s">
        <v>1776</v>
      </c>
      <c r="N96" s="330" t="s">
        <v>1777</v>
      </c>
      <c r="O96" s="330" t="s">
        <v>155</v>
      </c>
      <c r="P96" s="388">
        <v>8090</v>
      </c>
      <c r="Q96" s="332"/>
      <c r="R96" s="330" t="s">
        <v>1938</v>
      </c>
      <c r="S96" s="388">
        <v>41224</v>
      </c>
      <c r="T96" s="181"/>
      <c r="U96" s="151"/>
    </row>
    <row r="97" spans="1:21" ht="15.75">
      <c r="A97" s="1">
        <v>91</v>
      </c>
      <c r="B97" s="413">
        <v>0.3513310185185185</v>
      </c>
      <c r="C97" s="25">
        <f t="shared" si="13"/>
        <v>505.91666666666663</v>
      </c>
      <c r="D97" s="25">
        <f t="shared" si="10"/>
        <v>308.87124316939889</v>
      </c>
      <c r="E97" s="4">
        <f t="shared" si="9"/>
        <v>0.39040000000000002</v>
      </c>
      <c r="F97" s="25">
        <v>289.37862689663132</v>
      </c>
      <c r="G97" s="25">
        <v>505.91666666666663</v>
      </c>
      <c r="H97" s="167">
        <f t="shared" si="12"/>
        <v>-6.736024868806402E-2</v>
      </c>
      <c r="I97" s="1">
        <v>91</v>
      </c>
      <c r="J97" s="328">
        <f t="shared" si="14"/>
        <v>57.19887205995019</v>
      </c>
      <c r="K97" s="149">
        <f t="shared" si="11"/>
        <v>61.051802306585188</v>
      </c>
      <c r="L97" s="400">
        <v>0.3513310185185185</v>
      </c>
      <c r="M97" s="335" t="s">
        <v>1936</v>
      </c>
      <c r="N97" s="335" t="s">
        <v>1939</v>
      </c>
      <c r="O97" s="330" t="s">
        <v>155</v>
      </c>
      <c r="P97" s="161">
        <v>2526</v>
      </c>
      <c r="Q97" s="335" t="s">
        <v>1940</v>
      </c>
      <c r="R97" s="335" t="s">
        <v>334</v>
      </c>
      <c r="S97" s="412">
        <v>36100</v>
      </c>
      <c r="T97" s="181"/>
      <c r="U97" s="151"/>
    </row>
    <row r="98" spans="1:21">
      <c r="A98" s="1">
        <v>92</v>
      </c>
      <c r="B98" s="418">
        <v>0.2361226851851852</v>
      </c>
      <c r="C98" s="25">
        <f>B98*1440</f>
        <v>340.01666666666671</v>
      </c>
      <c r="D98" s="25">
        <f t="shared" si="10"/>
        <v>330.45583264821408</v>
      </c>
      <c r="E98" s="4">
        <f t="shared" ref="E98:E106" si="15">ROUND(1-IF(A98&lt;I$3,0,IF(A98&lt;I$4,G$3*(A98-I$3)^2,G$2+G$4*(A98-I$4)+(A98&gt;I$5)*G$5*(A98-I$5)^2)),4)</f>
        <v>0.3649</v>
      </c>
      <c r="F98" s="25">
        <v>305.94268195919011</v>
      </c>
      <c r="G98" s="25">
        <v>340.01666666666671</v>
      </c>
      <c r="H98" s="167">
        <f t="shared" si="12"/>
        <v>-8.012334379775686E-2</v>
      </c>
      <c r="I98" s="1">
        <v>92</v>
      </c>
      <c r="J98" s="328">
        <f t="shared" si="14"/>
        <v>89.978731030593622</v>
      </c>
      <c r="K98" s="149">
        <f t="shared" si="11"/>
        <v>97.188127831443765</v>
      </c>
      <c r="L98" s="382">
        <v>0.2361226851851852</v>
      </c>
      <c r="M98" s="330" t="s">
        <v>1941</v>
      </c>
      <c r="N98" s="330" t="s">
        <v>1942</v>
      </c>
      <c r="O98" s="330" t="s">
        <v>1943</v>
      </c>
      <c r="P98" s="388">
        <v>4109</v>
      </c>
      <c r="Q98" s="332" t="s">
        <v>1927</v>
      </c>
      <c r="R98" s="330" t="s">
        <v>1377</v>
      </c>
      <c r="S98" s="388">
        <v>37892</v>
      </c>
      <c r="T98" s="183"/>
      <c r="U98" s="151"/>
    </row>
    <row r="99" spans="1:21">
      <c r="A99" s="1">
        <v>93</v>
      </c>
      <c r="B99" s="419"/>
      <c r="C99" s="25"/>
      <c r="D99" s="25">
        <f t="shared" si="10"/>
        <v>356.2284588872476</v>
      </c>
      <c r="E99" s="4">
        <f t="shared" si="15"/>
        <v>0.33850000000000002</v>
      </c>
      <c r="F99" s="25">
        <v>325.12524604885306</v>
      </c>
      <c r="G99" s="25">
        <v>367.2166666666667</v>
      </c>
      <c r="H99" s="167">
        <f t="shared" si="12"/>
        <v>-9.5665326566860928E-2</v>
      </c>
      <c r="I99" s="1">
        <v>93</v>
      </c>
      <c r="J99" s="158"/>
      <c r="K99" s="149"/>
      <c r="L99" s="3"/>
    </row>
    <row r="100" spans="1:21">
      <c r="A100" s="1">
        <v>94</v>
      </c>
      <c r="B100" s="415"/>
      <c r="C100" s="25"/>
      <c r="D100" s="25">
        <f t="shared" si="10"/>
        <v>387.22971526439733</v>
      </c>
      <c r="E100" s="4">
        <f t="shared" si="15"/>
        <v>0.31140000000000001</v>
      </c>
      <c r="F100" s="25">
        <v>347.56795289189972</v>
      </c>
      <c r="G100" s="25"/>
      <c r="H100" s="167">
        <f t="shared" si="12"/>
        <v>-0.11411225356796106</v>
      </c>
      <c r="I100" s="1">
        <v>94</v>
      </c>
      <c r="J100" s="158"/>
      <c r="K100" s="149"/>
      <c r="L100" s="3"/>
    </row>
    <row r="101" spans="1:21">
      <c r="A101" s="1">
        <v>95</v>
      </c>
      <c r="B101" s="3"/>
      <c r="C101" s="25"/>
      <c r="D101" s="25">
        <f t="shared" si="10"/>
        <v>425.63831038945756</v>
      </c>
      <c r="E101" s="4">
        <f t="shared" si="15"/>
        <v>0.2833</v>
      </c>
      <c r="F101" s="25">
        <v>374.14249400649271</v>
      </c>
      <c r="G101" s="25"/>
      <c r="H101" s="167">
        <f t="shared" si="12"/>
        <v>-0.13763690895285263</v>
      </c>
      <c r="I101" s="1">
        <v>95</v>
      </c>
      <c r="J101" s="158"/>
      <c r="K101" s="149"/>
      <c r="L101" s="3"/>
    </row>
    <row r="102" spans="1:21">
      <c r="A102" s="1">
        <v>96</v>
      </c>
      <c r="B102" s="3"/>
      <c r="C102" s="25"/>
      <c r="D102" s="25">
        <f t="shared" si="10"/>
        <v>473.80484610347082</v>
      </c>
      <c r="E102" s="4">
        <f t="shared" si="15"/>
        <v>0.2545</v>
      </c>
      <c r="F102" s="25">
        <v>406.06375184214096</v>
      </c>
      <c r="G102" s="25"/>
      <c r="H102" s="167">
        <f t="shared" si="12"/>
        <v>-0.16682379048614146</v>
      </c>
      <c r="I102" s="1">
        <v>96</v>
      </c>
      <c r="J102" s="158"/>
      <c r="K102" s="149"/>
      <c r="L102" s="3"/>
    </row>
    <row r="103" spans="1:21">
      <c r="A103" s="1">
        <v>97</v>
      </c>
      <c r="B103" s="3"/>
      <c r="C103" s="25"/>
      <c r="D103" s="25">
        <f t="shared" si="10"/>
        <v>536.40272835112694</v>
      </c>
      <c r="E103" s="4">
        <f t="shared" si="15"/>
        <v>0.2248</v>
      </c>
      <c r="F103" s="25">
        <v>445.07698752577102</v>
      </c>
      <c r="G103" s="25"/>
      <c r="H103" s="167">
        <f t="shared" si="12"/>
        <v>-0.20519088468951216</v>
      </c>
      <c r="I103" s="1">
        <v>97</v>
      </c>
      <c r="J103" s="158"/>
      <c r="K103" s="148"/>
      <c r="L103" s="3"/>
    </row>
    <row r="104" spans="1:21">
      <c r="A104" s="1">
        <v>98</v>
      </c>
      <c r="B104" s="3"/>
      <c r="C104" s="25"/>
      <c r="D104" s="25">
        <f t="shared" si="10"/>
        <v>620.92344661860614</v>
      </c>
      <c r="E104" s="4">
        <f t="shared" si="15"/>
        <v>0.19420000000000001</v>
      </c>
      <c r="F104" s="25">
        <v>493.78256113425897</v>
      </c>
      <c r="G104" s="25"/>
      <c r="H104" s="167">
        <f t="shared" si="12"/>
        <v>-0.25748354739846246</v>
      </c>
      <c r="I104" s="1">
        <v>98</v>
      </c>
      <c r="J104" s="158"/>
      <c r="K104" s="148"/>
      <c r="L104" s="3"/>
    </row>
    <row r="105" spans="1:21">
      <c r="A105" s="1">
        <v>99</v>
      </c>
      <c r="C105" s="25"/>
      <c r="D105" s="25">
        <f t="shared" si="10"/>
        <v>740.68386568386563</v>
      </c>
      <c r="E105" s="4">
        <f t="shared" si="15"/>
        <v>0.1628</v>
      </c>
      <c r="F105" s="25">
        <v>556.23252485671253</v>
      </c>
      <c r="G105" s="25"/>
      <c r="H105" s="167">
        <f t="shared" si="12"/>
        <v>-0.33160833389717442</v>
      </c>
      <c r="I105" s="1">
        <v>99</v>
      </c>
      <c r="J105" s="158"/>
      <c r="K105" s="148"/>
    </row>
    <row r="106" spans="1:21">
      <c r="A106" s="1">
        <v>100</v>
      </c>
      <c r="D106" s="25">
        <f>E$4/E106</f>
        <v>923.30270546197039</v>
      </c>
      <c r="E106" s="4">
        <f t="shared" si="15"/>
        <v>0.13059999999999999</v>
      </c>
      <c r="F106" s="25">
        <v>639.10771841434075</v>
      </c>
      <c r="G106" s="25"/>
      <c r="H106" s="167">
        <f t="shared" si="12"/>
        <v>-0.44467462817180814</v>
      </c>
      <c r="I106" s="1">
        <v>100</v>
      </c>
      <c r="J106" s="158"/>
      <c r="K106" s="148"/>
    </row>
  </sheetData>
  <pageMargins left="0.5" right="0.5" top="0.5" bottom="0.5" header="0" footer="0"/>
  <pageSetup orientation="portrait" verticalDpi="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6"/>
  <sheetViews>
    <sheetView zoomScale="87" zoomScaleNormal="87" workbookViewId="0">
      <selection activeCell="A2" sqref="A2"/>
    </sheetView>
  </sheetViews>
  <sheetFormatPr defaultColWidth="9.6640625" defaultRowHeight="15"/>
  <cols>
    <col min="1" max="5" width="9.6640625" style="1" customWidth="1"/>
    <col min="6" max="6" width="13.21875" style="1" customWidth="1"/>
    <col min="7" max="7" width="10.6640625" style="1" customWidth="1"/>
    <col min="8" max="16384" width="9.6640625" style="1"/>
  </cols>
  <sheetData>
    <row r="1" spans="1:9" ht="47.25">
      <c r="A1" s="30" t="s">
        <v>1948</v>
      </c>
      <c r="B1" s="31"/>
      <c r="C1" s="32"/>
      <c r="D1" s="33" t="s">
        <v>32</v>
      </c>
      <c r="E1" s="33" t="s">
        <v>71</v>
      </c>
      <c r="F1" s="33" t="s">
        <v>72</v>
      </c>
      <c r="G1" s="33" t="s">
        <v>73</v>
      </c>
      <c r="H1" s="33" t="s">
        <v>74</v>
      </c>
      <c r="I1" s="33" t="s">
        <v>75</v>
      </c>
    </row>
    <row r="2" spans="1:9" ht="22.5">
      <c r="A2" s="30"/>
      <c r="B2" s="31"/>
      <c r="C2" s="32"/>
      <c r="D2" s="33"/>
      <c r="E2" s="33"/>
      <c r="F2" s="34">
        <f>(+H$3-H$4)*F$4/2</f>
        <v>2.1000000000000001E-2</v>
      </c>
      <c r="G2" s="34">
        <f>(+I$4-I$3)*G$4/2</f>
        <v>9.7500000000000003E-2</v>
      </c>
      <c r="H2" s="33"/>
      <c r="I2" s="33"/>
    </row>
    <row r="3" spans="1:9" ht="22.5">
      <c r="A3" s="30"/>
      <c r="B3" s="31"/>
      <c r="C3" s="32"/>
      <c r="D3" s="33"/>
      <c r="E3" s="33"/>
      <c r="F3" s="34">
        <f>F4/(2*(+H3-H4))</f>
        <v>1.7142857142857144E-3</v>
      </c>
      <c r="G3" s="34">
        <f>G4/(2*(+I4-I3))</f>
        <v>2.5641025641025641E-4</v>
      </c>
      <c r="H3" s="31">
        <v>20.5</v>
      </c>
      <c r="I3" s="31">
        <v>26</v>
      </c>
    </row>
    <row r="4" spans="1:9" ht="15.75">
      <c r="A4" s="31"/>
      <c r="B4" s="31"/>
      <c r="C4" s="31"/>
      <c r="D4" s="35">
        <f>Parameters!G27</f>
        <v>0.10208333333333333</v>
      </c>
      <c r="E4" s="36">
        <f>D4*1440</f>
        <v>147</v>
      </c>
      <c r="F4" s="34">
        <v>1.2E-2</v>
      </c>
      <c r="G4" s="34">
        <v>0.01</v>
      </c>
      <c r="H4" s="31">
        <v>17</v>
      </c>
      <c r="I4" s="31">
        <v>45.5</v>
      </c>
    </row>
    <row r="5" spans="1:9" ht="15.75">
      <c r="A5" s="31"/>
      <c r="B5" s="31"/>
      <c r="C5" s="31"/>
      <c r="D5" s="35"/>
      <c r="E5" s="31">
        <f>E4*60</f>
        <v>8820</v>
      </c>
      <c r="F5" s="34">
        <v>1.1000000000000001E-3</v>
      </c>
      <c r="G5" s="34">
        <v>1.1E-4</v>
      </c>
      <c r="H5" s="31">
        <v>15</v>
      </c>
      <c r="I5" s="31">
        <v>54</v>
      </c>
    </row>
    <row r="6" spans="1:9" ht="47.25">
      <c r="A6" s="37" t="s">
        <v>69</v>
      </c>
      <c r="B6" s="37" t="s">
        <v>84</v>
      </c>
      <c r="C6" s="37" t="s">
        <v>85</v>
      </c>
      <c r="D6" s="37" t="s">
        <v>139</v>
      </c>
      <c r="E6" s="37" t="s">
        <v>143</v>
      </c>
      <c r="F6" s="32" t="s">
        <v>142</v>
      </c>
      <c r="G6" s="37" t="s">
        <v>69</v>
      </c>
      <c r="I6" s="38"/>
    </row>
    <row r="7" spans="1:9">
      <c r="A7" s="1">
        <v>1</v>
      </c>
      <c r="B7" s="40"/>
      <c r="G7" s="1">
        <v>1</v>
      </c>
    </row>
    <row r="8" spans="1:9">
      <c r="A8" s="1">
        <v>2</v>
      </c>
      <c r="B8" s="40"/>
      <c r="G8" s="1">
        <v>2</v>
      </c>
    </row>
    <row r="9" spans="1:9">
      <c r="A9" s="1">
        <v>3</v>
      </c>
      <c r="B9" s="40"/>
      <c r="C9" s="25"/>
      <c r="D9" s="25"/>
      <c r="E9" s="4">
        <f t="shared" ref="E9:E33" si="0">1-IF(A9&gt;=H$3,0,IF(A9&gt;=H$4,F$3*(A9-H$3)^2,F$2+F$4*(H$4-A9)+(A9&lt;H$5)*F$5*(H$5-A9)^2))</f>
        <v>0.65259999999999996</v>
      </c>
      <c r="G9" s="1">
        <v>3</v>
      </c>
    </row>
    <row r="10" spans="1:9">
      <c r="A10" s="1">
        <v>4</v>
      </c>
      <c r="B10" s="41"/>
      <c r="C10" s="25"/>
      <c r="D10" s="19">
        <f t="shared" ref="D10:D41" si="1">E$4/E10</f>
        <v>213.07435860269607</v>
      </c>
      <c r="E10" s="4">
        <f t="shared" si="0"/>
        <v>0.68989999999999996</v>
      </c>
      <c r="F10" s="19"/>
      <c r="G10" s="1">
        <v>4</v>
      </c>
    </row>
    <row r="11" spans="1:9">
      <c r="A11" s="1">
        <v>5</v>
      </c>
      <c r="B11" s="41"/>
      <c r="C11" s="25"/>
      <c r="D11" s="19">
        <f t="shared" si="1"/>
        <v>202.75862068965517</v>
      </c>
      <c r="E11" s="4">
        <f t="shared" si="0"/>
        <v>0.72499999999999998</v>
      </c>
      <c r="F11" s="19"/>
      <c r="G11" s="1">
        <v>5</v>
      </c>
      <c r="I11" s="4"/>
    </row>
    <row r="12" spans="1:9">
      <c r="A12" s="1">
        <v>6</v>
      </c>
      <c r="B12" s="41"/>
      <c r="C12" s="25"/>
      <c r="D12" s="19">
        <f t="shared" si="1"/>
        <v>193.95698640981661</v>
      </c>
      <c r="E12" s="4">
        <f t="shared" si="0"/>
        <v>0.75790000000000002</v>
      </c>
      <c r="F12" s="19"/>
      <c r="G12" s="1">
        <v>6</v>
      </c>
      <c r="I12" s="4"/>
    </row>
    <row r="13" spans="1:9">
      <c r="A13" s="1">
        <v>7</v>
      </c>
      <c r="B13" s="41"/>
      <c r="C13" s="25"/>
      <c r="D13" s="19">
        <f t="shared" si="1"/>
        <v>186.40628962718742</v>
      </c>
      <c r="E13" s="4">
        <f t="shared" si="0"/>
        <v>0.78859999999999997</v>
      </c>
      <c r="F13" s="19"/>
      <c r="G13" s="1">
        <v>7</v>
      </c>
      <c r="I13" s="4"/>
    </row>
    <row r="14" spans="1:9">
      <c r="A14" s="1">
        <v>8</v>
      </c>
      <c r="B14" s="41"/>
      <c r="C14" s="25"/>
      <c r="D14" s="19">
        <f t="shared" si="1"/>
        <v>179.9045404479256</v>
      </c>
      <c r="E14" s="4">
        <f t="shared" si="0"/>
        <v>0.81709999999999994</v>
      </c>
      <c r="F14" s="19"/>
      <c r="G14" s="1">
        <v>8</v>
      </c>
      <c r="I14" s="4"/>
    </row>
    <row r="15" spans="1:9">
      <c r="A15" s="1">
        <v>9</v>
      </c>
      <c r="B15" s="41"/>
      <c r="C15" s="25"/>
      <c r="D15" s="19">
        <f t="shared" si="1"/>
        <v>174.29452217216033</v>
      </c>
      <c r="E15" s="4">
        <f t="shared" si="0"/>
        <v>0.84339999999999993</v>
      </c>
      <c r="F15" s="19"/>
      <c r="G15" s="1">
        <v>9</v>
      </c>
      <c r="I15" s="4"/>
    </row>
    <row r="16" spans="1:9">
      <c r="A16" s="1">
        <v>10</v>
      </c>
      <c r="B16" s="41"/>
      <c r="C16" s="25"/>
      <c r="D16" s="19">
        <f t="shared" si="1"/>
        <v>169.45244956772336</v>
      </c>
      <c r="E16" s="4">
        <f t="shared" si="0"/>
        <v>0.86749999999999994</v>
      </c>
      <c r="F16" s="19"/>
      <c r="G16" s="1">
        <v>10</v>
      </c>
      <c r="I16" s="4"/>
    </row>
    <row r="17" spans="1:9">
      <c r="A17" s="1">
        <v>11</v>
      </c>
      <c r="B17" s="41"/>
      <c r="C17" s="25"/>
      <c r="D17" s="19">
        <f t="shared" si="1"/>
        <v>165.27996402068811</v>
      </c>
      <c r="E17" s="4">
        <f t="shared" si="0"/>
        <v>0.88939999999999997</v>
      </c>
      <c r="F17" s="19"/>
      <c r="G17" s="1">
        <v>11</v>
      </c>
      <c r="I17" s="4"/>
    </row>
    <row r="18" spans="1:9">
      <c r="A18" s="1">
        <v>12</v>
      </c>
      <c r="B18" s="41"/>
      <c r="C18" s="25"/>
      <c r="D18" s="19">
        <f t="shared" si="1"/>
        <v>161.69838301616983</v>
      </c>
      <c r="E18" s="4">
        <f t="shared" si="0"/>
        <v>0.90910000000000002</v>
      </c>
      <c r="F18" s="19"/>
      <c r="G18" s="1">
        <v>12</v>
      </c>
      <c r="I18" s="4"/>
    </row>
    <row r="19" spans="1:9">
      <c r="A19" s="1">
        <v>13</v>
      </c>
      <c r="B19" s="41"/>
      <c r="C19" s="25"/>
      <c r="D19" s="19">
        <f t="shared" si="1"/>
        <v>158.6445067990503</v>
      </c>
      <c r="E19" s="4">
        <f t="shared" si="0"/>
        <v>0.92659999999999998</v>
      </c>
      <c r="F19" s="19"/>
      <c r="G19" s="1">
        <v>13</v>
      </c>
      <c r="I19" s="4"/>
    </row>
    <row r="20" spans="1:9">
      <c r="A20" s="1">
        <v>14</v>
      </c>
      <c r="B20" s="41"/>
      <c r="C20" s="25"/>
      <c r="D20" s="19">
        <f t="shared" si="1"/>
        <v>156.06752309162331</v>
      </c>
      <c r="E20" s="4">
        <f t="shared" si="0"/>
        <v>0.94189999999999996</v>
      </c>
      <c r="F20" s="19"/>
      <c r="G20" s="1">
        <v>14</v>
      </c>
      <c r="I20" s="4"/>
    </row>
    <row r="21" spans="1:9">
      <c r="A21" s="1">
        <v>15</v>
      </c>
      <c r="B21" s="41"/>
      <c r="C21" s="25"/>
      <c r="D21" s="19">
        <f t="shared" si="1"/>
        <v>153.92670157068062</v>
      </c>
      <c r="E21" s="4">
        <f t="shared" si="0"/>
        <v>0.95499999999999996</v>
      </c>
      <c r="F21" s="19"/>
      <c r="G21" s="1">
        <v>15</v>
      </c>
      <c r="I21" s="4"/>
    </row>
    <row r="22" spans="1:9">
      <c r="A22" s="1">
        <v>16</v>
      </c>
      <c r="B22" s="41"/>
      <c r="C22" s="25"/>
      <c r="D22" s="19">
        <f t="shared" si="1"/>
        <v>152.01654601861426</v>
      </c>
      <c r="E22" s="4">
        <f t="shared" si="0"/>
        <v>0.96699999999999997</v>
      </c>
      <c r="F22" s="19"/>
      <c r="G22" s="1">
        <v>16</v>
      </c>
      <c r="I22" s="4"/>
    </row>
    <row r="23" spans="1:9">
      <c r="A23" s="1">
        <v>17</v>
      </c>
      <c r="B23" s="41"/>
      <c r="C23" s="25"/>
      <c r="D23" s="19">
        <f t="shared" si="1"/>
        <v>150.15321756894789</v>
      </c>
      <c r="E23" s="4">
        <f t="shared" si="0"/>
        <v>0.97899999999999998</v>
      </c>
      <c r="F23" s="19"/>
      <c r="G23" s="1">
        <v>17</v>
      </c>
      <c r="I23" s="4"/>
    </row>
    <row r="24" spans="1:9">
      <c r="A24" s="1">
        <v>18</v>
      </c>
      <c r="B24" s="41"/>
      <c r="C24" s="25"/>
      <c r="D24" s="19">
        <f t="shared" si="1"/>
        <v>148.59205776173286</v>
      </c>
      <c r="E24" s="4">
        <f t="shared" si="0"/>
        <v>0.98928571428571432</v>
      </c>
      <c r="F24" s="19"/>
      <c r="G24" s="1">
        <v>18</v>
      </c>
      <c r="I24" s="4"/>
    </row>
    <row r="25" spans="1:9">
      <c r="A25" s="1">
        <v>19</v>
      </c>
      <c r="B25" s="41"/>
      <c r="C25" s="25"/>
      <c r="D25" s="19">
        <f t="shared" si="1"/>
        <v>147.56919546823462</v>
      </c>
      <c r="E25" s="4">
        <f t="shared" si="0"/>
        <v>0.99614285714285711</v>
      </c>
      <c r="F25" s="19"/>
      <c r="G25" s="1">
        <v>19</v>
      </c>
      <c r="I25" s="4"/>
    </row>
    <row r="26" spans="1:9">
      <c r="A26" s="1">
        <v>20</v>
      </c>
      <c r="B26" s="41"/>
      <c r="C26" s="25"/>
      <c r="D26" s="19">
        <f t="shared" si="1"/>
        <v>147.06302701157639</v>
      </c>
      <c r="E26" s="4">
        <f t="shared" si="0"/>
        <v>0.99957142857142856</v>
      </c>
      <c r="F26" s="19"/>
      <c r="G26" s="1">
        <v>20</v>
      </c>
      <c r="I26" s="4"/>
    </row>
    <row r="27" spans="1:9">
      <c r="A27" s="1">
        <v>21</v>
      </c>
      <c r="B27" s="41"/>
      <c r="C27" s="25"/>
      <c r="D27" s="19">
        <f t="shared" si="1"/>
        <v>147</v>
      </c>
      <c r="E27" s="4">
        <f t="shared" si="0"/>
        <v>1</v>
      </c>
      <c r="F27" s="19"/>
      <c r="G27" s="1">
        <v>21</v>
      </c>
      <c r="I27" s="4"/>
    </row>
    <row r="28" spans="1:9">
      <c r="A28" s="1">
        <v>22</v>
      </c>
      <c r="B28" s="41"/>
      <c r="C28" s="25"/>
      <c r="D28" s="19">
        <f t="shared" si="1"/>
        <v>147</v>
      </c>
      <c r="E28" s="4">
        <f t="shared" si="0"/>
        <v>1</v>
      </c>
      <c r="F28" s="19"/>
      <c r="G28" s="1">
        <v>22</v>
      </c>
      <c r="I28" s="4"/>
    </row>
    <row r="29" spans="1:9">
      <c r="A29" s="1">
        <v>23</v>
      </c>
      <c r="B29" s="41"/>
      <c r="C29" s="25"/>
      <c r="D29" s="19">
        <f t="shared" si="1"/>
        <v>147</v>
      </c>
      <c r="E29" s="4">
        <f t="shared" si="0"/>
        <v>1</v>
      </c>
      <c r="F29" s="19"/>
      <c r="G29" s="1">
        <v>23</v>
      </c>
      <c r="I29" s="4"/>
    </row>
    <row r="30" spans="1:9">
      <c r="A30" s="1">
        <v>24</v>
      </c>
      <c r="B30" s="41"/>
      <c r="C30" s="25"/>
      <c r="D30" s="19">
        <f t="shared" si="1"/>
        <v>147</v>
      </c>
      <c r="E30" s="4">
        <f t="shared" si="0"/>
        <v>1</v>
      </c>
      <c r="F30" s="19"/>
      <c r="G30" s="1">
        <v>24</v>
      </c>
      <c r="I30" s="4"/>
    </row>
    <row r="31" spans="1:9">
      <c r="A31" s="1">
        <v>25</v>
      </c>
      <c r="B31" s="41"/>
      <c r="C31" s="25"/>
      <c r="D31" s="19">
        <f t="shared" si="1"/>
        <v>147</v>
      </c>
      <c r="E31" s="4">
        <f t="shared" si="0"/>
        <v>1</v>
      </c>
      <c r="F31" s="19"/>
      <c r="G31" s="1">
        <v>25</v>
      </c>
      <c r="I31" s="4"/>
    </row>
    <row r="32" spans="1:9">
      <c r="A32" s="1">
        <v>26</v>
      </c>
      <c r="B32" s="41"/>
      <c r="C32" s="25"/>
      <c r="D32" s="19">
        <f t="shared" si="1"/>
        <v>147</v>
      </c>
      <c r="E32" s="4">
        <f t="shared" si="0"/>
        <v>1</v>
      </c>
      <c r="F32" s="19"/>
      <c r="G32" s="1">
        <v>26</v>
      </c>
      <c r="I32" s="4"/>
    </row>
    <row r="33" spans="1:11">
      <c r="A33" s="1">
        <v>27</v>
      </c>
      <c r="B33" s="41">
        <v>0.13100694444444444</v>
      </c>
      <c r="C33" s="19">
        <f>B33*1440</f>
        <v>188.65</v>
      </c>
      <c r="D33" s="19">
        <f t="shared" si="1"/>
        <v>147</v>
      </c>
      <c r="E33" s="4">
        <f t="shared" si="0"/>
        <v>1</v>
      </c>
      <c r="F33" s="19">
        <f>100*(D33/C33)</f>
        <v>77.922077922077918</v>
      </c>
      <c r="G33" s="1">
        <v>27</v>
      </c>
      <c r="H33" s="42">
        <v>0.13100694444444444</v>
      </c>
      <c r="I33" s="23" t="s">
        <v>94</v>
      </c>
      <c r="J33" s="23" t="s">
        <v>96</v>
      </c>
      <c r="K33" s="23">
        <v>32589</v>
      </c>
    </row>
    <row r="34" spans="1:11">
      <c r="A34" s="1">
        <v>28</v>
      </c>
      <c r="B34" s="41"/>
      <c r="C34" s="19"/>
      <c r="D34" s="19">
        <f t="shared" si="1"/>
        <v>147.15092402464066</v>
      </c>
      <c r="E34" s="4">
        <f t="shared" ref="E34:E65" si="2">1-IF(A34&lt;I$3,0,IF(A34&lt;I$4,G$3*(A34-I$3)^2,G$2+G$4*(A34-I$4)+(A34&gt;I$5)*G$5*(A34-I$5)^2))</f>
        <v>0.99897435897435893</v>
      </c>
      <c r="F34" s="19"/>
      <c r="G34" s="1">
        <v>28</v>
      </c>
      <c r="I34" s="4"/>
    </row>
    <row r="35" spans="1:11">
      <c r="A35" s="1">
        <v>29</v>
      </c>
      <c r="B35" s="41"/>
      <c r="C35" s="19"/>
      <c r="D35" s="19">
        <f t="shared" si="1"/>
        <v>147.34001542020047</v>
      </c>
      <c r="E35" s="4">
        <f t="shared" si="2"/>
        <v>0.99769230769230766</v>
      </c>
      <c r="F35" s="19"/>
      <c r="G35" s="1">
        <v>29</v>
      </c>
      <c r="I35" s="4"/>
    </row>
    <row r="36" spans="1:11">
      <c r="A36" s="1">
        <v>30</v>
      </c>
      <c r="B36" s="41"/>
      <c r="C36" s="19"/>
      <c r="D36" s="19">
        <f t="shared" si="1"/>
        <v>147.60556127703398</v>
      </c>
      <c r="E36" s="4">
        <f t="shared" si="2"/>
        <v>0.99589743589743585</v>
      </c>
      <c r="F36" s="19"/>
      <c r="G36" s="1">
        <v>30</v>
      </c>
      <c r="I36" s="4"/>
    </row>
    <row r="37" spans="1:11">
      <c r="A37" s="1">
        <v>31</v>
      </c>
      <c r="B37" s="41"/>
      <c r="C37" s="19"/>
      <c r="D37" s="19">
        <f t="shared" si="1"/>
        <v>147.94838709677418</v>
      </c>
      <c r="E37" s="4">
        <f t="shared" si="2"/>
        <v>0.99358974358974361</v>
      </c>
      <c r="F37" s="19"/>
      <c r="G37" s="1">
        <v>31</v>
      </c>
      <c r="I37" s="4"/>
    </row>
    <row r="38" spans="1:11">
      <c r="A38" s="1">
        <v>32</v>
      </c>
      <c r="B38" s="41"/>
      <c r="C38" s="19"/>
      <c r="D38" s="19">
        <f t="shared" si="1"/>
        <v>148.36956521739131</v>
      </c>
      <c r="E38" s="4">
        <f t="shared" si="2"/>
        <v>0.99076923076923074</v>
      </c>
      <c r="F38" s="19"/>
      <c r="G38" s="1">
        <v>32</v>
      </c>
      <c r="I38" s="4"/>
    </row>
    <row r="39" spans="1:11">
      <c r="A39" s="1">
        <v>33</v>
      </c>
      <c r="B39" s="41"/>
      <c r="C39" s="19"/>
      <c r="D39" s="19">
        <f t="shared" si="1"/>
        <v>148.87042326668399</v>
      </c>
      <c r="E39" s="4">
        <f t="shared" si="2"/>
        <v>0.98743589743589744</v>
      </c>
      <c r="F39" s="19"/>
      <c r="G39" s="1">
        <v>33</v>
      </c>
      <c r="I39" s="4"/>
    </row>
    <row r="40" spans="1:11">
      <c r="A40" s="1">
        <v>34</v>
      </c>
      <c r="B40" s="41"/>
      <c r="C40" s="19"/>
      <c r="D40" s="19">
        <f t="shared" si="1"/>
        <v>149.45255474452554</v>
      </c>
      <c r="E40" s="4">
        <f t="shared" si="2"/>
        <v>0.9835897435897436</v>
      </c>
      <c r="F40" s="19"/>
      <c r="G40" s="1">
        <v>34</v>
      </c>
      <c r="I40" s="4"/>
    </row>
    <row r="41" spans="1:11">
      <c r="A41" s="1">
        <v>35</v>
      </c>
      <c r="B41" s="41">
        <v>0.14483796296296297</v>
      </c>
      <c r="C41" s="19">
        <f>B41*1440</f>
        <v>208.56666666666669</v>
      </c>
      <c r="D41" s="19">
        <f t="shared" si="1"/>
        <v>150.11783189316574</v>
      </c>
      <c r="E41" s="4">
        <f t="shared" si="2"/>
        <v>0.97923076923076924</v>
      </c>
      <c r="F41" s="19">
        <f>100*(D41/C41)</f>
        <v>71.975946248920749</v>
      </c>
      <c r="G41" s="1">
        <v>35</v>
      </c>
      <c r="H41" s="23" t="s">
        <v>86</v>
      </c>
      <c r="I41" s="4"/>
    </row>
    <row r="42" spans="1:11">
      <c r="A42" s="1">
        <v>36</v>
      </c>
      <c r="B42" s="41"/>
      <c r="C42" s="19"/>
      <c r="D42" s="19">
        <f t="shared" ref="D42:D73" si="3">E$4/E42</f>
        <v>150.86842105263159</v>
      </c>
      <c r="E42" s="4">
        <f t="shared" si="2"/>
        <v>0.97435897435897434</v>
      </c>
      <c r="F42" s="19"/>
      <c r="G42" s="1">
        <v>36</v>
      </c>
      <c r="I42" s="4"/>
    </row>
    <row r="43" spans="1:11">
      <c r="A43" s="1">
        <v>37</v>
      </c>
      <c r="B43" s="41"/>
      <c r="C43" s="19"/>
      <c r="D43" s="19">
        <f t="shared" si="3"/>
        <v>151.70680074093676</v>
      </c>
      <c r="E43" s="4">
        <f t="shared" si="2"/>
        <v>0.96897435897435902</v>
      </c>
      <c r="F43" s="19"/>
      <c r="G43" s="1">
        <v>37</v>
      </c>
      <c r="I43" s="4"/>
    </row>
    <row r="44" spans="1:11">
      <c r="A44" s="1">
        <v>38</v>
      </c>
      <c r="B44" s="41"/>
      <c r="C44" s="19"/>
      <c r="D44" s="19">
        <f t="shared" si="3"/>
        <v>152.63578274760383</v>
      </c>
      <c r="E44" s="4">
        <f t="shared" si="2"/>
        <v>0.96307692307692305</v>
      </c>
      <c r="F44" s="19"/>
      <c r="G44" s="1">
        <v>38</v>
      </c>
      <c r="I44" s="4"/>
    </row>
    <row r="45" spans="1:11">
      <c r="A45" s="1">
        <v>39</v>
      </c>
      <c r="B45" s="41"/>
      <c r="C45" s="19"/>
      <c r="D45" s="19">
        <f t="shared" si="3"/>
        <v>153.65853658536585</v>
      </c>
      <c r="E45" s="4">
        <f t="shared" si="2"/>
        <v>0.95666666666666667</v>
      </c>
      <c r="F45" s="19"/>
      <c r="G45" s="1">
        <v>39</v>
      </c>
      <c r="I45" s="4"/>
    </row>
    <row r="46" spans="1:11">
      <c r="A46" s="1">
        <v>40</v>
      </c>
      <c r="B46" s="41">
        <v>0.1509837962962963</v>
      </c>
      <c r="C46" s="19">
        <f>B46*1440</f>
        <v>217.41666666666666</v>
      </c>
      <c r="D46" s="19">
        <f t="shared" si="3"/>
        <v>154.77861771058315</v>
      </c>
      <c r="E46" s="4">
        <f t="shared" si="2"/>
        <v>0.94974358974358974</v>
      </c>
      <c r="F46" s="19">
        <f>100*(D46/C46)</f>
        <v>71.189858663357526</v>
      </c>
      <c r="G46" s="1">
        <v>40</v>
      </c>
      <c r="H46" s="23" t="s">
        <v>87</v>
      </c>
      <c r="I46" s="4"/>
    </row>
    <row r="47" spans="1:11">
      <c r="A47" s="1">
        <v>41</v>
      </c>
      <c r="B47" s="41"/>
      <c r="C47" s="19"/>
      <c r="D47" s="19">
        <f t="shared" si="3"/>
        <v>156</v>
      </c>
      <c r="E47" s="4">
        <f t="shared" si="2"/>
        <v>0.94230769230769229</v>
      </c>
      <c r="F47" s="19"/>
      <c r="G47" s="1">
        <v>41</v>
      </c>
      <c r="H47" s="23"/>
      <c r="I47" s="4"/>
    </row>
    <row r="48" spans="1:11">
      <c r="A48" s="1">
        <v>42</v>
      </c>
      <c r="B48" s="41"/>
      <c r="C48" s="19"/>
      <c r="D48" s="19">
        <f t="shared" si="3"/>
        <v>157.3271130625686</v>
      </c>
      <c r="E48" s="4">
        <f t="shared" si="2"/>
        <v>0.93435897435897441</v>
      </c>
      <c r="F48" s="19"/>
      <c r="G48" s="1">
        <v>42</v>
      </c>
      <c r="H48" s="23"/>
      <c r="I48" s="4"/>
    </row>
    <row r="49" spans="1:13">
      <c r="A49" s="1">
        <v>43</v>
      </c>
      <c r="B49" s="41"/>
      <c r="C49" s="19"/>
      <c r="D49" s="19">
        <f t="shared" si="3"/>
        <v>158.76488507338686</v>
      </c>
      <c r="E49" s="4">
        <f t="shared" si="2"/>
        <v>0.92589743589743589</v>
      </c>
      <c r="F49" s="19"/>
      <c r="G49" s="1">
        <v>43</v>
      </c>
      <c r="H49" s="23"/>
      <c r="I49" s="4"/>
    </row>
    <row r="50" spans="1:13">
      <c r="A50" s="1">
        <v>44</v>
      </c>
      <c r="B50" s="41"/>
      <c r="C50" s="19"/>
      <c r="D50" s="19">
        <f t="shared" si="3"/>
        <v>160.31879194630872</v>
      </c>
      <c r="E50" s="4">
        <f t="shared" si="2"/>
        <v>0.91692307692307695</v>
      </c>
      <c r="F50" s="19"/>
      <c r="G50" s="1">
        <v>44</v>
      </c>
      <c r="H50" s="23"/>
      <c r="I50" s="4"/>
    </row>
    <row r="51" spans="1:13">
      <c r="A51" s="1">
        <v>45</v>
      </c>
      <c r="B51" s="41">
        <v>0.15251157407407406</v>
      </c>
      <c r="C51" s="19">
        <f>B51*1440</f>
        <v>219.61666666666665</v>
      </c>
      <c r="D51" s="19">
        <f t="shared" si="3"/>
        <v>161.99491381746256</v>
      </c>
      <c r="E51" s="4">
        <f t="shared" si="2"/>
        <v>0.90743589743589748</v>
      </c>
      <c r="F51" s="19">
        <f>100*(D51/C51)</f>
        <v>73.762577438322481</v>
      </c>
      <c r="G51" s="1">
        <v>45</v>
      </c>
      <c r="H51" s="23" t="s">
        <v>88</v>
      </c>
      <c r="I51" s="4"/>
    </row>
    <row r="52" spans="1:13">
      <c r="A52" s="1">
        <v>46</v>
      </c>
      <c r="B52" s="41"/>
      <c r="C52" s="19"/>
      <c r="D52" s="19">
        <f t="shared" si="3"/>
        <v>163.78830083565461</v>
      </c>
      <c r="E52" s="4">
        <f t="shared" si="2"/>
        <v>0.89749999999999996</v>
      </c>
      <c r="F52" s="19"/>
      <c r="G52" s="1">
        <v>46</v>
      </c>
      <c r="H52" s="23"/>
      <c r="I52" s="4"/>
    </row>
    <row r="53" spans="1:13">
      <c r="A53" s="1">
        <v>47</v>
      </c>
      <c r="B53" s="41">
        <v>0.14761574074074074</v>
      </c>
      <c r="C53" s="19">
        <f>B53*1440</f>
        <v>212.56666666666666</v>
      </c>
      <c r="D53" s="19">
        <f t="shared" si="3"/>
        <v>165.63380281690141</v>
      </c>
      <c r="E53" s="4">
        <f t="shared" si="2"/>
        <v>0.88749999999999996</v>
      </c>
      <c r="F53" s="19">
        <f>100*(D53/C53)</f>
        <v>77.920873208515644</v>
      </c>
      <c r="G53" s="1">
        <v>47</v>
      </c>
      <c r="H53" s="43" t="s">
        <v>89</v>
      </c>
      <c r="I53" s="42">
        <v>0.14761574074074074</v>
      </c>
      <c r="J53" s="23" t="s">
        <v>95</v>
      </c>
      <c r="K53" s="23" t="s">
        <v>98</v>
      </c>
      <c r="L53" s="23" t="s">
        <v>101</v>
      </c>
      <c r="M53" s="23">
        <v>-121783</v>
      </c>
    </row>
    <row r="54" spans="1:13">
      <c r="A54" s="1">
        <v>48</v>
      </c>
      <c r="B54" s="41"/>
      <c r="C54" s="19"/>
      <c r="D54" s="19">
        <f t="shared" si="3"/>
        <v>167.52136752136752</v>
      </c>
      <c r="E54" s="4">
        <f t="shared" si="2"/>
        <v>0.87749999999999995</v>
      </c>
      <c r="F54" s="19"/>
      <c r="G54" s="1">
        <v>48</v>
      </c>
      <c r="H54" s="23"/>
      <c r="I54" s="4"/>
    </row>
    <row r="55" spans="1:13">
      <c r="A55" s="1">
        <v>49</v>
      </c>
      <c r="B55" s="41"/>
      <c r="C55" s="19"/>
      <c r="D55" s="19">
        <f t="shared" si="3"/>
        <v>169.45244956772336</v>
      </c>
      <c r="E55" s="4">
        <f t="shared" si="2"/>
        <v>0.86749999999999994</v>
      </c>
      <c r="F55" s="19"/>
      <c r="G55" s="1">
        <v>49</v>
      </c>
      <c r="H55" s="23"/>
      <c r="I55" s="4"/>
    </row>
    <row r="56" spans="1:13">
      <c r="A56" s="1">
        <v>50</v>
      </c>
      <c r="B56" s="41">
        <v>0.15760416666666666</v>
      </c>
      <c r="C56" s="19">
        <f>B56*1440</f>
        <v>226.95</v>
      </c>
      <c r="D56" s="19">
        <f t="shared" si="3"/>
        <v>171.42857142857144</v>
      </c>
      <c r="E56" s="4">
        <f t="shared" si="2"/>
        <v>0.85749999999999993</v>
      </c>
      <c r="F56" s="19">
        <f>100*(D56/C56)</f>
        <v>75.535832310452278</v>
      </c>
      <c r="G56" s="1">
        <v>50</v>
      </c>
      <c r="H56" s="23" t="s">
        <v>90</v>
      </c>
      <c r="I56" s="4"/>
    </row>
    <row r="57" spans="1:13">
      <c r="A57" s="1">
        <v>51</v>
      </c>
      <c r="B57" s="41"/>
      <c r="C57" s="19"/>
      <c r="D57" s="19">
        <f t="shared" si="3"/>
        <v>173.45132743362831</v>
      </c>
      <c r="E57" s="4">
        <f t="shared" si="2"/>
        <v>0.84750000000000003</v>
      </c>
      <c r="F57" s="19"/>
      <c r="G57" s="1">
        <v>51</v>
      </c>
      <c r="I57" s="4"/>
    </row>
    <row r="58" spans="1:13">
      <c r="A58" s="1">
        <v>52</v>
      </c>
      <c r="B58" s="41"/>
      <c r="C58" s="19"/>
      <c r="D58" s="19">
        <f t="shared" si="3"/>
        <v>175.52238805970148</v>
      </c>
      <c r="E58" s="4">
        <f t="shared" si="2"/>
        <v>0.83750000000000002</v>
      </c>
      <c r="F58" s="19"/>
      <c r="G58" s="1">
        <v>52</v>
      </c>
      <c r="I58" s="4"/>
    </row>
    <row r="59" spans="1:13">
      <c r="A59" s="1">
        <v>53</v>
      </c>
      <c r="B59" s="41"/>
      <c r="C59" s="19"/>
      <c r="D59" s="19">
        <f t="shared" si="3"/>
        <v>177.64350453172204</v>
      </c>
      <c r="E59" s="4">
        <f t="shared" si="2"/>
        <v>0.82750000000000001</v>
      </c>
      <c r="F59" s="19"/>
      <c r="G59" s="1">
        <v>53</v>
      </c>
      <c r="I59" s="4"/>
    </row>
    <row r="60" spans="1:13">
      <c r="A60" s="1">
        <v>54</v>
      </c>
      <c r="B60" s="41"/>
      <c r="C60" s="19"/>
      <c r="D60" s="19">
        <f t="shared" si="3"/>
        <v>179.81651376146789</v>
      </c>
      <c r="E60" s="4">
        <f t="shared" si="2"/>
        <v>0.8175</v>
      </c>
      <c r="F60" s="19"/>
      <c r="G60" s="1">
        <v>54</v>
      </c>
      <c r="I60" s="4"/>
    </row>
    <row r="61" spans="1:13">
      <c r="A61" s="1">
        <v>55</v>
      </c>
      <c r="B61" s="41">
        <v>0.16452546296296297</v>
      </c>
      <c r="C61" s="19">
        <f>B61*1440</f>
        <v>236.91666666666669</v>
      </c>
      <c r="D61" s="19">
        <f t="shared" si="3"/>
        <v>182.06814550588933</v>
      </c>
      <c r="E61" s="4">
        <f t="shared" si="2"/>
        <v>0.80739000000000005</v>
      </c>
      <c r="F61" s="19">
        <f>100*(D61/C61)</f>
        <v>76.849023780185433</v>
      </c>
      <c r="G61" s="1">
        <v>55</v>
      </c>
      <c r="H61" s="23" t="s">
        <v>89</v>
      </c>
      <c r="I61" s="42">
        <v>0.16452546296296297</v>
      </c>
      <c r="J61" s="23" t="s">
        <v>95</v>
      </c>
      <c r="K61" s="23" t="s">
        <v>99</v>
      </c>
      <c r="L61" s="23" t="s">
        <v>102</v>
      </c>
      <c r="M61" s="23">
        <v>-101792</v>
      </c>
    </row>
    <row r="62" spans="1:13">
      <c r="A62" s="1">
        <v>56</v>
      </c>
      <c r="B62" s="41"/>
      <c r="C62" s="19"/>
      <c r="D62" s="19">
        <f t="shared" si="3"/>
        <v>184.42777206232907</v>
      </c>
      <c r="E62" s="4">
        <f t="shared" si="2"/>
        <v>0.79705999999999999</v>
      </c>
      <c r="F62" s="19"/>
      <c r="G62" s="1">
        <v>56</v>
      </c>
      <c r="I62" s="4"/>
    </row>
    <row r="63" spans="1:13">
      <c r="A63" s="1">
        <v>57</v>
      </c>
      <c r="B63" s="41"/>
      <c r="C63" s="19"/>
      <c r="D63" s="19">
        <f t="shared" si="3"/>
        <v>186.90162871419307</v>
      </c>
      <c r="E63" s="4">
        <f t="shared" si="2"/>
        <v>0.78651000000000004</v>
      </c>
      <c r="F63" s="19"/>
      <c r="G63" s="1">
        <v>57</v>
      </c>
      <c r="I63" s="4"/>
    </row>
    <row r="64" spans="1:13">
      <c r="A64" s="1">
        <v>58</v>
      </c>
      <c r="B64" s="41"/>
      <c r="C64" s="19"/>
      <c r="D64" s="19">
        <f t="shared" si="3"/>
        <v>189.49648077964267</v>
      </c>
      <c r="E64" s="4">
        <f t="shared" si="2"/>
        <v>0.77573999999999999</v>
      </c>
      <c r="F64" s="19"/>
      <c r="G64" s="1">
        <v>58</v>
      </c>
      <c r="I64" s="4"/>
    </row>
    <row r="65" spans="1:13">
      <c r="A65" s="1">
        <v>59</v>
      </c>
      <c r="B65" s="41"/>
      <c r="C65" s="19"/>
      <c r="D65" s="19">
        <f t="shared" si="3"/>
        <v>192.21967963386726</v>
      </c>
      <c r="E65" s="4">
        <f t="shared" si="2"/>
        <v>0.76475000000000004</v>
      </c>
      <c r="F65" s="19"/>
      <c r="G65" s="1">
        <v>59</v>
      </c>
      <c r="I65" s="4"/>
    </row>
    <row r="66" spans="1:13">
      <c r="A66" s="1">
        <v>60</v>
      </c>
      <c r="B66" s="41">
        <v>0.18365740740740741</v>
      </c>
      <c r="C66" s="19">
        <f>B66*1440</f>
        <v>264.46666666666664</v>
      </c>
      <c r="D66" s="19">
        <f t="shared" si="3"/>
        <v>195.07922605302971</v>
      </c>
      <c r="E66" s="4">
        <f t="shared" ref="E66:E97" si="4">1-IF(A66&lt;I$3,0,IF(A66&lt;I$4,G$3*(A66-I$3)^2,G$2+G$4*(A66-I$4)+(A66&gt;I$5)*G$5*(A66-I$5)^2))</f>
        <v>0.75353999999999999</v>
      </c>
      <c r="F66" s="19">
        <f>100*(D66/C66)</f>
        <v>73.763256637142575</v>
      </c>
      <c r="G66" s="1">
        <v>60</v>
      </c>
      <c r="H66" s="23" t="s">
        <v>91</v>
      </c>
      <c r="I66" s="4"/>
    </row>
    <row r="67" spans="1:13">
      <c r="A67" s="1">
        <v>61</v>
      </c>
      <c r="B67" s="41"/>
      <c r="C67" s="19"/>
      <c r="D67" s="19">
        <f t="shared" si="3"/>
        <v>198.08384201802966</v>
      </c>
      <c r="E67" s="4">
        <f t="shared" si="4"/>
        <v>0.74211000000000005</v>
      </c>
      <c r="F67" s="19"/>
      <c r="G67" s="1">
        <v>61</v>
      </c>
      <c r="I67" s="4"/>
    </row>
    <row r="68" spans="1:13">
      <c r="A68" s="1">
        <v>62</v>
      </c>
      <c r="B68" s="41"/>
      <c r="C68" s="19"/>
      <c r="D68" s="19">
        <f t="shared" si="3"/>
        <v>201.24305232319361</v>
      </c>
      <c r="E68" s="4">
        <f t="shared" si="4"/>
        <v>0.73046</v>
      </c>
      <c r="F68" s="19"/>
      <c r="G68" s="1">
        <v>62</v>
      </c>
      <c r="I68" s="4"/>
    </row>
    <row r="69" spans="1:13">
      <c r="A69" s="1">
        <v>63</v>
      </c>
      <c r="B69" s="41"/>
      <c r="C69" s="19"/>
      <c r="D69" s="19">
        <f t="shared" si="3"/>
        <v>204.56727758527114</v>
      </c>
      <c r="E69" s="4">
        <f t="shared" si="4"/>
        <v>0.71859000000000006</v>
      </c>
      <c r="F69" s="19"/>
      <c r="G69" s="1">
        <v>63</v>
      </c>
      <c r="I69" s="4"/>
    </row>
    <row r="70" spans="1:13">
      <c r="A70" s="1">
        <v>64</v>
      </c>
      <c r="B70" s="41"/>
      <c r="C70" s="19"/>
      <c r="D70" s="19">
        <f t="shared" si="3"/>
        <v>208.06794055201698</v>
      </c>
      <c r="E70" s="4">
        <f t="shared" si="4"/>
        <v>0.70650000000000002</v>
      </c>
      <c r="F70" s="19"/>
      <c r="G70" s="1">
        <v>64</v>
      </c>
      <c r="I70" s="4"/>
    </row>
    <row r="71" spans="1:13">
      <c r="A71" s="1">
        <v>65</v>
      </c>
      <c r="B71" s="41">
        <v>0.1933101851851852</v>
      </c>
      <c r="C71" s="19">
        <f>B71*1440</f>
        <v>278.36666666666667</v>
      </c>
      <c r="D71" s="19">
        <f t="shared" si="3"/>
        <v>211.75758798023594</v>
      </c>
      <c r="E71" s="4">
        <f t="shared" si="4"/>
        <v>0.69419000000000008</v>
      </c>
      <c r="F71" s="19">
        <f>100*(D71/C71)</f>
        <v>76.071460177309035</v>
      </c>
      <c r="G71" s="1">
        <v>65</v>
      </c>
      <c r="H71" s="23" t="s">
        <v>92</v>
      </c>
      <c r="I71" s="4"/>
    </row>
    <row r="72" spans="1:13">
      <c r="A72" s="1">
        <v>66</v>
      </c>
      <c r="B72" s="41"/>
      <c r="C72" s="19"/>
      <c r="D72" s="19">
        <f t="shared" si="3"/>
        <v>215.65003080714729</v>
      </c>
      <c r="E72" s="4">
        <f t="shared" si="4"/>
        <v>0.68165999999999993</v>
      </c>
      <c r="F72" s="19"/>
      <c r="G72" s="1">
        <v>66</v>
      </c>
      <c r="I72" s="4"/>
    </row>
    <row r="73" spans="1:13">
      <c r="A73" s="1">
        <v>67</v>
      </c>
      <c r="B73" s="41">
        <v>0.20196759259259259</v>
      </c>
      <c r="C73" s="19">
        <f>B73*1440</f>
        <v>290.83333333333331</v>
      </c>
      <c r="D73" s="19">
        <f t="shared" si="3"/>
        <v>219.76050589765438</v>
      </c>
      <c r="E73" s="4">
        <f t="shared" si="4"/>
        <v>0.66891</v>
      </c>
      <c r="F73" s="19">
        <f>100*(D73/C73)</f>
        <v>75.562351598047357</v>
      </c>
      <c r="G73" s="1">
        <v>67</v>
      </c>
      <c r="H73" s="42">
        <v>0.20196759259259259</v>
      </c>
      <c r="I73" s="23" t="s">
        <v>95</v>
      </c>
      <c r="J73" s="23" t="s">
        <v>97</v>
      </c>
      <c r="K73" s="23" t="s">
        <v>100</v>
      </c>
      <c r="L73" s="23">
        <v>-111399</v>
      </c>
      <c r="M73" s="23"/>
    </row>
    <row r="74" spans="1:13">
      <c r="A74" s="1">
        <v>68</v>
      </c>
      <c r="B74" s="41"/>
      <c r="C74" s="19"/>
      <c r="D74" s="19">
        <f t="shared" ref="D74:D105" si="5">E$4/E74</f>
        <v>224.10586334115925</v>
      </c>
      <c r="E74" s="4">
        <f t="shared" si="4"/>
        <v>0.65593999999999997</v>
      </c>
      <c r="F74" s="19"/>
      <c r="G74" s="1">
        <v>68</v>
      </c>
      <c r="I74" s="4"/>
    </row>
    <row r="75" spans="1:13">
      <c r="A75" s="1">
        <v>69</v>
      </c>
      <c r="B75" s="41"/>
      <c r="C75" s="19"/>
      <c r="D75" s="19">
        <f t="shared" si="5"/>
        <v>228.70478413068847</v>
      </c>
      <c r="E75" s="4">
        <f t="shared" si="4"/>
        <v>0.64274999999999993</v>
      </c>
      <c r="F75" s="19"/>
      <c r="G75" s="1">
        <v>69</v>
      </c>
      <c r="I75" s="4"/>
    </row>
    <row r="76" spans="1:13">
      <c r="A76" s="1">
        <v>70</v>
      </c>
      <c r="B76" s="41">
        <v>0.21802083333333333</v>
      </c>
      <c r="C76" s="19">
        <f>B76*1440</f>
        <v>313.95</v>
      </c>
      <c r="D76" s="19">
        <f t="shared" si="5"/>
        <v>233.57803413099438</v>
      </c>
      <c r="E76" s="4">
        <f t="shared" si="4"/>
        <v>0.62934000000000001</v>
      </c>
      <c r="F76" s="19">
        <f>100*(D76/C76)</f>
        <v>74.39975605382844</v>
      </c>
      <c r="G76" s="1">
        <v>70</v>
      </c>
      <c r="H76" s="23" t="s">
        <v>93</v>
      </c>
      <c r="I76" s="4"/>
    </row>
    <row r="77" spans="1:13">
      <c r="A77" s="1">
        <v>71</v>
      </c>
      <c r="B77" s="41"/>
      <c r="C77" s="19"/>
      <c r="D77" s="19">
        <f t="shared" si="5"/>
        <v>238.74876159230809</v>
      </c>
      <c r="E77" s="4">
        <f t="shared" si="4"/>
        <v>0.61570999999999998</v>
      </c>
      <c r="F77" s="19"/>
      <c r="G77" s="1">
        <v>71</v>
      </c>
      <c r="I77" s="4"/>
    </row>
    <row r="78" spans="1:13">
      <c r="A78" s="1">
        <v>72</v>
      </c>
      <c r="B78" s="41"/>
      <c r="C78" s="19"/>
      <c r="D78" s="19">
        <f t="shared" si="5"/>
        <v>244.24284717376136</v>
      </c>
      <c r="E78" s="4">
        <f t="shared" si="4"/>
        <v>0.60185999999999995</v>
      </c>
      <c r="F78" s="19"/>
      <c r="G78" s="1">
        <v>72</v>
      </c>
      <c r="I78" s="4"/>
    </row>
    <row r="79" spans="1:13">
      <c r="A79" s="1">
        <v>73</v>
      </c>
      <c r="B79" s="41"/>
      <c r="C79" s="19"/>
      <c r="D79" s="19">
        <f t="shared" si="5"/>
        <v>250.08931761343339</v>
      </c>
      <c r="E79" s="4">
        <f t="shared" si="4"/>
        <v>0.58778999999999992</v>
      </c>
      <c r="F79" s="19"/>
      <c r="G79" s="1">
        <v>73</v>
      </c>
      <c r="I79" s="4"/>
    </row>
    <row r="80" spans="1:13">
      <c r="A80" s="1">
        <v>74</v>
      </c>
      <c r="B80" s="41"/>
      <c r="C80" s="19"/>
      <c r="D80" s="19">
        <f t="shared" si="5"/>
        <v>256.3208369659983</v>
      </c>
      <c r="E80" s="4">
        <f t="shared" si="4"/>
        <v>0.5734999999999999</v>
      </c>
      <c r="F80" s="19"/>
      <c r="G80" s="1">
        <v>74</v>
      </c>
      <c r="I80" s="4"/>
    </row>
    <row r="81" spans="1:9">
      <c r="A81" s="1">
        <v>75</v>
      </c>
      <c r="B81" s="41"/>
      <c r="C81" s="19"/>
      <c r="D81" s="19">
        <f t="shared" si="5"/>
        <v>262.97429292116135</v>
      </c>
      <c r="E81" s="4">
        <f t="shared" si="4"/>
        <v>0.5589900000000001</v>
      </c>
      <c r="F81" s="19"/>
      <c r="G81" s="1">
        <v>75</v>
      </c>
      <c r="I81" s="4"/>
    </row>
    <row r="82" spans="1:9">
      <c r="A82" s="1">
        <v>76</v>
      </c>
      <c r="B82" s="41"/>
      <c r="C82" s="19"/>
      <c r="D82" s="19">
        <f t="shared" si="5"/>
        <v>270.09150038584499</v>
      </c>
      <c r="E82" s="4">
        <f t="shared" si="4"/>
        <v>0.54425999999999997</v>
      </c>
      <c r="F82" s="19"/>
      <c r="G82" s="1">
        <v>76</v>
      </c>
      <c r="I82" s="4"/>
    </row>
    <row r="83" spans="1:9">
      <c r="A83" s="1">
        <v>77</v>
      </c>
      <c r="B83" s="41"/>
      <c r="C83" s="19"/>
      <c r="D83" s="19">
        <f t="shared" si="5"/>
        <v>277.72005063195485</v>
      </c>
      <c r="E83" s="4">
        <f t="shared" si="4"/>
        <v>0.52930999999999995</v>
      </c>
      <c r="F83" s="19"/>
      <c r="G83" s="1">
        <v>77</v>
      </c>
      <c r="I83" s="4"/>
    </row>
    <row r="84" spans="1:9">
      <c r="A84" s="1">
        <v>78</v>
      </c>
      <c r="B84" s="41"/>
      <c r="C84" s="19"/>
      <c r="D84" s="19">
        <f t="shared" si="5"/>
        <v>285.91434239701249</v>
      </c>
      <c r="E84" s="4">
        <f t="shared" si="4"/>
        <v>0.51414000000000004</v>
      </c>
      <c r="F84" s="19"/>
      <c r="G84" s="1">
        <v>78</v>
      </c>
      <c r="I84" s="4"/>
    </row>
    <row r="85" spans="1:9">
      <c r="A85" s="1">
        <v>79</v>
      </c>
      <c r="B85" s="41"/>
      <c r="C85" s="19"/>
      <c r="D85" s="19">
        <f t="shared" si="5"/>
        <v>294.73684210526312</v>
      </c>
      <c r="E85" s="4">
        <f t="shared" si="4"/>
        <v>0.49875000000000003</v>
      </c>
      <c r="F85" s="19"/>
      <c r="G85" s="1">
        <v>79</v>
      </c>
      <c r="I85" s="4"/>
    </row>
    <row r="86" spans="1:9">
      <c r="A86" s="1">
        <v>80</v>
      </c>
      <c r="B86" s="41"/>
      <c r="C86" s="19">
        <f>B86*1440</f>
        <v>0</v>
      </c>
      <c r="D86" s="19">
        <f t="shared" si="5"/>
        <v>304.25963488843814</v>
      </c>
      <c r="E86" s="4">
        <f t="shared" si="4"/>
        <v>0.48314000000000001</v>
      </c>
      <c r="F86" s="19" t="e">
        <f>100*(D86/C86)</f>
        <v>#DIV/0!</v>
      </c>
      <c r="G86" s="1">
        <v>80</v>
      </c>
      <c r="H86" s="23"/>
      <c r="I86" s="4"/>
    </row>
    <row r="87" spans="1:9">
      <c r="A87" s="1">
        <v>81</v>
      </c>
      <c r="B87" s="41"/>
      <c r="C87" s="19"/>
      <c r="D87" s="19">
        <f t="shared" si="5"/>
        <v>314.56634782050457</v>
      </c>
      <c r="E87" s="4">
        <f t="shared" si="4"/>
        <v>0.46731</v>
      </c>
      <c r="F87" s="19"/>
      <c r="G87" s="1">
        <v>81</v>
      </c>
      <c r="I87" s="4"/>
    </row>
    <row r="88" spans="1:9">
      <c r="A88" s="1">
        <v>82</v>
      </c>
      <c r="B88" s="41"/>
      <c r="C88" s="19"/>
      <c r="D88" s="19">
        <f t="shared" si="5"/>
        <v>325.75455391570273</v>
      </c>
      <c r="E88" s="4">
        <f t="shared" si="4"/>
        <v>0.45125999999999999</v>
      </c>
      <c r="F88" s="19"/>
      <c r="G88" s="1">
        <v>82</v>
      </c>
      <c r="I88" s="4"/>
    </row>
    <row r="89" spans="1:9">
      <c r="A89" s="1">
        <v>83</v>
      </c>
      <c r="B89" s="41"/>
      <c r="C89" s="19"/>
      <c r="D89" s="19">
        <f t="shared" si="5"/>
        <v>337.93880319087793</v>
      </c>
      <c r="E89" s="4">
        <f t="shared" si="4"/>
        <v>0.43498999999999999</v>
      </c>
      <c r="F89" s="19"/>
      <c r="G89" s="1">
        <v>83</v>
      </c>
      <c r="I89" s="4"/>
    </row>
    <row r="90" spans="1:9">
      <c r="A90" s="1">
        <v>84</v>
      </c>
      <c r="B90" s="41"/>
      <c r="C90" s="19"/>
      <c r="D90" s="19">
        <f t="shared" si="5"/>
        <v>351.25448028673839</v>
      </c>
      <c r="E90" s="4">
        <f t="shared" si="4"/>
        <v>0.41849999999999998</v>
      </c>
      <c r="F90" s="19"/>
      <c r="G90" s="1">
        <v>84</v>
      </c>
      <c r="I90" s="4"/>
    </row>
    <row r="91" spans="1:9">
      <c r="A91" s="1">
        <v>85</v>
      </c>
      <c r="B91" s="41"/>
      <c r="C91" s="19">
        <f>B91*1440</f>
        <v>0</v>
      </c>
      <c r="D91" s="19">
        <f t="shared" si="5"/>
        <v>365.86276413051598</v>
      </c>
      <c r="E91" s="4">
        <f t="shared" si="4"/>
        <v>0.40178999999999998</v>
      </c>
      <c r="F91" s="19" t="e">
        <f>100*(D91/C91)</f>
        <v>#DIV/0!</v>
      </c>
      <c r="G91" s="1">
        <v>85</v>
      </c>
      <c r="H91" s="23"/>
      <c r="I91" s="4"/>
    </row>
    <row r="92" spans="1:9">
      <c r="A92" s="1">
        <v>86</v>
      </c>
      <c r="B92" s="41"/>
      <c r="C92" s="19"/>
      <c r="D92" s="19">
        <f t="shared" si="5"/>
        <v>381.95707530010912</v>
      </c>
      <c r="E92" s="4">
        <f t="shared" si="4"/>
        <v>0.38485999999999998</v>
      </c>
      <c r="F92" s="19"/>
      <c r="G92" s="1">
        <v>86</v>
      </c>
      <c r="I92" s="4"/>
    </row>
    <row r="93" spans="1:9">
      <c r="A93" s="1">
        <v>87</v>
      </c>
      <c r="B93" s="41"/>
      <c r="C93" s="19"/>
      <c r="D93" s="19">
        <f t="shared" si="5"/>
        <v>399.77155910908056</v>
      </c>
      <c r="E93" s="4">
        <f t="shared" si="4"/>
        <v>0.36770999999999998</v>
      </c>
      <c r="F93" s="19"/>
      <c r="G93" s="1">
        <v>87</v>
      </c>
      <c r="I93" s="4"/>
    </row>
    <row r="94" spans="1:9">
      <c r="A94" s="1">
        <v>88</v>
      </c>
      <c r="B94" s="41"/>
      <c r="C94" s="19"/>
      <c r="D94" s="19">
        <f t="shared" si="5"/>
        <v>419.59239595821191</v>
      </c>
      <c r="E94" s="4">
        <f t="shared" si="4"/>
        <v>0.3503400000000001</v>
      </c>
      <c r="F94" s="19"/>
      <c r="G94" s="1">
        <v>88</v>
      </c>
      <c r="I94" s="4"/>
    </row>
    <row r="95" spans="1:9">
      <c r="A95" s="1">
        <v>89</v>
      </c>
      <c r="B95" s="41"/>
      <c r="C95" s="25"/>
      <c r="D95" s="19">
        <f t="shared" si="5"/>
        <v>441.77310293012772</v>
      </c>
      <c r="E95" s="4">
        <f t="shared" si="4"/>
        <v>0.33274999999999999</v>
      </c>
      <c r="F95" s="19"/>
      <c r="G95" s="1">
        <v>89</v>
      </c>
      <c r="I95" s="4"/>
    </row>
    <row r="96" spans="1:9">
      <c r="A96" s="1">
        <v>90</v>
      </c>
      <c r="B96" s="41"/>
      <c r="C96" s="25"/>
      <c r="D96" s="19">
        <f t="shared" si="5"/>
        <v>466.75557248999809</v>
      </c>
      <c r="E96" s="4">
        <f t="shared" si="4"/>
        <v>0.31494</v>
      </c>
      <c r="F96" s="19"/>
      <c r="G96" s="1">
        <v>90</v>
      </c>
      <c r="I96" s="4"/>
    </row>
    <row r="97" spans="1:9">
      <c r="A97" s="1">
        <v>91</v>
      </c>
      <c r="B97" s="40"/>
      <c r="C97" s="25"/>
      <c r="D97" s="19">
        <f t="shared" si="5"/>
        <v>495.09952510861876</v>
      </c>
      <c r="E97" s="4">
        <f t="shared" si="4"/>
        <v>0.29691000000000001</v>
      </c>
      <c r="F97" s="19"/>
      <c r="G97" s="1">
        <v>91</v>
      </c>
      <c r="I97" s="4"/>
    </row>
    <row r="98" spans="1:9">
      <c r="A98" s="1">
        <v>92</v>
      </c>
      <c r="B98" s="40"/>
      <c r="C98" s="25"/>
      <c r="D98" s="19">
        <f t="shared" si="5"/>
        <v>527.52458192779727</v>
      </c>
      <c r="E98" s="4">
        <f t="shared" ref="E98:E106" si="6">1-IF(A98&lt;I$3,0,IF(A98&lt;I$4,G$3*(A98-I$3)^2,G$2+G$4*(A98-I$4)+(A98&gt;I$5)*G$5*(A98-I$5)^2))</f>
        <v>0.27866000000000002</v>
      </c>
      <c r="F98" s="19"/>
      <c r="G98" s="1">
        <v>92</v>
      </c>
      <c r="I98" s="4"/>
    </row>
    <row r="99" spans="1:9">
      <c r="A99" s="1">
        <v>93</v>
      </c>
      <c r="B99" s="40"/>
      <c r="C99" s="25"/>
      <c r="D99" s="19">
        <f t="shared" si="5"/>
        <v>564.97175141242951</v>
      </c>
      <c r="E99" s="4">
        <f t="shared" si="6"/>
        <v>0.26018999999999992</v>
      </c>
      <c r="F99" s="19"/>
      <c r="G99" s="1">
        <v>93</v>
      </c>
      <c r="I99" s="4"/>
    </row>
    <row r="100" spans="1:9">
      <c r="A100" s="1">
        <v>94</v>
      </c>
      <c r="B100" s="40"/>
      <c r="C100" s="25"/>
      <c r="D100" s="19">
        <f t="shared" si="5"/>
        <v>608.69565217391323</v>
      </c>
      <c r="E100" s="4">
        <f t="shared" si="6"/>
        <v>0.24149999999999994</v>
      </c>
      <c r="F100" s="19"/>
      <c r="G100" s="1">
        <v>94</v>
      </c>
      <c r="I100" s="4"/>
    </row>
    <row r="101" spans="1:9">
      <c r="A101" s="1">
        <v>95</v>
      </c>
      <c r="B101" s="40"/>
      <c r="C101" s="25"/>
      <c r="D101" s="19">
        <f t="shared" si="5"/>
        <v>660.40702637135553</v>
      </c>
      <c r="E101" s="4">
        <f t="shared" si="6"/>
        <v>0.22258999999999995</v>
      </c>
      <c r="F101" s="19"/>
      <c r="G101" s="1">
        <v>95</v>
      </c>
      <c r="I101" s="4"/>
    </row>
    <row r="102" spans="1:9">
      <c r="A102" s="1">
        <v>96</v>
      </c>
      <c r="B102" s="40"/>
      <c r="C102" s="25"/>
      <c r="D102" s="19">
        <f t="shared" si="5"/>
        <v>722.50073724565038</v>
      </c>
      <c r="E102" s="4">
        <f t="shared" si="6"/>
        <v>0.20345999999999997</v>
      </c>
      <c r="F102" s="19"/>
      <c r="G102" s="1">
        <v>96</v>
      </c>
      <c r="I102" s="4"/>
    </row>
    <row r="103" spans="1:9">
      <c r="A103" s="1">
        <v>97</v>
      </c>
      <c r="B103" s="40"/>
      <c r="C103" s="25"/>
      <c r="D103" s="19">
        <f t="shared" si="5"/>
        <v>798.43571777741568</v>
      </c>
      <c r="E103" s="4">
        <f t="shared" si="6"/>
        <v>0.18411</v>
      </c>
      <c r="G103" s="1">
        <v>97</v>
      </c>
      <c r="I103" s="4"/>
    </row>
    <row r="104" spans="1:9">
      <c r="A104" s="1">
        <v>98</v>
      </c>
      <c r="B104" s="40"/>
      <c r="C104" s="25"/>
      <c r="D104" s="19">
        <f t="shared" si="5"/>
        <v>893.39978120821729</v>
      </c>
      <c r="E104" s="4">
        <f t="shared" si="6"/>
        <v>0.16453999999999991</v>
      </c>
      <c r="G104" s="1">
        <v>98</v>
      </c>
      <c r="I104" s="4"/>
    </row>
    <row r="105" spans="1:9">
      <c r="A105" s="1">
        <v>99</v>
      </c>
      <c r="C105" s="25"/>
      <c r="D105" s="19">
        <f t="shared" si="5"/>
        <v>1015.5440414507776</v>
      </c>
      <c r="E105" s="4">
        <f t="shared" si="6"/>
        <v>0.14474999999999993</v>
      </c>
      <c r="G105" s="1">
        <v>99</v>
      </c>
      <c r="I105" s="4"/>
    </row>
    <row r="106" spans="1:9">
      <c r="A106" s="1">
        <v>100</v>
      </c>
      <c r="D106" s="19">
        <f>E$4/E106</f>
        <v>1178.4511784511787</v>
      </c>
      <c r="E106" s="4">
        <f t="shared" si="6"/>
        <v>0.12473999999999996</v>
      </c>
      <c r="I106" s="4"/>
    </row>
  </sheetData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06"/>
  <sheetViews>
    <sheetView zoomScale="87" zoomScaleNormal="87" workbookViewId="0">
      <selection activeCell="A2" sqref="A2"/>
    </sheetView>
  </sheetViews>
  <sheetFormatPr defaultColWidth="9.6640625" defaultRowHeight="15"/>
  <cols>
    <col min="1" max="5" width="9.6640625" style="129" customWidth="1"/>
    <col min="6" max="6" width="13" style="129" customWidth="1"/>
    <col min="7" max="7" width="10.6640625" style="129" customWidth="1"/>
    <col min="8" max="16384" width="9.6640625" style="129"/>
  </cols>
  <sheetData>
    <row r="1" spans="1:9" ht="47.25">
      <c r="A1" s="30" t="s">
        <v>1949</v>
      </c>
      <c r="B1" s="126"/>
      <c r="C1" s="127"/>
      <c r="D1" s="128" t="s">
        <v>32</v>
      </c>
      <c r="E1" s="128" t="s">
        <v>71</v>
      </c>
      <c r="F1" s="128" t="s">
        <v>72</v>
      </c>
      <c r="G1" s="128" t="s">
        <v>73</v>
      </c>
      <c r="H1" s="128" t="s">
        <v>74</v>
      </c>
      <c r="I1" s="128" t="s">
        <v>75</v>
      </c>
    </row>
    <row r="2" spans="1:9" ht="22.5">
      <c r="A2" s="125"/>
      <c r="B2" s="126"/>
      <c r="C2" s="127"/>
      <c r="D2" s="128"/>
      <c r="E2" s="128"/>
      <c r="F2" s="130">
        <f>(+H$3-H$4)*F$4/2</f>
        <v>2.1000000000000001E-2</v>
      </c>
      <c r="G2" s="130">
        <f>(+I$4-I$3)*G$4/2</f>
        <v>9.7500000000000003E-2</v>
      </c>
      <c r="H2" s="128"/>
      <c r="I2" s="128"/>
    </row>
    <row r="3" spans="1:9" ht="22.5">
      <c r="A3" s="125"/>
      <c r="B3" s="126"/>
      <c r="C3" s="127"/>
      <c r="D3" s="128"/>
      <c r="E3" s="128"/>
      <c r="F3" s="130">
        <f>F4/(2*(+H3-H4))</f>
        <v>1.7142857142857144E-3</v>
      </c>
      <c r="G3" s="130">
        <f>G4/(2*(+I4-I3))</f>
        <v>2.5641025641025641E-4</v>
      </c>
      <c r="H3" s="126">
        <v>20.5</v>
      </c>
      <c r="I3" s="126">
        <v>26</v>
      </c>
    </row>
    <row r="4" spans="1:9" ht="15.75">
      <c r="A4" s="126"/>
      <c r="B4" s="126"/>
      <c r="C4" s="126"/>
      <c r="D4" s="131">
        <f>Parameters!G29</f>
        <v>0.24722222222222223</v>
      </c>
      <c r="E4" s="132">
        <f>D4*1440</f>
        <v>356</v>
      </c>
      <c r="F4" s="130">
        <v>1.2E-2</v>
      </c>
      <c r="G4" s="130">
        <v>0.01</v>
      </c>
      <c r="H4" s="126">
        <v>17</v>
      </c>
      <c r="I4" s="126">
        <v>45.5</v>
      </c>
    </row>
    <row r="5" spans="1:9" ht="15.75">
      <c r="A5" s="126"/>
      <c r="B5" s="126"/>
      <c r="C5" s="126"/>
      <c r="D5" s="131"/>
      <c r="E5" s="126">
        <f>E4*60</f>
        <v>21360</v>
      </c>
      <c r="F5" s="130">
        <v>1.1000000000000001E-3</v>
      </c>
      <c r="G5" s="130">
        <v>1.1E-4</v>
      </c>
      <c r="H5" s="126">
        <v>15</v>
      </c>
      <c r="I5" s="126">
        <v>54</v>
      </c>
    </row>
    <row r="6" spans="1:9" ht="47.25">
      <c r="A6" s="440" t="s">
        <v>69</v>
      </c>
      <c r="B6" s="440" t="s">
        <v>84</v>
      </c>
      <c r="C6" s="440" t="s">
        <v>85</v>
      </c>
      <c r="D6" s="320" t="s">
        <v>139</v>
      </c>
      <c r="E6" s="320" t="s">
        <v>143</v>
      </c>
      <c r="F6" s="436" t="s">
        <v>142</v>
      </c>
      <c r="G6" s="440" t="s">
        <v>69</v>
      </c>
      <c r="I6" s="133"/>
    </row>
    <row r="7" spans="1:9">
      <c r="A7" s="129">
        <v>1</v>
      </c>
      <c r="B7" s="134"/>
      <c r="G7" s="129">
        <v>1</v>
      </c>
    </row>
    <row r="8" spans="1:9">
      <c r="A8" s="129">
        <v>2</v>
      </c>
      <c r="B8" s="134"/>
      <c r="G8" s="129">
        <v>2</v>
      </c>
    </row>
    <row r="9" spans="1:9">
      <c r="A9" s="129">
        <v>3</v>
      </c>
      <c r="B9" s="134"/>
      <c r="C9" s="135"/>
      <c r="D9" s="135"/>
      <c r="E9" s="136">
        <f t="shared" ref="E9:E33" si="0">1-IF(A9&gt;=H$3,0,IF(A9&gt;=H$4,F$3*(A9-H$3)^2,F$2+F$4*(H$4-A9)+(A9&lt;H$5)*F$5*(H$5-A9)^2))</f>
        <v>0.65259999999999996</v>
      </c>
      <c r="G9" s="129">
        <v>3</v>
      </c>
    </row>
    <row r="10" spans="1:9">
      <c r="A10" s="129">
        <v>4</v>
      </c>
      <c r="B10" s="137"/>
      <c r="C10" s="135"/>
      <c r="D10" s="138">
        <f t="shared" ref="D10:D41" si="1">E$4/E10</f>
        <v>516.01681403101907</v>
      </c>
      <c r="E10" s="136">
        <f t="shared" si="0"/>
        <v>0.68989999999999996</v>
      </c>
      <c r="F10" s="138"/>
      <c r="G10" s="129">
        <v>4</v>
      </c>
    </row>
    <row r="11" spans="1:9">
      <c r="A11" s="129">
        <v>5</v>
      </c>
      <c r="B11" s="137"/>
      <c r="C11" s="135"/>
      <c r="D11" s="138">
        <f t="shared" si="1"/>
        <v>491.0344827586207</v>
      </c>
      <c r="E11" s="136">
        <f t="shared" si="0"/>
        <v>0.72499999999999998</v>
      </c>
      <c r="F11" s="138"/>
      <c r="G11" s="129">
        <v>5</v>
      </c>
      <c r="I11" s="136"/>
    </row>
    <row r="12" spans="1:9">
      <c r="A12" s="129">
        <v>6</v>
      </c>
      <c r="B12" s="137"/>
      <c r="C12" s="135"/>
      <c r="D12" s="138">
        <f t="shared" si="1"/>
        <v>469.71896028499799</v>
      </c>
      <c r="E12" s="136">
        <f t="shared" si="0"/>
        <v>0.75790000000000002</v>
      </c>
      <c r="F12" s="138"/>
      <c r="G12" s="129">
        <v>6</v>
      </c>
      <c r="I12" s="136"/>
    </row>
    <row r="13" spans="1:9">
      <c r="A13" s="129">
        <v>7</v>
      </c>
      <c r="B13" s="137"/>
      <c r="C13" s="135"/>
      <c r="D13" s="138">
        <f t="shared" si="1"/>
        <v>451.43291909713417</v>
      </c>
      <c r="E13" s="136">
        <f t="shared" si="0"/>
        <v>0.78859999999999997</v>
      </c>
      <c r="F13" s="138"/>
      <c r="G13" s="129">
        <v>7</v>
      </c>
      <c r="I13" s="136"/>
    </row>
    <row r="14" spans="1:9">
      <c r="A14" s="129">
        <v>8</v>
      </c>
      <c r="B14" s="137"/>
      <c r="C14" s="135"/>
      <c r="D14" s="138">
        <f t="shared" si="1"/>
        <v>435.68718639089468</v>
      </c>
      <c r="E14" s="136">
        <f t="shared" si="0"/>
        <v>0.81709999999999994</v>
      </c>
      <c r="F14" s="138"/>
      <c r="G14" s="129">
        <v>8</v>
      </c>
      <c r="I14" s="136"/>
    </row>
    <row r="15" spans="1:9">
      <c r="A15" s="129">
        <v>9</v>
      </c>
      <c r="B15" s="137"/>
      <c r="C15" s="135"/>
      <c r="D15" s="138">
        <f t="shared" si="1"/>
        <v>422.10101968223859</v>
      </c>
      <c r="E15" s="136">
        <f t="shared" si="0"/>
        <v>0.84339999999999993</v>
      </c>
      <c r="F15" s="138"/>
      <c r="G15" s="129">
        <v>9</v>
      </c>
      <c r="I15" s="136"/>
    </row>
    <row r="16" spans="1:9">
      <c r="A16" s="129">
        <v>10</v>
      </c>
      <c r="B16" s="137"/>
      <c r="C16" s="135"/>
      <c r="D16" s="138">
        <f t="shared" si="1"/>
        <v>410.37463976945247</v>
      </c>
      <c r="E16" s="136">
        <f t="shared" si="0"/>
        <v>0.86749999999999994</v>
      </c>
      <c r="F16" s="138"/>
      <c r="G16" s="129">
        <v>10</v>
      </c>
      <c r="I16" s="136"/>
    </row>
    <row r="17" spans="1:9">
      <c r="A17" s="129">
        <v>11</v>
      </c>
      <c r="B17" s="137"/>
      <c r="C17" s="135"/>
      <c r="D17" s="138">
        <f t="shared" si="1"/>
        <v>400.26984483921746</v>
      </c>
      <c r="E17" s="136">
        <f t="shared" si="0"/>
        <v>0.88939999999999997</v>
      </c>
      <c r="F17" s="138"/>
      <c r="G17" s="129">
        <v>11</v>
      </c>
      <c r="I17" s="136"/>
    </row>
    <row r="18" spans="1:9">
      <c r="A18" s="129">
        <v>12</v>
      </c>
      <c r="B18" s="137"/>
      <c r="C18" s="135"/>
      <c r="D18" s="138">
        <f t="shared" si="1"/>
        <v>391.59608403915962</v>
      </c>
      <c r="E18" s="136">
        <f t="shared" si="0"/>
        <v>0.90910000000000002</v>
      </c>
      <c r="F18" s="138"/>
      <c r="G18" s="129">
        <v>12</v>
      </c>
      <c r="I18" s="136"/>
    </row>
    <row r="19" spans="1:9">
      <c r="A19" s="129">
        <v>13</v>
      </c>
      <c r="B19" s="137"/>
      <c r="C19" s="135"/>
      <c r="D19" s="138">
        <f t="shared" si="1"/>
        <v>384.20030218001295</v>
      </c>
      <c r="E19" s="136">
        <f t="shared" si="0"/>
        <v>0.92659999999999998</v>
      </c>
      <c r="F19" s="138"/>
      <c r="G19" s="129">
        <v>13</v>
      </c>
      <c r="I19" s="136"/>
    </row>
    <row r="20" spans="1:9">
      <c r="A20" s="129">
        <v>14</v>
      </c>
      <c r="B20" s="137"/>
      <c r="C20" s="135"/>
      <c r="D20" s="138">
        <f t="shared" si="1"/>
        <v>377.95944367767282</v>
      </c>
      <c r="E20" s="136">
        <f t="shared" si="0"/>
        <v>0.94189999999999996</v>
      </c>
      <c r="F20" s="138"/>
      <c r="G20" s="129">
        <v>14</v>
      </c>
      <c r="I20" s="136"/>
    </row>
    <row r="21" spans="1:9">
      <c r="A21" s="129">
        <v>15</v>
      </c>
      <c r="B21" s="137"/>
      <c r="C21" s="135"/>
      <c r="D21" s="138">
        <f t="shared" si="1"/>
        <v>372.77486910994764</v>
      </c>
      <c r="E21" s="136">
        <f t="shared" si="0"/>
        <v>0.95499999999999996</v>
      </c>
      <c r="F21" s="138"/>
      <c r="G21" s="129">
        <v>15</v>
      </c>
      <c r="I21" s="136"/>
    </row>
    <row r="22" spans="1:9">
      <c r="A22" s="129">
        <v>16</v>
      </c>
      <c r="B22" s="137"/>
      <c r="C22" s="135"/>
      <c r="D22" s="138">
        <f t="shared" si="1"/>
        <v>368.14891416752846</v>
      </c>
      <c r="E22" s="136">
        <f t="shared" si="0"/>
        <v>0.96699999999999997</v>
      </c>
      <c r="F22" s="138"/>
      <c r="G22" s="129">
        <v>16</v>
      </c>
      <c r="I22" s="136"/>
    </row>
    <row r="23" spans="1:9">
      <c r="A23" s="129">
        <v>17</v>
      </c>
      <c r="B23" s="137"/>
      <c r="C23" s="135"/>
      <c r="D23" s="138">
        <f t="shared" si="1"/>
        <v>363.63636363636363</v>
      </c>
      <c r="E23" s="136">
        <f t="shared" si="0"/>
        <v>0.97899999999999998</v>
      </c>
      <c r="F23" s="138"/>
      <c r="G23" s="129">
        <v>17</v>
      </c>
      <c r="I23" s="136"/>
    </row>
    <row r="24" spans="1:9">
      <c r="A24" s="129">
        <v>18</v>
      </c>
      <c r="B24" s="137"/>
      <c r="C24" s="135"/>
      <c r="D24" s="138">
        <f t="shared" si="1"/>
        <v>359.85559566787003</v>
      </c>
      <c r="E24" s="136">
        <f t="shared" si="0"/>
        <v>0.98928571428571432</v>
      </c>
      <c r="F24" s="138"/>
      <c r="G24" s="129">
        <v>18</v>
      </c>
      <c r="I24" s="136"/>
    </row>
    <row r="25" spans="1:9">
      <c r="A25" s="129">
        <v>19</v>
      </c>
      <c r="B25" s="137"/>
      <c r="C25" s="135"/>
      <c r="D25" s="138">
        <f t="shared" si="1"/>
        <v>357.37845977341175</v>
      </c>
      <c r="E25" s="136">
        <f t="shared" si="0"/>
        <v>0.99614285714285711</v>
      </c>
      <c r="F25" s="138"/>
      <c r="G25" s="129">
        <v>19</v>
      </c>
      <c r="I25" s="136"/>
    </row>
    <row r="26" spans="1:9">
      <c r="A26" s="129">
        <v>20</v>
      </c>
      <c r="B26" s="137"/>
      <c r="C26" s="135"/>
      <c r="D26" s="138">
        <f t="shared" si="1"/>
        <v>356.15263684436189</v>
      </c>
      <c r="E26" s="136">
        <f t="shared" si="0"/>
        <v>0.99957142857142856</v>
      </c>
      <c r="F26" s="138"/>
      <c r="G26" s="129">
        <v>20</v>
      </c>
      <c r="I26" s="136"/>
    </row>
    <row r="27" spans="1:9">
      <c r="A27" s="129">
        <v>21</v>
      </c>
      <c r="B27" s="137"/>
      <c r="C27" s="135"/>
      <c r="D27" s="138">
        <f t="shared" si="1"/>
        <v>356</v>
      </c>
      <c r="E27" s="136">
        <f t="shared" si="0"/>
        <v>1</v>
      </c>
      <c r="F27" s="138"/>
      <c r="G27" s="129">
        <v>21</v>
      </c>
      <c r="I27" s="136"/>
    </row>
    <row r="28" spans="1:9">
      <c r="A28" s="129">
        <v>22</v>
      </c>
      <c r="B28" s="137"/>
      <c r="C28" s="135"/>
      <c r="D28" s="138">
        <f t="shared" si="1"/>
        <v>356</v>
      </c>
      <c r="E28" s="136">
        <f t="shared" si="0"/>
        <v>1</v>
      </c>
      <c r="F28" s="138"/>
      <c r="G28" s="129">
        <v>22</v>
      </c>
      <c r="I28" s="136"/>
    </row>
    <row r="29" spans="1:9">
      <c r="A29" s="129">
        <v>23</v>
      </c>
      <c r="B29" s="137"/>
      <c r="C29" s="135"/>
      <c r="D29" s="138">
        <f t="shared" si="1"/>
        <v>356</v>
      </c>
      <c r="E29" s="136">
        <f t="shared" si="0"/>
        <v>1</v>
      </c>
      <c r="F29" s="138"/>
      <c r="G29" s="129">
        <v>23</v>
      </c>
      <c r="I29" s="136"/>
    </row>
    <row r="30" spans="1:9">
      <c r="A30" s="129">
        <v>24</v>
      </c>
      <c r="B30" s="137"/>
      <c r="C30" s="135"/>
      <c r="D30" s="138">
        <f t="shared" si="1"/>
        <v>356</v>
      </c>
      <c r="E30" s="136">
        <f t="shared" si="0"/>
        <v>1</v>
      </c>
      <c r="F30" s="138"/>
      <c r="G30" s="129">
        <v>24</v>
      </c>
      <c r="I30" s="136"/>
    </row>
    <row r="31" spans="1:9">
      <c r="A31" s="129">
        <v>25</v>
      </c>
      <c r="B31" s="137"/>
      <c r="C31" s="135"/>
      <c r="D31" s="138">
        <f t="shared" si="1"/>
        <v>356</v>
      </c>
      <c r="E31" s="136">
        <f t="shared" si="0"/>
        <v>1</v>
      </c>
      <c r="F31" s="138"/>
      <c r="G31" s="129">
        <v>25</v>
      </c>
      <c r="I31" s="136"/>
    </row>
    <row r="32" spans="1:9">
      <c r="A32" s="129">
        <v>26</v>
      </c>
      <c r="B32" s="137"/>
      <c r="C32" s="135"/>
      <c r="D32" s="138">
        <f t="shared" si="1"/>
        <v>356</v>
      </c>
      <c r="E32" s="136">
        <f t="shared" si="0"/>
        <v>1</v>
      </c>
      <c r="F32" s="138"/>
      <c r="G32" s="129">
        <v>26</v>
      </c>
      <c r="I32" s="136"/>
    </row>
    <row r="33" spans="1:13">
      <c r="A33" s="129">
        <v>27</v>
      </c>
      <c r="B33" s="137">
        <v>0.27304398148148146</v>
      </c>
      <c r="C33" s="138">
        <f>B33*1440</f>
        <v>393.18333333333328</v>
      </c>
      <c r="D33" s="138">
        <f t="shared" si="1"/>
        <v>356</v>
      </c>
      <c r="E33" s="136">
        <f t="shared" si="0"/>
        <v>1</v>
      </c>
      <c r="F33" s="138">
        <f>100*(D33/C33)</f>
        <v>90.543003687847062</v>
      </c>
      <c r="G33" s="129">
        <v>27</v>
      </c>
      <c r="I33" s="136"/>
    </row>
    <row r="34" spans="1:13">
      <c r="A34" s="129">
        <v>28</v>
      </c>
      <c r="B34" s="137"/>
      <c r="C34" s="138"/>
      <c r="D34" s="138">
        <f t="shared" si="1"/>
        <v>356.36550308008214</v>
      </c>
      <c r="E34" s="136">
        <f t="shared" ref="E34:E65" si="2">1-IF(A34&lt;I$3,0,IF(A34&lt;I$4,G$3*(A34-I$3)^2,G$2+G$4*(A34-I$4)+(A34&gt;I$5)*G$5*(A34-I$5)^2))</f>
        <v>0.99897435897435893</v>
      </c>
      <c r="F34" s="138"/>
      <c r="G34" s="129">
        <v>28</v>
      </c>
      <c r="I34" s="136"/>
    </row>
    <row r="35" spans="1:13">
      <c r="A35" s="129">
        <v>29</v>
      </c>
      <c r="B35" s="137"/>
      <c r="C35" s="138"/>
      <c r="D35" s="138">
        <f t="shared" si="1"/>
        <v>356.82343870470316</v>
      </c>
      <c r="E35" s="136">
        <f t="shared" si="2"/>
        <v>0.99769230769230766</v>
      </c>
      <c r="F35" s="138"/>
      <c r="G35" s="129">
        <v>29</v>
      </c>
      <c r="I35" s="136"/>
    </row>
    <row r="36" spans="1:13">
      <c r="A36" s="129">
        <v>30</v>
      </c>
      <c r="B36" s="137"/>
      <c r="C36" s="138"/>
      <c r="D36" s="138">
        <f t="shared" si="1"/>
        <v>357.46652935118436</v>
      </c>
      <c r="E36" s="136">
        <f t="shared" si="2"/>
        <v>0.99589743589743585</v>
      </c>
      <c r="F36" s="138"/>
      <c r="G36" s="129">
        <v>30</v>
      </c>
      <c r="I36" s="136"/>
    </row>
    <row r="37" spans="1:13">
      <c r="A37" s="129">
        <v>31</v>
      </c>
      <c r="B37" s="137"/>
      <c r="C37" s="138"/>
      <c r="D37" s="138">
        <f t="shared" si="1"/>
        <v>358.2967741935484</v>
      </c>
      <c r="E37" s="136">
        <f t="shared" si="2"/>
        <v>0.99358974358974361</v>
      </c>
      <c r="F37" s="138"/>
      <c r="G37" s="129">
        <v>31</v>
      </c>
      <c r="I37" s="136"/>
    </row>
    <row r="38" spans="1:13">
      <c r="A38" s="129">
        <v>32</v>
      </c>
      <c r="B38" s="137"/>
      <c r="C38" s="138"/>
      <c r="D38" s="138">
        <f t="shared" si="1"/>
        <v>359.31677018633542</v>
      </c>
      <c r="E38" s="136">
        <f t="shared" si="2"/>
        <v>0.99076923076923074</v>
      </c>
      <c r="F38" s="138"/>
      <c r="G38" s="129">
        <v>32</v>
      </c>
      <c r="I38" s="136"/>
    </row>
    <row r="39" spans="1:13">
      <c r="A39" s="129">
        <v>33</v>
      </c>
      <c r="B39" s="137"/>
      <c r="C39" s="138"/>
      <c r="D39" s="138">
        <f t="shared" si="1"/>
        <v>360.52973253700338</v>
      </c>
      <c r="E39" s="136">
        <f t="shared" si="2"/>
        <v>0.98743589743589744</v>
      </c>
      <c r="F39" s="138"/>
      <c r="G39" s="129">
        <v>33</v>
      </c>
      <c r="I39" s="136"/>
    </row>
    <row r="40" spans="1:13">
      <c r="A40" s="129">
        <v>34</v>
      </c>
      <c r="B40" s="137"/>
      <c r="C40" s="138"/>
      <c r="D40" s="138">
        <f t="shared" si="1"/>
        <v>361.93952033368089</v>
      </c>
      <c r="E40" s="136">
        <f t="shared" si="2"/>
        <v>0.9835897435897436</v>
      </c>
      <c r="F40" s="138"/>
      <c r="G40" s="129">
        <v>34</v>
      </c>
      <c r="I40" s="136"/>
    </row>
    <row r="41" spans="1:13">
      <c r="A41" s="129">
        <v>35</v>
      </c>
      <c r="B41" s="137">
        <v>0.29221064814814812</v>
      </c>
      <c r="C41" s="138">
        <f>B41*1440</f>
        <v>420.7833333333333</v>
      </c>
      <c r="D41" s="138">
        <f t="shared" si="1"/>
        <v>363.55066771406126</v>
      </c>
      <c r="E41" s="136">
        <f t="shared" si="2"/>
        <v>0.97923076923076924</v>
      </c>
      <c r="F41" s="138">
        <f>100*(D41/C41)</f>
        <v>86.398542649992777</v>
      </c>
      <c r="G41" s="129">
        <v>35</v>
      </c>
      <c r="H41" s="139" t="s">
        <v>103</v>
      </c>
      <c r="I41" s="136"/>
    </row>
    <row r="42" spans="1:13">
      <c r="A42" s="129">
        <v>36</v>
      </c>
      <c r="B42" s="137"/>
      <c r="C42" s="138"/>
      <c r="D42" s="138">
        <f t="shared" ref="D42:D73" si="3">E$4/E42</f>
        <v>365.36842105263156</v>
      </c>
      <c r="E42" s="136">
        <f t="shared" si="2"/>
        <v>0.97435897435897434</v>
      </c>
      <c r="F42" s="138"/>
      <c r="G42" s="129">
        <v>36</v>
      </c>
      <c r="I42" s="136"/>
    </row>
    <row r="43" spans="1:13">
      <c r="A43" s="129">
        <v>37</v>
      </c>
      <c r="B43" s="137"/>
      <c r="C43" s="138"/>
      <c r="D43" s="138">
        <f t="shared" si="3"/>
        <v>367.3987827467584</v>
      </c>
      <c r="E43" s="136">
        <f t="shared" si="2"/>
        <v>0.96897435897435902</v>
      </c>
      <c r="F43" s="138"/>
      <c r="G43" s="129">
        <v>37</v>
      </c>
      <c r="I43" s="136"/>
    </row>
    <row r="44" spans="1:13">
      <c r="A44" s="129">
        <v>38</v>
      </c>
      <c r="B44" s="137"/>
      <c r="C44" s="138"/>
      <c r="D44" s="138">
        <f t="shared" si="3"/>
        <v>369.6485623003195</v>
      </c>
      <c r="E44" s="136">
        <f t="shared" si="2"/>
        <v>0.96307692307692305</v>
      </c>
      <c r="F44" s="138"/>
      <c r="G44" s="129">
        <v>38</v>
      </c>
      <c r="I44" s="136"/>
    </row>
    <row r="45" spans="1:13">
      <c r="A45" s="129">
        <v>39</v>
      </c>
      <c r="B45" s="137"/>
      <c r="C45" s="138"/>
      <c r="D45" s="138">
        <f t="shared" si="3"/>
        <v>372.1254355400697</v>
      </c>
      <c r="E45" s="136">
        <f t="shared" si="2"/>
        <v>0.95666666666666667</v>
      </c>
      <c r="F45" s="138"/>
      <c r="G45" s="129">
        <v>39</v>
      </c>
      <c r="I45" s="136"/>
    </row>
    <row r="46" spans="1:13">
      <c r="A46" s="129">
        <v>40</v>
      </c>
      <c r="B46" s="137">
        <v>0.30581018518518521</v>
      </c>
      <c r="C46" s="138">
        <f>B46*1440</f>
        <v>440.36666666666673</v>
      </c>
      <c r="D46" s="138">
        <f t="shared" si="3"/>
        <v>374.8380129589633</v>
      </c>
      <c r="E46" s="136">
        <f t="shared" si="2"/>
        <v>0.94974358974358974</v>
      </c>
      <c r="F46" s="138">
        <f>100*(D46/C46)</f>
        <v>85.119524553545517</v>
      </c>
      <c r="G46" s="129">
        <v>40</v>
      </c>
      <c r="H46" s="139" t="s">
        <v>104</v>
      </c>
      <c r="I46" s="136"/>
      <c r="M46" s="139"/>
    </row>
    <row r="47" spans="1:13">
      <c r="A47" s="129">
        <v>41</v>
      </c>
      <c r="B47" s="137"/>
      <c r="C47" s="138"/>
      <c r="D47" s="138">
        <f t="shared" si="3"/>
        <v>377.79591836734693</v>
      </c>
      <c r="E47" s="136">
        <f t="shared" si="2"/>
        <v>0.94230769230769229</v>
      </c>
      <c r="F47" s="138"/>
      <c r="G47" s="129">
        <v>41</v>
      </c>
      <c r="H47" s="139"/>
      <c r="I47" s="136"/>
      <c r="M47" s="139"/>
    </row>
    <row r="48" spans="1:13">
      <c r="A48" s="129">
        <v>42</v>
      </c>
      <c r="B48" s="137"/>
      <c r="C48" s="138"/>
      <c r="D48" s="138">
        <f t="shared" si="3"/>
        <v>381.00987925356748</v>
      </c>
      <c r="E48" s="136">
        <f t="shared" si="2"/>
        <v>0.93435897435897441</v>
      </c>
      <c r="F48" s="138"/>
      <c r="G48" s="129">
        <v>42</v>
      </c>
      <c r="H48" s="139"/>
      <c r="I48" s="136"/>
      <c r="M48" s="139"/>
    </row>
    <row r="49" spans="1:13">
      <c r="A49" s="129">
        <v>43</v>
      </c>
      <c r="B49" s="137"/>
      <c r="C49" s="138"/>
      <c r="D49" s="138">
        <f t="shared" si="3"/>
        <v>384.49183051786207</v>
      </c>
      <c r="E49" s="136">
        <f t="shared" si="2"/>
        <v>0.92589743589743589</v>
      </c>
      <c r="F49" s="138"/>
      <c r="G49" s="129">
        <v>43</v>
      </c>
      <c r="H49" s="139"/>
      <c r="I49" s="136"/>
      <c r="M49" s="139"/>
    </row>
    <row r="50" spans="1:13">
      <c r="A50" s="129">
        <v>44</v>
      </c>
      <c r="B50" s="137"/>
      <c r="C50" s="138"/>
      <c r="D50" s="138">
        <f t="shared" si="3"/>
        <v>388.25503355704694</v>
      </c>
      <c r="E50" s="136">
        <f t="shared" si="2"/>
        <v>0.91692307692307695</v>
      </c>
      <c r="F50" s="138"/>
      <c r="G50" s="129">
        <v>44</v>
      </c>
      <c r="H50" s="139"/>
      <c r="I50" s="136"/>
      <c r="M50" s="139"/>
    </row>
    <row r="51" spans="1:13">
      <c r="A51" s="129">
        <v>45</v>
      </c>
      <c r="B51" s="137">
        <v>0.3240972222222222</v>
      </c>
      <c r="C51" s="138">
        <f>B51*1440</f>
        <v>466.7</v>
      </c>
      <c r="D51" s="138">
        <f t="shared" si="3"/>
        <v>392.31421305453517</v>
      </c>
      <c r="E51" s="136">
        <f t="shared" si="2"/>
        <v>0.90743589743589748</v>
      </c>
      <c r="F51" s="138">
        <f>100*(D51/C51)</f>
        <v>84.061326988329796</v>
      </c>
      <c r="G51" s="129">
        <v>45</v>
      </c>
      <c r="H51" s="139" t="s">
        <v>105</v>
      </c>
      <c r="I51" s="136"/>
      <c r="M51" s="139"/>
    </row>
    <row r="52" spans="1:13">
      <c r="A52" s="129">
        <v>46</v>
      </c>
      <c r="B52" s="137"/>
      <c r="C52" s="138"/>
      <c r="D52" s="138">
        <f t="shared" si="3"/>
        <v>396.65738161559892</v>
      </c>
      <c r="E52" s="136">
        <f t="shared" si="2"/>
        <v>0.89749999999999996</v>
      </c>
      <c r="F52" s="138"/>
      <c r="G52" s="129">
        <v>46</v>
      </c>
      <c r="H52" s="139"/>
      <c r="I52" s="136"/>
      <c r="M52" s="139"/>
    </row>
    <row r="53" spans="1:13">
      <c r="A53" s="129">
        <v>47</v>
      </c>
      <c r="B53" s="137"/>
      <c r="C53" s="138"/>
      <c r="D53" s="138">
        <f t="shared" si="3"/>
        <v>401.12676056338029</v>
      </c>
      <c r="E53" s="136">
        <f t="shared" si="2"/>
        <v>0.88749999999999996</v>
      </c>
      <c r="F53" s="138"/>
      <c r="G53" s="129">
        <v>47</v>
      </c>
      <c r="H53" s="139"/>
      <c r="I53" s="136"/>
      <c r="M53" s="139"/>
    </row>
    <row r="54" spans="1:13">
      <c r="A54" s="129">
        <v>48</v>
      </c>
      <c r="B54" s="137"/>
      <c r="C54" s="138"/>
      <c r="D54" s="138">
        <f t="shared" si="3"/>
        <v>405.69800569800572</v>
      </c>
      <c r="E54" s="136">
        <f t="shared" si="2"/>
        <v>0.87749999999999995</v>
      </c>
      <c r="F54" s="138"/>
      <c r="G54" s="129">
        <v>48</v>
      </c>
      <c r="H54" s="139"/>
      <c r="I54" s="136"/>
      <c r="M54" s="139"/>
    </row>
    <row r="55" spans="1:13">
      <c r="A55" s="129">
        <v>49</v>
      </c>
      <c r="B55" s="137"/>
      <c r="C55" s="138"/>
      <c r="D55" s="138">
        <f t="shared" si="3"/>
        <v>410.37463976945247</v>
      </c>
      <c r="E55" s="136">
        <f t="shared" si="2"/>
        <v>0.86749999999999994</v>
      </c>
      <c r="F55" s="138"/>
      <c r="G55" s="129">
        <v>49</v>
      </c>
      <c r="H55" s="139"/>
      <c r="I55" s="136"/>
      <c r="M55" s="139"/>
    </row>
    <row r="56" spans="1:13">
      <c r="A56" s="129">
        <v>50</v>
      </c>
      <c r="B56" s="137">
        <v>0.32787037037037037</v>
      </c>
      <c r="C56" s="138">
        <f>B56*1440</f>
        <v>472.13333333333333</v>
      </c>
      <c r="D56" s="138">
        <f t="shared" si="3"/>
        <v>415.16034985422743</v>
      </c>
      <c r="E56" s="136">
        <f t="shared" si="2"/>
        <v>0.85749999999999993</v>
      </c>
      <c r="F56" s="138">
        <f>100*(D56/C56)</f>
        <v>87.93286144893267</v>
      </c>
      <c r="G56" s="129">
        <v>50</v>
      </c>
      <c r="H56" s="139" t="s">
        <v>106</v>
      </c>
      <c r="I56" s="136"/>
      <c r="M56" s="139"/>
    </row>
    <row r="57" spans="1:13">
      <c r="A57" s="129">
        <v>51</v>
      </c>
      <c r="B57" s="137"/>
      <c r="C57" s="138"/>
      <c r="D57" s="138">
        <f t="shared" si="3"/>
        <v>420.05899705014747</v>
      </c>
      <c r="E57" s="136">
        <f t="shared" si="2"/>
        <v>0.84750000000000003</v>
      </c>
      <c r="F57" s="138"/>
      <c r="G57" s="129">
        <v>51</v>
      </c>
      <c r="I57" s="136"/>
    </row>
    <row r="58" spans="1:13">
      <c r="A58" s="129">
        <v>52</v>
      </c>
      <c r="B58" s="137"/>
      <c r="C58" s="138"/>
      <c r="D58" s="138">
        <f t="shared" si="3"/>
        <v>425.07462686567163</v>
      </c>
      <c r="E58" s="136">
        <f t="shared" si="2"/>
        <v>0.83750000000000002</v>
      </c>
      <c r="F58" s="138"/>
      <c r="G58" s="129">
        <v>52</v>
      </c>
      <c r="I58" s="136"/>
    </row>
    <row r="59" spans="1:13">
      <c r="A59" s="129">
        <v>53</v>
      </c>
      <c r="B59" s="137"/>
      <c r="C59" s="138"/>
      <c r="D59" s="138">
        <f t="shared" si="3"/>
        <v>430.21148036253777</v>
      </c>
      <c r="E59" s="136">
        <f t="shared" si="2"/>
        <v>0.82750000000000001</v>
      </c>
      <c r="F59" s="138"/>
      <c r="G59" s="129">
        <v>53</v>
      </c>
      <c r="I59" s="136"/>
    </row>
    <row r="60" spans="1:13">
      <c r="A60" s="129">
        <v>54</v>
      </c>
      <c r="B60" s="137"/>
      <c r="C60" s="138"/>
      <c r="D60" s="138">
        <f t="shared" si="3"/>
        <v>435.47400611620793</v>
      </c>
      <c r="E60" s="136">
        <f t="shared" si="2"/>
        <v>0.8175</v>
      </c>
      <c r="F60" s="138"/>
      <c r="G60" s="129">
        <v>54</v>
      </c>
      <c r="I60" s="136"/>
    </row>
    <row r="61" spans="1:13">
      <c r="A61" s="129">
        <v>55</v>
      </c>
      <c r="B61" s="137">
        <v>0.36291666666666667</v>
      </c>
      <c r="C61" s="138">
        <f>B61*1440</f>
        <v>522.6</v>
      </c>
      <c r="D61" s="138">
        <f t="shared" si="3"/>
        <v>440.92693741562317</v>
      </c>
      <c r="E61" s="136">
        <f t="shared" si="2"/>
        <v>0.80739000000000005</v>
      </c>
      <c r="F61" s="138">
        <f>100*(D61/C61)</f>
        <v>84.371782896215691</v>
      </c>
      <c r="G61" s="129">
        <v>55</v>
      </c>
      <c r="H61" s="139" t="s">
        <v>107</v>
      </c>
      <c r="I61" s="136"/>
    </row>
    <row r="62" spans="1:13">
      <c r="A62" s="129">
        <v>56</v>
      </c>
      <c r="B62" s="137"/>
      <c r="C62" s="138"/>
      <c r="D62" s="138">
        <f t="shared" si="3"/>
        <v>446.64140717135473</v>
      </c>
      <c r="E62" s="136">
        <f t="shared" si="2"/>
        <v>0.79705999999999999</v>
      </c>
      <c r="F62" s="138"/>
      <c r="G62" s="129">
        <v>56</v>
      </c>
      <c r="I62" s="136"/>
    </row>
    <row r="63" spans="1:13">
      <c r="A63" s="129">
        <v>57</v>
      </c>
      <c r="B63" s="137"/>
      <c r="C63" s="138"/>
      <c r="D63" s="138">
        <f t="shared" si="3"/>
        <v>452.63251579763767</v>
      </c>
      <c r="E63" s="136">
        <f t="shared" si="2"/>
        <v>0.78651000000000004</v>
      </c>
      <c r="F63" s="138"/>
      <c r="G63" s="129">
        <v>57</v>
      </c>
      <c r="I63" s="136"/>
    </row>
    <row r="64" spans="1:13">
      <c r="A64" s="129">
        <v>58</v>
      </c>
      <c r="B64" s="137"/>
      <c r="C64" s="138"/>
      <c r="D64" s="138">
        <f t="shared" si="3"/>
        <v>458.91664733029108</v>
      </c>
      <c r="E64" s="136">
        <f t="shared" si="2"/>
        <v>0.77573999999999999</v>
      </c>
      <c r="F64" s="138"/>
      <c r="G64" s="129">
        <v>58</v>
      </c>
      <c r="I64" s="136"/>
    </row>
    <row r="65" spans="1:9">
      <c r="A65" s="129">
        <v>59</v>
      </c>
      <c r="B65" s="137"/>
      <c r="C65" s="138"/>
      <c r="D65" s="138">
        <f t="shared" si="3"/>
        <v>465.51160509970578</v>
      </c>
      <c r="E65" s="136">
        <f t="shared" si="2"/>
        <v>0.76475000000000004</v>
      </c>
      <c r="F65" s="138"/>
      <c r="G65" s="129">
        <v>59</v>
      </c>
      <c r="I65" s="136"/>
    </row>
    <row r="66" spans="1:9">
      <c r="A66" s="129">
        <v>60</v>
      </c>
      <c r="B66" s="137">
        <v>0.38896990740740739</v>
      </c>
      <c r="C66" s="138">
        <f>B66*1440</f>
        <v>560.11666666666667</v>
      </c>
      <c r="D66" s="138">
        <f t="shared" si="3"/>
        <v>472.43676513522837</v>
      </c>
      <c r="E66" s="136">
        <f t="shared" ref="E66:E97" si="4">1-IF(A66&lt;I$3,0,IF(A66&lt;I$4,G$3*(A66-I$3)^2,G$2+G$4*(A66-I$4)+(A66&gt;I$5)*G$5*(A66-I$5)^2))</f>
        <v>0.75353999999999999</v>
      </c>
      <c r="F66" s="138">
        <f>100*(D66/C66)</f>
        <v>84.346135948206339</v>
      </c>
      <c r="G66" s="129">
        <v>60</v>
      </c>
      <c r="H66" s="139" t="s">
        <v>108</v>
      </c>
      <c r="I66" s="136"/>
    </row>
    <row r="67" spans="1:9">
      <c r="A67" s="129">
        <v>61</v>
      </c>
      <c r="B67" s="137"/>
      <c r="C67" s="138"/>
      <c r="D67" s="138">
        <f t="shared" si="3"/>
        <v>479.71325005726914</v>
      </c>
      <c r="E67" s="136">
        <f t="shared" si="4"/>
        <v>0.74211000000000005</v>
      </c>
      <c r="F67" s="138"/>
      <c r="G67" s="129">
        <v>61</v>
      </c>
      <c r="I67" s="136"/>
    </row>
    <row r="68" spans="1:9">
      <c r="A68" s="129">
        <v>62</v>
      </c>
      <c r="B68" s="137"/>
      <c r="C68" s="138"/>
      <c r="D68" s="138">
        <f t="shared" si="3"/>
        <v>487.36412671467292</v>
      </c>
      <c r="E68" s="136">
        <f t="shared" si="4"/>
        <v>0.73046</v>
      </c>
      <c r="F68" s="138"/>
      <c r="G68" s="129">
        <v>62</v>
      </c>
      <c r="I68" s="136"/>
    </row>
    <row r="69" spans="1:9">
      <c r="A69" s="129">
        <v>63</v>
      </c>
      <c r="B69" s="137"/>
      <c r="C69" s="138"/>
      <c r="D69" s="138">
        <f t="shared" si="3"/>
        <v>495.41463143099679</v>
      </c>
      <c r="E69" s="136">
        <f t="shared" si="4"/>
        <v>0.71859000000000006</v>
      </c>
      <c r="F69" s="138"/>
      <c r="G69" s="129">
        <v>63</v>
      </c>
      <c r="I69" s="136"/>
    </row>
    <row r="70" spans="1:9">
      <c r="A70" s="129">
        <v>64</v>
      </c>
      <c r="B70" s="137"/>
      <c r="C70" s="138"/>
      <c r="D70" s="138">
        <f t="shared" si="3"/>
        <v>503.89242745930642</v>
      </c>
      <c r="E70" s="136">
        <f t="shared" si="4"/>
        <v>0.70650000000000002</v>
      </c>
      <c r="F70" s="138"/>
      <c r="G70" s="129">
        <v>64</v>
      </c>
      <c r="I70" s="136"/>
    </row>
    <row r="71" spans="1:9">
      <c r="A71" s="129">
        <v>65</v>
      </c>
      <c r="B71" s="137">
        <v>0.43149305555555556</v>
      </c>
      <c r="C71" s="138">
        <f>B71*1440</f>
        <v>621.35</v>
      </c>
      <c r="D71" s="138">
        <f t="shared" si="3"/>
        <v>512.82790014261218</v>
      </c>
      <c r="E71" s="136">
        <f t="shared" si="4"/>
        <v>0.69419000000000008</v>
      </c>
      <c r="F71" s="138">
        <f>100*(D71/C71)</f>
        <v>82.53446530017095</v>
      </c>
      <c r="G71" s="129">
        <v>65</v>
      </c>
      <c r="H71" s="139" t="s">
        <v>109</v>
      </c>
      <c r="I71" s="136"/>
    </row>
    <row r="72" spans="1:9">
      <c r="A72" s="129">
        <v>66</v>
      </c>
      <c r="B72" s="137"/>
      <c r="C72" s="138"/>
      <c r="D72" s="138">
        <f t="shared" si="3"/>
        <v>522.25449637649274</v>
      </c>
      <c r="E72" s="136">
        <f t="shared" si="4"/>
        <v>0.68165999999999993</v>
      </c>
      <c r="F72" s="138"/>
      <c r="G72" s="129">
        <v>66</v>
      </c>
      <c r="I72" s="136"/>
    </row>
    <row r="73" spans="1:9">
      <c r="A73" s="129">
        <v>67</v>
      </c>
      <c r="B73" s="137"/>
      <c r="C73" s="138"/>
      <c r="D73" s="138">
        <f t="shared" si="3"/>
        <v>532.20911632357115</v>
      </c>
      <c r="E73" s="136">
        <f t="shared" si="4"/>
        <v>0.66891</v>
      </c>
      <c r="F73" s="138"/>
      <c r="G73" s="129">
        <v>67</v>
      </c>
      <c r="I73" s="136"/>
    </row>
    <row r="74" spans="1:9">
      <c r="A74" s="129">
        <v>68</v>
      </c>
      <c r="B74" s="137"/>
      <c r="C74" s="138"/>
      <c r="D74" s="138">
        <f t="shared" ref="D74:D105" si="5">E$4/E74</f>
        <v>542.73256700307957</v>
      </c>
      <c r="E74" s="136">
        <f t="shared" si="4"/>
        <v>0.65593999999999997</v>
      </c>
      <c r="F74" s="138"/>
      <c r="G74" s="129">
        <v>68</v>
      </c>
      <c r="I74" s="136"/>
    </row>
    <row r="75" spans="1:9">
      <c r="A75" s="129">
        <v>69</v>
      </c>
      <c r="B75" s="137"/>
      <c r="C75" s="138"/>
      <c r="D75" s="138">
        <f t="shared" si="5"/>
        <v>553.8700894593544</v>
      </c>
      <c r="E75" s="136">
        <f t="shared" si="4"/>
        <v>0.64274999999999993</v>
      </c>
      <c r="F75" s="138"/>
      <c r="G75" s="129">
        <v>69</v>
      </c>
      <c r="I75" s="136"/>
    </row>
    <row r="76" spans="1:9">
      <c r="A76" s="129">
        <v>70</v>
      </c>
      <c r="B76" s="137">
        <v>0.48353009259259261</v>
      </c>
      <c r="C76" s="138">
        <f>B76*1440</f>
        <v>696.2833333333333</v>
      </c>
      <c r="D76" s="138">
        <f t="shared" si="5"/>
        <v>565.67197381383676</v>
      </c>
      <c r="E76" s="136">
        <f t="shared" si="4"/>
        <v>0.62934000000000001</v>
      </c>
      <c r="F76" s="138">
        <f>100*(D76/C76)</f>
        <v>81.241636376068669</v>
      </c>
      <c r="G76" s="129">
        <v>70</v>
      </c>
      <c r="H76" s="139" t="s">
        <v>110</v>
      </c>
      <c r="I76" s="136"/>
    </row>
    <row r="77" spans="1:9">
      <c r="A77" s="129">
        <v>71</v>
      </c>
      <c r="B77" s="137"/>
      <c r="C77" s="138"/>
      <c r="D77" s="138">
        <f t="shared" si="5"/>
        <v>578.19427977456917</v>
      </c>
      <c r="E77" s="136">
        <f t="shared" si="4"/>
        <v>0.61570999999999998</v>
      </c>
      <c r="F77" s="138"/>
      <c r="G77" s="129">
        <v>71</v>
      </c>
      <c r="I77" s="136"/>
    </row>
    <row r="78" spans="1:9">
      <c r="A78" s="129">
        <v>72</v>
      </c>
      <c r="B78" s="137"/>
      <c r="C78" s="138"/>
      <c r="D78" s="138">
        <f t="shared" si="5"/>
        <v>591.49968431196623</v>
      </c>
      <c r="E78" s="136">
        <f t="shared" si="4"/>
        <v>0.60185999999999995</v>
      </c>
      <c r="F78" s="138"/>
      <c r="G78" s="129">
        <v>72</v>
      </c>
      <c r="I78" s="136"/>
    </row>
    <row r="79" spans="1:9">
      <c r="A79" s="129">
        <v>73</v>
      </c>
      <c r="B79" s="137"/>
      <c r="C79" s="138"/>
      <c r="D79" s="138">
        <f t="shared" si="5"/>
        <v>605.65848347198835</v>
      </c>
      <c r="E79" s="136">
        <f t="shared" si="4"/>
        <v>0.58778999999999992</v>
      </c>
      <c r="F79" s="138"/>
      <c r="G79" s="129">
        <v>73</v>
      </c>
      <c r="I79" s="136"/>
    </row>
    <row r="80" spans="1:9">
      <c r="A80" s="129">
        <v>74</v>
      </c>
      <c r="B80" s="137"/>
      <c r="C80" s="138"/>
      <c r="D80" s="138">
        <f t="shared" si="5"/>
        <v>620.74978204010472</v>
      </c>
      <c r="E80" s="136">
        <f t="shared" si="4"/>
        <v>0.5734999999999999</v>
      </c>
      <c r="F80" s="138"/>
      <c r="G80" s="129">
        <v>74</v>
      </c>
      <c r="I80" s="136"/>
    </row>
    <row r="81" spans="1:9">
      <c r="A81" s="129">
        <v>75</v>
      </c>
      <c r="B81" s="137"/>
      <c r="C81" s="138"/>
      <c r="D81" s="138">
        <f t="shared" si="5"/>
        <v>636.86291346893495</v>
      </c>
      <c r="E81" s="136">
        <f t="shared" si="4"/>
        <v>0.5589900000000001</v>
      </c>
      <c r="F81" s="138"/>
      <c r="G81" s="129">
        <v>75</v>
      </c>
      <c r="I81" s="136"/>
    </row>
    <row r="82" spans="1:9">
      <c r="A82" s="129">
        <v>76</v>
      </c>
      <c r="B82" s="137"/>
      <c r="C82" s="138"/>
      <c r="D82" s="138">
        <f t="shared" si="5"/>
        <v>654.09914379157021</v>
      </c>
      <c r="E82" s="136">
        <f t="shared" si="4"/>
        <v>0.54425999999999997</v>
      </c>
      <c r="F82" s="138"/>
      <c r="G82" s="129">
        <v>76</v>
      </c>
      <c r="I82" s="136"/>
    </row>
    <row r="83" spans="1:9">
      <c r="A83" s="129">
        <v>77</v>
      </c>
      <c r="B83" s="137"/>
      <c r="C83" s="138"/>
      <c r="D83" s="138">
        <f t="shared" si="5"/>
        <v>672.57372806106071</v>
      </c>
      <c r="E83" s="136">
        <f t="shared" si="4"/>
        <v>0.52930999999999995</v>
      </c>
      <c r="F83" s="138"/>
      <c r="G83" s="129">
        <v>77</v>
      </c>
      <c r="I83" s="136"/>
    </row>
    <row r="84" spans="1:9">
      <c r="A84" s="129">
        <v>78</v>
      </c>
      <c r="B84" s="137"/>
      <c r="C84" s="138"/>
      <c r="D84" s="138">
        <f t="shared" si="5"/>
        <v>692.41840743766284</v>
      </c>
      <c r="E84" s="136">
        <f t="shared" si="4"/>
        <v>0.51414000000000004</v>
      </c>
      <c r="F84" s="138"/>
      <c r="G84" s="129">
        <v>78</v>
      </c>
      <c r="I84" s="136"/>
    </row>
    <row r="85" spans="1:9">
      <c r="A85" s="129">
        <v>79</v>
      </c>
      <c r="B85" s="137"/>
      <c r="C85" s="138"/>
      <c r="D85" s="138">
        <f t="shared" si="5"/>
        <v>713.78446115288216</v>
      </c>
      <c r="E85" s="136">
        <f t="shared" si="4"/>
        <v>0.49875000000000003</v>
      </c>
      <c r="F85" s="138"/>
      <c r="G85" s="129">
        <v>79</v>
      </c>
      <c r="I85" s="136"/>
    </row>
    <row r="86" spans="1:9">
      <c r="A86" s="129">
        <v>80</v>
      </c>
      <c r="B86" s="137">
        <v>0.72173611111111113</v>
      </c>
      <c r="C86" s="138">
        <f>B86*1440</f>
        <v>1039.3</v>
      </c>
      <c r="D86" s="138">
        <f t="shared" si="5"/>
        <v>736.84646272302018</v>
      </c>
      <c r="E86" s="136">
        <f t="shared" si="4"/>
        <v>0.48314000000000001</v>
      </c>
      <c r="F86" s="138">
        <f>100*(D86/C86)</f>
        <v>70.898341453191591</v>
      </c>
      <c r="G86" s="129">
        <v>80</v>
      </c>
      <c r="H86" s="139" t="s">
        <v>111</v>
      </c>
      <c r="I86" s="136"/>
    </row>
    <row r="87" spans="1:9">
      <c r="A87" s="129">
        <v>81</v>
      </c>
      <c r="B87" s="137"/>
      <c r="C87" s="138"/>
      <c r="D87" s="138">
        <f t="shared" si="5"/>
        <v>761.80693757890901</v>
      </c>
      <c r="E87" s="136">
        <f t="shared" si="4"/>
        <v>0.46731</v>
      </c>
      <c r="F87" s="138"/>
      <c r="G87" s="129">
        <v>81</v>
      </c>
      <c r="I87" s="136"/>
    </row>
    <row r="88" spans="1:9">
      <c r="A88" s="129">
        <v>82</v>
      </c>
      <c r="B88" s="137"/>
      <c r="C88" s="138"/>
      <c r="D88" s="138">
        <f t="shared" si="5"/>
        <v>788.90218499313039</v>
      </c>
      <c r="E88" s="136">
        <f t="shared" si="4"/>
        <v>0.45125999999999999</v>
      </c>
      <c r="F88" s="138"/>
      <c r="G88" s="129">
        <v>82</v>
      </c>
      <c r="I88" s="136"/>
    </row>
    <row r="89" spans="1:9">
      <c r="A89" s="129">
        <v>83</v>
      </c>
      <c r="B89" s="137"/>
      <c r="C89" s="138"/>
      <c r="D89" s="138">
        <f t="shared" si="5"/>
        <v>818.40961861192216</v>
      </c>
      <c r="E89" s="136">
        <f t="shared" si="4"/>
        <v>0.43498999999999999</v>
      </c>
      <c r="F89" s="138"/>
      <c r="G89" s="129">
        <v>83</v>
      </c>
      <c r="I89" s="136"/>
    </row>
    <row r="90" spans="1:9">
      <c r="A90" s="129">
        <v>84</v>
      </c>
      <c r="B90" s="137"/>
      <c r="C90" s="138"/>
      <c r="D90" s="138">
        <f t="shared" si="5"/>
        <v>850.65710872162492</v>
      </c>
      <c r="E90" s="136">
        <f t="shared" si="4"/>
        <v>0.41849999999999998</v>
      </c>
      <c r="F90" s="138"/>
      <c r="G90" s="129">
        <v>84</v>
      </c>
      <c r="I90" s="136"/>
    </row>
    <row r="91" spans="1:9">
      <c r="A91" s="129">
        <v>85</v>
      </c>
      <c r="B91" s="137">
        <v>0.76061342592592596</v>
      </c>
      <c r="C91" s="138">
        <f>B91*1440</f>
        <v>1095.2833333333333</v>
      </c>
      <c r="D91" s="138">
        <f t="shared" si="5"/>
        <v>886.03499340451481</v>
      </c>
      <c r="E91" s="136">
        <f t="shared" si="4"/>
        <v>0.40178999999999998</v>
      </c>
      <c r="F91" s="138">
        <f>100*(D91/C91)</f>
        <v>80.89550588777773</v>
      </c>
      <c r="G91" s="129">
        <v>85</v>
      </c>
      <c r="H91" s="139" t="s">
        <v>112</v>
      </c>
      <c r="I91" s="136"/>
    </row>
    <row r="92" spans="1:9">
      <c r="A92" s="129">
        <v>86</v>
      </c>
      <c r="B92" s="137"/>
      <c r="C92" s="138"/>
      <c r="D92" s="138">
        <f t="shared" si="5"/>
        <v>925.01169256352966</v>
      </c>
      <c r="E92" s="136">
        <f t="shared" si="4"/>
        <v>0.38485999999999998</v>
      </c>
      <c r="F92" s="138"/>
      <c r="G92" s="129">
        <v>86</v>
      </c>
      <c r="I92" s="136"/>
    </row>
    <row r="93" spans="1:9">
      <c r="A93" s="129">
        <v>87</v>
      </c>
      <c r="B93" s="137"/>
      <c r="C93" s="138"/>
      <c r="D93" s="138">
        <f t="shared" si="5"/>
        <v>968.15425199205902</v>
      </c>
      <c r="E93" s="136">
        <f t="shared" si="4"/>
        <v>0.36770999999999998</v>
      </c>
      <c r="F93" s="138"/>
      <c r="G93" s="129">
        <v>87</v>
      </c>
      <c r="I93" s="136"/>
    </row>
    <row r="94" spans="1:9">
      <c r="A94" s="129">
        <v>88</v>
      </c>
      <c r="B94" s="137"/>
      <c r="C94" s="138"/>
      <c r="D94" s="138">
        <f t="shared" si="5"/>
        <v>1016.1557344294112</v>
      </c>
      <c r="E94" s="136">
        <f t="shared" si="4"/>
        <v>0.3503400000000001</v>
      </c>
      <c r="F94" s="138"/>
      <c r="G94" s="129">
        <v>88</v>
      </c>
      <c r="I94" s="136"/>
    </row>
    <row r="95" spans="1:9">
      <c r="A95" s="129">
        <v>89</v>
      </c>
      <c r="B95" s="137"/>
      <c r="C95" s="135"/>
      <c r="D95" s="138">
        <f t="shared" si="5"/>
        <v>1069.8722764838467</v>
      </c>
      <c r="E95" s="136">
        <f t="shared" si="4"/>
        <v>0.33274999999999999</v>
      </c>
      <c r="F95" s="138"/>
      <c r="G95" s="129">
        <v>89</v>
      </c>
      <c r="I95" s="136"/>
    </row>
    <row r="96" spans="1:9">
      <c r="A96" s="129">
        <v>90</v>
      </c>
      <c r="B96" s="137"/>
      <c r="C96" s="135"/>
      <c r="D96" s="138">
        <f t="shared" si="5"/>
        <v>1130.3740394995873</v>
      </c>
      <c r="E96" s="136">
        <f t="shared" si="4"/>
        <v>0.31494</v>
      </c>
      <c r="F96" s="138"/>
      <c r="G96" s="129">
        <v>90</v>
      </c>
      <c r="I96" s="136"/>
    </row>
    <row r="97" spans="1:9">
      <c r="A97" s="129">
        <v>91</v>
      </c>
      <c r="B97" s="134"/>
      <c r="C97" s="135"/>
      <c r="D97" s="138">
        <f t="shared" si="5"/>
        <v>1199.0165369977433</v>
      </c>
      <c r="E97" s="136">
        <f t="shared" si="4"/>
        <v>0.29691000000000001</v>
      </c>
      <c r="F97" s="138"/>
      <c r="G97" s="129">
        <v>91</v>
      </c>
      <c r="I97" s="136"/>
    </row>
    <row r="98" spans="1:9">
      <c r="A98" s="129">
        <v>92</v>
      </c>
      <c r="B98" s="134"/>
      <c r="C98" s="135"/>
      <c r="D98" s="138">
        <f t="shared" si="5"/>
        <v>1277.5425249407879</v>
      </c>
      <c r="E98" s="136">
        <f t="shared" ref="E98:E106" si="6">1-IF(A98&lt;I$3,0,IF(A98&lt;I$4,G$3*(A98-I$3)^2,G$2+G$4*(A98-I$4)+(A98&gt;I$5)*G$5*(A98-I$5)^2))</f>
        <v>0.27866000000000002</v>
      </c>
      <c r="F98" s="138"/>
      <c r="G98" s="129">
        <v>92</v>
      </c>
      <c r="I98" s="136"/>
    </row>
    <row r="99" spans="1:9">
      <c r="A99" s="129">
        <v>93</v>
      </c>
      <c r="B99" s="134"/>
      <c r="C99" s="135"/>
      <c r="D99" s="138">
        <f t="shared" si="5"/>
        <v>1368.2309081824824</v>
      </c>
      <c r="E99" s="136">
        <f t="shared" si="6"/>
        <v>0.26018999999999992</v>
      </c>
      <c r="F99" s="138"/>
      <c r="G99" s="129">
        <v>93</v>
      </c>
      <c r="I99" s="136"/>
    </row>
    <row r="100" spans="1:9">
      <c r="A100" s="129">
        <v>94</v>
      </c>
      <c r="B100" s="134"/>
      <c r="C100" s="135"/>
      <c r="D100" s="138">
        <f t="shared" si="5"/>
        <v>1474.1200828157355</v>
      </c>
      <c r="E100" s="136">
        <f t="shared" si="6"/>
        <v>0.24149999999999994</v>
      </c>
      <c r="F100" s="138"/>
      <c r="G100" s="129">
        <v>94</v>
      </c>
      <c r="I100" s="136"/>
    </row>
    <row r="101" spans="1:9">
      <c r="A101" s="129">
        <v>95</v>
      </c>
      <c r="B101" s="134"/>
      <c r="C101" s="135"/>
      <c r="D101" s="138">
        <f t="shared" si="5"/>
        <v>1599.3530706680447</v>
      </c>
      <c r="E101" s="136">
        <f t="shared" si="6"/>
        <v>0.22258999999999995</v>
      </c>
      <c r="F101" s="138"/>
      <c r="G101" s="129">
        <v>95</v>
      </c>
      <c r="I101" s="136"/>
    </row>
    <row r="102" spans="1:9">
      <c r="A102" s="129">
        <v>96</v>
      </c>
      <c r="B102" s="134"/>
      <c r="C102" s="135"/>
      <c r="D102" s="138">
        <f t="shared" si="5"/>
        <v>1749.7296765949084</v>
      </c>
      <c r="E102" s="136">
        <f t="shared" si="6"/>
        <v>0.20345999999999997</v>
      </c>
      <c r="F102" s="138"/>
      <c r="G102" s="129">
        <v>96</v>
      </c>
      <c r="I102" s="136"/>
    </row>
    <row r="103" spans="1:9">
      <c r="A103" s="129">
        <v>97</v>
      </c>
      <c r="B103" s="134"/>
      <c r="C103" s="135"/>
      <c r="D103" s="138">
        <f t="shared" si="5"/>
        <v>1933.626636250068</v>
      </c>
      <c r="E103" s="136">
        <f t="shared" si="6"/>
        <v>0.18411</v>
      </c>
      <c r="G103" s="129">
        <v>97</v>
      </c>
      <c r="I103" s="136"/>
    </row>
    <row r="104" spans="1:9">
      <c r="A104" s="129">
        <v>98</v>
      </c>
      <c r="B104" s="134"/>
      <c r="C104" s="135"/>
      <c r="D104" s="138">
        <f t="shared" si="5"/>
        <v>2163.6076334022137</v>
      </c>
      <c r="E104" s="136">
        <f t="shared" si="6"/>
        <v>0.16453999999999991</v>
      </c>
      <c r="G104" s="129">
        <v>98</v>
      </c>
      <c r="I104" s="136"/>
    </row>
    <row r="105" spans="1:9">
      <c r="A105" s="129">
        <v>99</v>
      </c>
      <c r="C105" s="135"/>
      <c r="D105" s="138">
        <f t="shared" si="5"/>
        <v>2459.4127806563051</v>
      </c>
      <c r="E105" s="136">
        <f t="shared" si="6"/>
        <v>0.14474999999999993</v>
      </c>
      <c r="G105" s="129">
        <v>99</v>
      </c>
      <c r="I105" s="136"/>
    </row>
    <row r="106" spans="1:9">
      <c r="A106" s="129">
        <v>100</v>
      </c>
      <c r="D106" s="138">
        <f>E$4/E106</f>
        <v>2853.9361872695213</v>
      </c>
      <c r="E106" s="136">
        <f t="shared" si="6"/>
        <v>0.12473999999999996</v>
      </c>
      <c r="G106" s="129">
        <v>100</v>
      </c>
      <c r="I106" s="136"/>
    </row>
  </sheetData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107"/>
  <sheetViews>
    <sheetView zoomScale="87" zoomScaleNormal="87" workbookViewId="0">
      <selection activeCell="A2" sqref="A2"/>
    </sheetView>
  </sheetViews>
  <sheetFormatPr defaultColWidth="9.6640625" defaultRowHeight="15"/>
  <cols>
    <col min="1" max="5" width="9.6640625" style="1" customWidth="1"/>
    <col min="6" max="6" width="12.44140625" style="1" customWidth="1"/>
    <col min="7" max="7" width="10.6640625" style="1" customWidth="1"/>
    <col min="8" max="16384" width="9.6640625" style="1"/>
  </cols>
  <sheetData>
    <row r="1" spans="1:9" ht="30.95" customHeight="1">
      <c r="A1" s="30" t="s">
        <v>1950</v>
      </c>
      <c r="B1" s="31"/>
      <c r="C1" s="32"/>
      <c r="D1" s="33" t="s">
        <v>32</v>
      </c>
      <c r="E1" s="33" t="s">
        <v>71</v>
      </c>
      <c r="F1" s="33" t="s">
        <v>72</v>
      </c>
      <c r="G1" s="33" t="s">
        <v>73</v>
      </c>
      <c r="H1" s="33" t="s">
        <v>74</v>
      </c>
      <c r="I1" s="33" t="s">
        <v>75</v>
      </c>
    </row>
    <row r="2" spans="1:9" ht="22.5">
      <c r="A2" s="30"/>
      <c r="B2" s="31"/>
      <c r="C2" s="32"/>
      <c r="D2" s="33"/>
      <c r="E2" s="33"/>
      <c r="F2" s="34">
        <f>(+H$3-H$4)*F$4/2</f>
        <v>2.1000000000000001E-2</v>
      </c>
      <c r="G2" s="34">
        <f>(+I$4-I$3)*G$4/2</f>
        <v>9.7500000000000003E-2</v>
      </c>
      <c r="H2" s="33"/>
      <c r="I2" s="33"/>
    </row>
    <row r="3" spans="1:9" ht="22.5">
      <c r="A3" s="30"/>
      <c r="B3" s="31"/>
      <c r="C3" s="32"/>
      <c r="D3" s="33"/>
      <c r="E3" s="33"/>
      <c r="F3" s="34">
        <f>F4/(2*(+H3-H4))</f>
        <v>1.7142857142857144E-3</v>
      </c>
      <c r="G3" s="34">
        <f>G4/(2*(+I4-I3))</f>
        <v>2.5641025641025641E-4</v>
      </c>
      <c r="H3" s="31">
        <v>20.5</v>
      </c>
      <c r="I3" s="31">
        <v>26</v>
      </c>
    </row>
    <row r="4" spans="1:9" ht="15.75">
      <c r="A4" s="31"/>
      <c r="B4" s="31"/>
      <c r="C4" s="31"/>
      <c r="D4" s="35">
        <f>Parameters!G32</f>
        <v>0.61111111111111116</v>
      </c>
      <c r="E4" s="83">
        <f>D4*1440</f>
        <v>880.00000000000011</v>
      </c>
      <c r="F4" s="34">
        <v>1.2E-2</v>
      </c>
      <c r="G4" s="34">
        <v>0.01</v>
      </c>
      <c r="H4" s="31">
        <v>17</v>
      </c>
      <c r="I4" s="31">
        <v>45.5</v>
      </c>
    </row>
    <row r="5" spans="1:9" ht="15.75">
      <c r="A5" s="31"/>
      <c r="B5" s="31"/>
      <c r="C5" s="31"/>
      <c r="D5" s="35"/>
      <c r="E5" s="31">
        <f>E4*60</f>
        <v>52800.000000000007</v>
      </c>
      <c r="F5" s="34">
        <v>1.1000000000000001E-3</v>
      </c>
      <c r="G5" s="34">
        <v>1.1E-4</v>
      </c>
      <c r="H5" s="31">
        <v>15</v>
      </c>
      <c r="I5" s="31">
        <v>54</v>
      </c>
    </row>
    <row r="6" spans="1:9" ht="47.25">
      <c r="A6" s="320" t="s">
        <v>69</v>
      </c>
      <c r="B6" s="320" t="s">
        <v>84</v>
      </c>
      <c r="C6" s="320" t="s">
        <v>85</v>
      </c>
      <c r="D6" s="320" t="s">
        <v>139</v>
      </c>
      <c r="E6" s="320" t="s">
        <v>143</v>
      </c>
      <c r="F6" s="436" t="s">
        <v>142</v>
      </c>
      <c r="G6" s="320" t="s">
        <v>69</v>
      </c>
      <c r="I6" s="38"/>
    </row>
    <row r="7" spans="1:9">
      <c r="A7" s="1">
        <v>1</v>
      </c>
      <c r="B7" s="40"/>
      <c r="G7" s="1">
        <v>1</v>
      </c>
    </row>
    <row r="8" spans="1:9">
      <c r="A8" s="1">
        <v>2</v>
      </c>
      <c r="B8" s="40"/>
      <c r="G8" s="1">
        <v>2</v>
      </c>
    </row>
    <row r="9" spans="1:9">
      <c r="A9" s="1">
        <v>3</v>
      </c>
      <c r="B9" s="40"/>
      <c r="C9" s="25"/>
      <c r="D9" s="25"/>
      <c r="E9" s="4">
        <f t="shared" ref="E9:E33" si="0">1-IF(A9&gt;=H$3,0,IF(A9&gt;=H$4,F$3*(A9-H$3)^2,F$2+F$4*(H$4-A9)+(A9&lt;H$5)*F$5*(H$5-A9)^2))</f>
        <v>0.65259999999999996</v>
      </c>
      <c r="G9" s="1">
        <v>3</v>
      </c>
    </row>
    <row r="10" spans="1:9">
      <c r="A10" s="1">
        <v>4</v>
      </c>
      <c r="B10" s="41"/>
      <c r="C10" s="25"/>
      <c r="D10" s="19">
        <f t="shared" ref="D10:D41" si="1">E$4/E10</f>
        <v>1275.5471807508336</v>
      </c>
      <c r="E10" s="4">
        <f t="shared" si="0"/>
        <v>0.68989999999999996</v>
      </c>
      <c r="F10" s="19"/>
      <c r="G10" s="1">
        <v>4</v>
      </c>
    </row>
    <row r="11" spans="1:9">
      <c r="A11" s="1">
        <v>5</v>
      </c>
      <c r="B11" s="41"/>
      <c r="C11" s="25"/>
      <c r="D11" s="19">
        <f t="shared" si="1"/>
        <v>1213.793103448276</v>
      </c>
      <c r="E11" s="4">
        <f t="shared" si="0"/>
        <v>0.72499999999999998</v>
      </c>
      <c r="F11" s="19"/>
      <c r="G11" s="1">
        <v>5</v>
      </c>
      <c r="I11" s="4"/>
    </row>
    <row r="12" spans="1:9">
      <c r="A12" s="1">
        <v>6</v>
      </c>
      <c r="B12" s="41"/>
      <c r="C12" s="25"/>
      <c r="D12" s="19">
        <f t="shared" si="1"/>
        <v>1161.1030478955008</v>
      </c>
      <c r="E12" s="4">
        <f t="shared" si="0"/>
        <v>0.75790000000000002</v>
      </c>
      <c r="F12" s="19"/>
      <c r="G12" s="1">
        <v>6</v>
      </c>
      <c r="I12" s="4"/>
    </row>
    <row r="13" spans="1:9">
      <c r="A13" s="1">
        <v>7</v>
      </c>
      <c r="B13" s="41"/>
      <c r="C13" s="25"/>
      <c r="D13" s="19">
        <f t="shared" si="1"/>
        <v>1115.901597768197</v>
      </c>
      <c r="E13" s="4">
        <f t="shared" si="0"/>
        <v>0.78859999999999997</v>
      </c>
      <c r="F13" s="19"/>
      <c r="G13" s="1">
        <v>7</v>
      </c>
      <c r="I13" s="4"/>
    </row>
    <row r="14" spans="1:9">
      <c r="A14" s="1">
        <v>8</v>
      </c>
      <c r="B14" s="41"/>
      <c r="C14" s="25"/>
      <c r="D14" s="19">
        <f t="shared" si="1"/>
        <v>1076.9795618651331</v>
      </c>
      <c r="E14" s="4">
        <f t="shared" si="0"/>
        <v>0.81709999999999994</v>
      </c>
      <c r="F14" s="19"/>
      <c r="G14" s="1">
        <v>8</v>
      </c>
      <c r="I14" s="4"/>
    </row>
    <row r="15" spans="1:9">
      <c r="A15" s="1">
        <v>9</v>
      </c>
      <c r="B15" s="41"/>
      <c r="C15" s="25"/>
      <c r="D15" s="19">
        <f t="shared" si="1"/>
        <v>1043.3957789898034</v>
      </c>
      <c r="E15" s="4">
        <f t="shared" si="0"/>
        <v>0.84339999999999993</v>
      </c>
      <c r="F15" s="19"/>
      <c r="G15" s="1">
        <v>9</v>
      </c>
      <c r="I15" s="4"/>
    </row>
    <row r="16" spans="1:9">
      <c r="A16" s="1">
        <v>10</v>
      </c>
      <c r="B16" s="41"/>
      <c r="C16" s="25"/>
      <c r="D16" s="19">
        <f t="shared" si="1"/>
        <v>1014.4092219020175</v>
      </c>
      <c r="E16" s="4">
        <f t="shared" si="0"/>
        <v>0.86749999999999994</v>
      </c>
      <c r="F16" s="19"/>
      <c r="G16" s="1">
        <v>10</v>
      </c>
      <c r="I16" s="4"/>
    </row>
    <row r="17" spans="1:9">
      <c r="A17" s="1">
        <v>11</v>
      </c>
      <c r="B17" s="41"/>
      <c r="C17" s="25"/>
      <c r="D17" s="19">
        <f t="shared" si="1"/>
        <v>989.43107713065001</v>
      </c>
      <c r="E17" s="4">
        <f t="shared" si="0"/>
        <v>0.88939999999999997</v>
      </c>
      <c r="F17" s="19"/>
      <c r="G17" s="1">
        <v>11</v>
      </c>
      <c r="I17" s="4"/>
    </row>
    <row r="18" spans="1:9">
      <c r="A18" s="1">
        <v>12</v>
      </c>
      <c r="B18" s="41"/>
      <c r="C18" s="25"/>
      <c r="D18" s="19">
        <f t="shared" si="1"/>
        <v>967.99032009679911</v>
      </c>
      <c r="E18" s="4">
        <f t="shared" si="0"/>
        <v>0.90910000000000002</v>
      </c>
      <c r="F18" s="19"/>
      <c r="G18" s="1">
        <v>12</v>
      </c>
      <c r="I18" s="4"/>
    </row>
    <row r="19" spans="1:9">
      <c r="A19" s="1">
        <v>13</v>
      </c>
      <c r="B19" s="41"/>
      <c r="C19" s="25"/>
      <c r="D19" s="19">
        <f t="shared" si="1"/>
        <v>949.70861213036926</v>
      </c>
      <c r="E19" s="4">
        <f t="shared" si="0"/>
        <v>0.92659999999999998</v>
      </c>
      <c r="F19" s="19"/>
      <c r="G19" s="1">
        <v>13</v>
      </c>
      <c r="I19" s="4"/>
    </row>
    <row r="20" spans="1:9">
      <c r="A20" s="1">
        <v>14</v>
      </c>
      <c r="B20" s="41"/>
      <c r="C20" s="25"/>
      <c r="D20" s="19">
        <f t="shared" si="1"/>
        <v>934.28177088862958</v>
      </c>
      <c r="E20" s="4">
        <f t="shared" si="0"/>
        <v>0.94189999999999996</v>
      </c>
      <c r="F20" s="19"/>
      <c r="G20" s="1">
        <v>14</v>
      </c>
      <c r="I20" s="4"/>
    </row>
    <row r="21" spans="1:9">
      <c r="A21" s="1">
        <v>15</v>
      </c>
      <c r="B21" s="41"/>
      <c r="C21" s="25"/>
      <c r="D21" s="19">
        <f t="shared" si="1"/>
        <v>921.46596858638759</v>
      </c>
      <c r="E21" s="4">
        <f t="shared" si="0"/>
        <v>0.95499999999999996</v>
      </c>
      <c r="F21" s="19"/>
      <c r="G21" s="1">
        <v>15</v>
      </c>
      <c r="I21" s="4"/>
    </row>
    <row r="22" spans="1:9">
      <c r="A22" s="1">
        <v>16</v>
      </c>
      <c r="B22" s="41"/>
      <c r="C22" s="25"/>
      <c r="D22" s="19">
        <f t="shared" si="1"/>
        <v>910.03102378490189</v>
      </c>
      <c r="E22" s="4">
        <f t="shared" si="0"/>
        <v>0.96699999999999997</v>
      </c>
      <c r="F22" s="19"/>
      <c r="G22" s="1">
        <v>16</v>
      </c>
      <c r="I22" s="4"/>
    </row>
    <row r="23" spans="1:9">
      <c r="A23" s="1">
        <v>17</v>
      </c>
      <c r="B23" s="41"/>
      <c r="C23" s="25"/>
      <c r="D23" s="19">
        <f t="shared" si="1"/>
        <v>898.8764044943822</v>
      </c>
      <c r="E23" s="4">
        <f t="shared" si="0"/>
        <v>0.97899999999999998</v>
      </c>
      <c r="F23" s="19"/>
      <c r="G23" s="1">
        <v>17</v>
      </c>
      <c r="I23" s="4"/>
    </row>
    <row r="24" spans="1:9">
      <c r="A24" s="1">
        <v>18</v>
      </c>
      <c r="B24" s="41"/>
      <c r="C24" s="25"/>
      <c r="D24" s="19">
        <f t="shared" si="1"/>
        <v>889.53068592057775</v>
      </c>
      <c r="E24" s="4">
        <f t="shared" si="0"/>
        <v>0.98928571428571432</v>
      </c>
      <c r="F24" s="19"/>
      <c r="G24" s="1">
        <v>18</v>
      </c>
      <c r="I24" s="4"/>
    </row>
    <row r="25" spans="1:9">
      <c r="A25" s="1">
        <v>19</v>
      </c>
      <c r="B25" s="41"/>
      <c r="C25" s="25"/>
      <c r="D25" s="19">
        <f t="shared" si="1"/>
        <v>883.40742865337745</v>
      </c>
      <c r="E25" s="4">
        <f t="shared" si="0"/>
        <v>0.99614285714285711</v>
      </c>
      <c r="F25" s="19"/>
      <c r="G25" s="1">
        <v>19</v>
      </c>
      <c r="I25" s="4"/>
    </row>
    <row r="26" spans="1:9">
      <c r="A26" s="1">
        <v>20</v>
      </c>
      <c r="B26" s="41"/>
      <c r="C26" s="25"/>
      <c r="D26" s="19">
        <f t="shared" si="1"/>
        <v>880.37730455909684</v>
      </c>
      <c r="E26" s="4">
        <f t="shared" si="0"/>
        <v>0.99957142857142856</v>
      </c>
      <c r="F26" s="19"/>
      <c r="G26" s="1">
        <v>20</v>
      </c>
      <c r="I26" s="4"/>
    </row>
    <row r="27" spans="1:9">
      <c r="A27" s="1">
        <v>21</v>
      </c>
      <c r="B27" s="41"/>
      <c r="C27" s="25"/>
      <c r="D27" s="19">
        <f t="shared" si="1"/>
        <v>880.00000000000011</v>
      </c>
      <c r="E27" s="4">
        <f t="shared" si="0"/>
        <v>1</v>
      </c>
      <c r="F27" s="19"/>
      <c r="G27" s="1">
        <v>21</v>
      </c>
      <c r="I27" s="4"/>
    </row>
    <row r="28" spans="1:9">
      <c r="A28" s="1">
        <v>22</v>
      </c>
      <c r="B28" s="41"/>
      <c r="C28" s="25"/>
      <c r="D28" s="19">
        <f t="shared" si="1"/>
        <v>880.00000000000011</v>
      </c>
      <c r="E28" s="4">
        <f t="shared" si="0"/>
        <v>1</v>
      </c>
      <c r="F28" s="19"/>
      <c r="G28" s="1">
        <v>22</v>
      </c>
      <c r="I28" s="4"/>
    </row>
    <row r="29" spans="1:9">
      <c r="A29" s="1">
        <v>23</v>
      </c>
      <c r="B29" s="41"/>
      <c r="C29" s="25"/>
      <c r="D29" s="19">
        <f t="shared" si="1"/>
        <v>880.00000000000011</v>
      </c>
      <c r="E29" s="4">
        <f t="shared" si="0"/>
        <v>1</v>
      </c>
      <c r="F29" s="19"/>
      <c r="G29" s="1">
        <v>23</v>
      </c>
      <c r="I29" s="4"/>
    </row>
    <row r="30" spans="1:9">
      <c r="A30" s="1">
        <v>24</v>
      </c>
      <c r="B30" s="41"/>
      <c r="C30" s="25"/>
      <c r="D30" s="19">
        <f t="shared" si="1"/>
        <v>880.00000000000011</v>
      </c>
      <c r="E30" s="4">
        <f t="shared" si="0"/>
        <v>1</v>
      </c>
      <c r="F30" s="19"/>
      <c r="G30" s="1">
        <v>24</v>
      </c>
      <c r="I30" s="4"/>
    </row>
    <row r="31" spans="1:9">
      <c r="A31" s="1">
        <v>25</v>
      </c>
      <c r="B31" s="41"/>
      <c r="C31" s="25"/>
      <c r="D31" s="19">
        <f t="shared" si="1"/>
        <v>880.00000000000011</v>
      </c>
      <c r="E31" s="4">
        <f t="shared" si="0"/>
        <v>1</v>
      </c>
      <c r="F31" s="19"/>
      <c r="G31" s="1">
        <v>25</v>
      </c>
      <c r="I31" s="4"/>
    </row>
    <row r="32" spans="1:9">
      <c r="A32" s="1">
        <v>26</v>
      </c>
      <c r="B32" s="41"/>
      <c r="C32" s="25"/>
      <c r="D32" s="19">
        <f t="shared" si="1"/>
        <v>880.00000000000011</v>
      </c>
      <c r="E32" s="4">
        <f t="shared" si="0"/>
        <v>1</v>
      </c>
      <c r="F32" s="19"/>
      <c r="G32" s="1">
        <v>26</v>
      </c>
      <c r="I32" s="4"/>
    </row>
    <row r="33" spans="1:16">
      <c r="A33" s="1">
        <v>27</v>
      </c>
      <c r="B33" s="41"/>
      <c r="C33" s="19"/>
      <c r="D33" s="19">
        <f t="shared" si="1"/>
        <v>880.00000000000011</v>
      </c>
      <c r="E33" s="4">
        <f t="shared" si="0"/>
        <v>1</v>
      </c>
      <c r="F33" s="19"/>
      <c r="G33" s="1">
        <v>27</v>
      </c>
      <c r="I33" s="4"/>
    </row>
    <row r="34" spans="1:16">
      <c r="A34" s="1">
        <v>28</v>
      </c>
      <c r="B34" s="41"/>
      <c r="C34" s="19"/>
      <c r="D34" s="19">
        <f t="shared" si="1"/>
        <v>880.90349075975371</v>
      </c>
      <c r="E34" s="4">
        <f t="shared" ref="E34:E65" si="2">1-IF(A34&lt;I$3,0,IF(A34&lt;I$4,G$3*(A34-I$3)^2,G$2+G$4*(A34-I$4)+(A34&gt;I$5)*G$5*(A34-I$5)^2))</f>
        <v>0.99897435897435893</v>
      </c>
      <c r="F34" s="19"/>
      <c r="G34" s="1">
        <v>28</v>
      </c>
      <c r="I34" s="4"/>
    </row>
    <row r="35" spans="1:16">
      <c r="A35" s="1">
        <v>29</v>
      </c>
      <c r="B35" s="41"/>
      <c r="C35" s="19"/>
      <c r="D35" s="19">
        <f t="shared" si="1"/>
        <v>882.03546646106417</v>
      </c>
      <c r="E35" s="4">
        <f t="shared" si="2"/>
        <v>0.99769230769230766</v>
      </c>
      <c r="F35" s="19"/>
      <c r="G35" s="1">
        <v>29</v>
      </c>
      <c r="I35" s="4"/>
    </row>
    <row r="36" spans="1:16">
      <c r="A36" s="1">
        <v>30</v>
      </c>
      <c r="B36" s="41"/>
      <c r="C36" s="19"/>
      <c r="D36" s="19">
        <f t="shared" si="1"/>
        <v>883.62512873326489</v>
      </c>
      <c r="E36" s="4">
        <f t="shared" si="2"/>
        <v>0.99589743589743585</v>
      </c>
      <c r="F36" s="19"/>
      <c r="G36" s="1">
        <v>30</v>
      </c>
      <c r="I36" s="4"/>
    </row>
    <row r="37" spans="1:16">
      <c r="A37" s="1">
        <v>31</v>
      </c>
      <c r="B37" s="41"/>
      <c r="C37" s="19"/>
      <c r="D37" s="19">
        <f t="shared" si="1"/>
        <v>885.67741935483878</v>
      </c>
      <c r="E37" s="4">
        <f t="shared" si="2"/>
        <v>0.99358974358974361</v>
      </c>
      <c r="F37" s="19"/>
      <c r="G37" s="1">
        <v>31</v>
      </c>
      <c r="I37" s="4"/>
    </row>
    <row r="38" spans="1:16">
      <c r="A38" s="1">
        <v>32</v>
      </c>
      <c r="B38" s="41"/>
      <c r="C38" s="19"/>
      <c r="D38" s="19">
        <f t="shared" si="1"/>
        <v>888.19875776397532</v>
      </c>
      <c r="E38" s="4">
        <f t="shared" si="2"/>
        <v>0.99076923076923074</v>
      </c>
      <c r="F38" s="19"/>
      <c r="G38" s="1">
        <v>32</v>
      </c>
      <c r="I38" s="4"/>
    </row>
    <row r="39" spans="1:16">
      <c r="A39" s="1">
        <v>33</v>
      </c>
      <c r="B39" s="41"/>
      <c r="C39" s="19"/>
      <c r="D39" s="19">
        <f t="shared" si="1"/>
        <v>891.19709166450286</v>
      </c>
      <c r="E39" s="4">
        <f t="shared" si="2"/>
        <v>0.98743589743589744</v>
      </c>
      <c r="F39" s="19"/>
      <c r="G39" s="1">
        <v>33</v>
      </c>
      <c r="I39" s="4"/>
    </row>
    <row r="40" spans="1:16">
      <c r="A40" s="1">
        <v>34</v>
      </c>
      <c r="B40" s="41"/>
      <c r="C40" s="19"/>
      <c r="D40" s="19">
        <f t="shared" si="1"/>
        <v>894.6819603753911</v>
      </c>
      <c r="E40" s="4">
        <f t="shared" si="2"/>
        <v>0.9835897435897436</v>
      </c>
      <c r="F40" s="19"/>
      <c r="G40" s="1">
        <v>34</v>
      </c>
      <c r="I40" s="4"/>
    </row>
    <row r="41" spans="1:16">
      <c r="A41" s="1">
        <v>35</v>
      </c>
      <c r="B41" s="41"/>
      <c r="C41" s="19"/>
      <c r="D41" s="19">
        <f t="shared" si="1"/>
        <v>898.66457187745493</v>
      </c>
      <c r="E41" s="4">
        <f t="shared" si="2"/>
        <v>0.97923076923076924</v>
      </c>
      <c r="F41" s="19"/>
      <c r="G41" s="1">
        <v>35</v>
      </c>
      <c r="H41" s="23"/>
      <c r="I41" s="4"/>
    </row>
    <row r="42" spans="1:16">
      <c r="A42" s="1">
        <v>36</v>
      </c>
      <c r="B42" s="41"/>
      <c r="C42" s="19"/>
      <c r="D42" s="19">
        <f t="shared" ref="D42:D73" si="3">E$4/E42</f>
        <v>903.1578947368422</v>
      </c>
      <c r="E42" s="4">
        <f t="shared" si="2"/>
        <v>0.97435897435897434</v>
      </c>
      <c r="F42" s="19"/>
      <c r="G42" s="1">
        <v>36</v>
      </c>
      <c r="I42" s="4"/>
    </row>
    <row r="43" spans="1:16">
      <c r="A43" s="1">
        <v>37</v>
      </c>
      <c r="B43" s="41"/>
      <c r="C43" s="19"/>
      <c r="D43" s="19">
        <f t="shared" si="3"/>
        <v>908.1767663403017</v>
      </c>
      <c r="E43" s="4">
        <f t="shared" si="2"/>
        <v>0.96897435897435902</v>
      </c>
      <c r="F43" s="19"/>
      <c r="G43" s="1">
        <v>37</v>
      </c>
      <c r="I43" s="4"/>
    </row>
    <row r="44" spans="1:16">
      <c r="A44" s="1">
        <v>38</v>
      </c>
      <c r="B44" s="41"/>
      <c r="C44" s="19"/>
      <c r="D44" s="19">
        <f t="shared" si="3"/>
        <v>913.73801916932916</v>
      </c>
      <c r="E44" s="4">
        <f t="shared" si="2"/>
        <v>0.96307692307692305</v>
      </c>
      <c r="F44" s="19"/>
      <c r="G44" s="1">
        <v>38</v>
      </c>
      <c r="I44" s="4"/>
    </row>
    <row r="45" spans="1:16">
      <c r="A45" s="1">
        <v>39</v>
      </c>
      <c r="B45" s="41"/>
      <c r="C45" s="19"/>
      <c r="D45" s="19">
        <f t="shared" si="3"/>
        <v>919.86062717770051</v>
      </c>
      <c r="E45" s="4">
        <f t="shared" si="2"/>
        <v>0.95666666666666667</v>
      </c>
      <c r="F45" s="19"/>
      <c r="G45" s="1">
        <v>39</v>
      </c>
      <c r="I45" s="4"/>
    </row>
    <row r="46" spans="1:16">
      <c r="A46" s="1">
        <v>40</v>
      </c>
      <c r="B46" s="41"/>
      <c r="C46" s="19"/>
      <c r="D46" s="19">
        <f t="shared" si="3"/>
        <v>926.56587473002173</v>
      </c>
      <c r="E46" s="4">
        <f t="shared" si="2"/>
        <v>0.94974358974358974</v>
      </c>
      <c r="F46" s="19"/>
      <c r="G46" s="1">
        <v>40</v>
      </c>
      <c r="H46" s="23"/>
      <c r="I46" s="4"/>
      <c r="M46" s="23"/>
      <c r="N46" s="23"/>
      <c r="O46" s="23"/>
      <c r="P46" s="23"/>
    </row>
    <row r="47" spans="1:16">
      <c r="A47" s="1">
        <v>41</v>
      </c>
      <c r="B47" s="41"/>
      <c r="C47" s="19"/>
      <c r="D47" s="19">
        <f t="shared" si="3"/>
        <v>933.8775510204083</v>
      </c>
      <c r="E47" s="4">
        <f t="shared" si="2"/>
        <v>0.94230769230769229</v>
      </c>
      <c r="F47" s="19"/>
      <c r="G47" s="1">
        <v>41</v>
      </c>
      <c r="H47" s="23"/>
      <c r="I47" s="4"/>
      <c r="M47" s="23"/>
      <c r="N47" s="23"/>
      <c r="O47" s="23"/>
      <c r="P47" s="23"/>
    </row>
    <row r="48" spans="1:16">
      <c r="A48" s="1">
        <v>42</v>
      </c>
      <c r="B48" s="41">
        <v>0.79167824074074078</v>
      </c>
      <c r="C48" s="19">
        <f>B48*1440</f>
        <v>1140.0166666666667</v>
      </c>
      <c r="D48" s="19">
        <f t="shared" si="3"/>
        <v>941.82217343578486</v>
      </c>
      <c r="E48" s="4">
        <f t="shared" si="2"/>
        <v>0.93435897435897441</v>
      </c>
      <c r="F48" s="19">
        <f>100*(D48/C48)</f>
        <v>82.614772307637452</v>
      </c>
      <c r="G48" s="1">
        <v>42</v>
      </c>
      <c r="H48" s="23"/>
      <c r="I48" s="4"/>
      <c r="M48" s="23"/>
      <c r="N48" s="23"/>
      <c r="O48" s="23"/>
      <c r="P48" s="23"/>
    </row>
    <row r="49" spans="1:16">
      <c r="A49" s="1">
        <v>43</v>
      </c>
      <c r="B49" s="41"/>
      <c r="C49" s="19"/>
      <c r="D49" s="19">
        <f t="shared" si="3"/>
        <v>950.42924397673789</v>
      </c>
      <c r="E49" s="4">
        <f t="shared" si="2"/>
        <v>0.92589743589743589</v>
      </c>
      <c r="F49" s="19"/>
      <c r="G49" s="1">
        <v>43</v>
      </c>
      <c r="H49" s="23"/>
      <c r="I49" s="4"/>
      <c r="M49" s="23"/>
      <c r="N49" s="23"/>
      <c r="O49" s="23"/>
      <c r="P49" s="23"/>
    </row>
    <row r="50" spans="1:16">
      <c r="A50" s="1">
        <v>44</v>
      </c>
      <c r="B50" s="41"/>
      <c r="C50" s="19"/>
      <c r="D50" s="19">
        <f t="shared" si="3"/>
        <v>959.73154362416119</v>
      </c>
      <c r="E50" s="4">
        <f t="shared" si="2"/>
        <v>0.91692307692307695</v>
      </c>
      <c r="F50" s="19"/>
      <c r="G50" s="1">
        <v>44</v>
      </c>
      <c r="H50" s="23"/>
      <c r="I50" s="4"/>
      <c r="M50" s="23"/>
      <c r="N50" s="23"/>
      <c r="O50" s="23"/>
      <c r="P50" s="23"/>
    </row>
    <row r="51" spans="1:16">
      <c r="A51" s="1">
        <v>45</v>
      </c>
      <c r="B51" s="41">
        <v>0.79202546296296295</v>
      </c>
      <c r="C51" s="19">
        <f>B51*1440</f>
        <v>1140.5166666666667</v>
      </c>
      <c r="D51" s="19">
        <f t="shared" si="3"/>
        <v>969.76547047188478</v>
      </c>
      <c r="E51" s="4">
        <f t="shared" si="2"/>
        <v>0.90743589743589748</v>
      </c>
      <c r="F51" s="19">
        <f>100*(D51/C51)</f>
        <v>85.028610174209192</v>
      </c>
      <c r="G51" s="1">
        <v>45</v>
      </c>
      <c r="H51" s="23"/>
      <c r="I51" s="4"/>
      <c r="M51" s="23"/>
      <c r="N51" s="23"/>
      <c r="O51" s="23"/>
      <c r="P51" s="23"/>
    </row>
    <row r="52" spans="1:16">
      <c r="A52" s="1">
        <v>46</v>
      </c>
      <c r="B52" s="41"/>
      <c r="C52" s="19"/>
      <c r="D52" s="19">
        <f t="shared" si="3"/>
        <v>980.50139275766037</v>
      </c>
      <c r="E52" s="4">
        <f t="shared" si="2"/>
        <v>0.89749999999999996</v>
      </c>
      <c r="F52" s="19"/>
      <c r="G52" s="1">
        <v>46</v>
      </c>
      <c r="H52" s="23"/>
      <c r="I52" s="4"/>
      <c r="M52" s="23"/>
      <c r="N52" s="23"/>
      <c r="O52" s="23"/>
      <c r="P52" s="23"/>
    </row>
    <row r="53" spans="1:16">
      <c r="A53" s="1">
        <v>47</v>
      </c>
      <c r="B53" s="41"/>
      <c r="C53" s="19"/>
      <c r="D53" s="19">
        <f t="shared" si="3"/>
        <v>991.54929577464804</v>
      </c>
      <c r="E53" s="4">
        <f t="shared" si="2"/>
        <v>0.88749999999999996</v>
      </c>
      <c r="F53" s="19"/>
      <c r="G53" s="1">
        <v>47</v>
      </c>
      <c r="H53" s="23"/>
      <c r="I53" s="4"/>
      <c r="M53" s="23"/>
      <c r="N53" s="23"/>
      <c r="O53" s="23"/>
      <c r="P53" s="23"/>
    </row>
    <row r="54" spans="1:16">
      <c r="A54" s="1">
        <v>48</v>
      </c>
      <c r="B54" s="41"/>
      <c r="C54" s="19"/>
      <c r="D54" s="19">
        <f t="shared" si="3"/>
        <v>1002.849002849003</v>
      </c>
      <c r="E54" s="4">
        <f t="shared" si="2"/>
        <v>0.87749999999999995</v>
      </c>
      <c r="F54" s="19"/>
      <c r="G54" s="1">
        <v>48</v>
      </c>
      <c r="H54" s="23"/>
      <c r="I54" s="4"/>
      <c r="M54" s="23"/>
      <c r="N54" s="23"/>
      <c r="O54" s="23"/>
      <c r="P54" s="23"/>
    </row>
    <row r="55" spans="1:16">
      <c r="A55" s="1">
        <v>49</v>
      </c>
      <c r="B55" s="41">
        <v>0.82611111111111113</v>
      </c>
      <c r="C55" s="19">
        <f>B55*1440</f>
        <v>1189.6000000000001</v>
      </c>
      <c r="D55" s="19">
        <f t="shared" si="3"/>
        <v>1014.4092219020175</v>
      </c>
      <c r="E55" s="4">
        <f t="shared" si="2"/>
        <v>0.86749999999999994</v>
      </c>
      <c r="F55" s="19">
        <f>100*(D55/C55)</f>
        <v>85.273135667620835</v>
      </c>
      <c r="G55" s="1">
        <v>49</v>
      </c>
      <c r="H55" s="23"/>
      <c r="I55" s="4"/>
      <c r="M55" s="23"/>
      <c r="N55" s="23"/>
      <c r="O55" s="23"/>
      <c r="P55" s="23"/>
    </row>
    <row r="56" spans="1:16">
      <c r="A56" s="1">
        <v>50</v>
      </c>
      <c r="B56" s="41"/>
      <c r="C56" s="19"/>
      <c r="D56" s="19">
        <f t="shared" si="3"/>
        <v>1026.2390670553939</v>
      </c>
      <c r="E56" s="4">
        <f t="shared" si="2"/>
        <v>0.85749999999999993</v>
      </c>
      <c r="F56" s="19"/>
      <c r="G56" s="1">
        <v>50</v>
      </c>
      <c r="H56" s="23"/>
      <c r="I56" s="4"/>
      <c r="M56" s="23"/>
      <c r="N56" s="23"/>
      <c r="O56" s="23"/>
      <c r="P56" s="23"/>
    </row>
    <row r="57" spans="1:16">
      <c r="A57" s="1">
        <v>51</v>
      </c>
      <c r="B57" s="41">
        <v>0.79746527777777776</v>
      </c>
      <c r="C57" s="19">
        <f>B57*1440</f>
        <v>1148.3499999999999</v>
      </c>
      <c r="D57" s="19">
        <f t="shared" si="3"/>
        <v>1038.3480825958702</v>
      </c>
      <c r="E57" s="4">
        <f t="shared" si="2"/>
        <v>0.84750000000000003</v>
      </c>
      <c r="F57" s="19">
        <f>100*(D57/C57)</f>
        <v>90.420871911513927</v>
      </c>
      <c r="G57" s="1">
        <v>51</v>
      </c>
      <c r="I57" s="4"/>
    </row>
    <row r="58" spans="1:16">
      <c r="A58" s="1">
        <v>52</v>
      </c>
      <c r="B58" s="41"/>
      <c r="C58" s="19"/>
      <c r="D58" s="19">
        <f t="shared" si="3"/>
        <v>1050.7462686567164</v>
      </c>
      <c r="E58" s="4">
        <f t="shared" si="2"/>
        <v>0.83750000000000002</v>
      </c>
      <c r="F58" s="19"/>
      <c r="G58" s="1">
        <v>52</v>
      </c>
      <c r="I58" s="4"/>
    </row>
    <row r="59" spans="1:16">
      <c r="A59" s="1">
        <v>53</v>
      </c>
      <c r="B59" s="41"/>
      <c r="C59" s="19"/>
      <c r="D59" s="19">
        <f t="shared" si="3"/>
        <v>1063.4441087613295</v>
      </c>
      <c r="E59" s="4">
        <f t="shared" si="2"/>
        <v>0.82750000000000001</v>
      </c>
      <c r="F59" s="19"/>
      <c r="G59" s="1">
        <v>53</v>
      </c>
      <c r="I59" s="4"/>
    </row>
    <row r="60" spans="1:16">
      <c r="A60" s="1">
        <v>54</v>
      </c>
      <c r="B60" s="41"/>
      <c r="C60" s="19"/>
      <c r="D60" s="19">
        <f t="shared" si="3"/>
        <v>1076.4525993883794</v>
      </c>
      <c r="E60" s="4">
        <f t="shared" si="2"/>
        <v>0.8175</v>
      </c>
      <c r="F60" s="19"/>
      <c r="G60" s="1">
        <v>54</v>
      </c>
      <c r="I60" s="4"/>
    </row>
    <row r="61" spans="1:16">
      <c r="A61" s="1">
        <v>55</v>
      </c>
      <c r="B61" s="41"/>
      <c r="C61" s="19"/>
      <c r="D61" s="19">
        <f t="shared" si="3"/>
        <v>1089.9317554094057</v>
      </c>
      <c r="E61" s="4">
        <f t="shared" si="2"/>
        <v>0.80739000000000005</v>
      </c>
      <c r="F61" s="19"/>
      <c r="G61" s="1">
        <v>55</v>
      </c>
      <c r="H61" s="23"/>
      <c r="I61" s="4"/>
    </row>
    <row r="62" spans="1:16">
      <c r="A62" s="1">
        <v>56</v>
      </c>
      <c r="B62" s="41"/>
      <c r="C62" s="19"/>
      <c r="D62" s="19">
        <f t="shared" si="3"/>
        <v>1104.0574109853715</v>
      </c>
      <c r="E62" s="4">
        <f t="shared" si="2"/>
        <v>0.79705999999999999</v>
      </c>
      <c r="F62" s="19"/>
      <c r="G62" s="1">
        <v>56</v>
      </c>
      <c r="I62" s="4"/>
    </row>
    <row r="63" spans="1:16">
      <c r="A63" s="1">
        <v>57</v>
      </c>
      <c r="B63" s="41"/>
      <c r="C63" s="19"/>
      <c r="D63" s="19">
        <f t="shared" si="3"/>
        <v>1118.8668929829246</v>
      </c>
      <c r="E63" s="4">
        <f t="shared" si="2"/>
        <v>0.78651000000000004</v>
      </c>
      <c r="F63" s="19"/>
      <c r="G63" s="1">
        <v>57</v>
      </c>
      <c r="I63" s="4"/>
    </row>
    <row r="64" spans="1:16">
      <c r="A64" s="1">
        <v>58</v>
      </c>
      <c r="B64" s="41"/>
      <c r="C64" s="19"/>
      <c r="D64" s="19">
        <f t="shared" si="3"/>
        <v>1134.4007012658883</v>
      </c>
      <c r="E64" s="4">
        <f t="shared" si="2"/>
        <v>0.77573999999999999</v>
      </c>
      <c r="F64" s="19"/>
      <c r="G64" s="1">
        <v>58</v>
      </c>
      <c r="I64" s="4"/>
    </row>
    <row r="65" spans="1:9">
      <c r="A65" s="1">
        <v>59</v>
      </c>
      <c r="B65" s="41"/>
      <c r="C65" s="19"/>
      <c r="D65" s="19">
        <f t="shared" si="3"/>
        <v>1150.7028440666886</v>
      </c>
      <c r="E65" s="4">
        <f t="shared" si="2"/>
        <v>0.76475000000000004</v>
      </c>
      <c r="F65" s="19"/>
      <c r="G65" s="1">
        <v>59</v>
      </c>
      <c r="I65" s="4"/>
    </row>
    <row r="66" spans="1:9">
      <c r="A66" s="1">
        <v>60</v>
      </c>
      <c r="B66" s="41"/>
      <c r="C66" s="19"/>
      <c r="D66" s="19">
        <f t="shared" si="3"/>
        <v>1167.8212171882051</v>
      </c>
      <c r="E66" s="4">
        <f t="shared" ref="E66:E97" si="4">1-IF(A66&lt;I$3,0,IF(A66&lt;I$4,G$3*(A66-I$3)^2,G$2+G$4*(A66-I$4)+(A66&gt;I$5)*G$5*(A66-I$5)^2))</f>
        <v>0.75353999999999999</v>
      </c>
      <c r="F66" s="19"/>
      <c r="G66" s="1">
        <v>60</v>
      </c>
      <c r="H66" s="23"/>
      <c r="I66" s="4"/>
    </row>
    <row r="67" spans="1:9">
      <c r="A67" s="1">
        <v>61</v>
      </c>
      <c r="B67" s="41"/>
      <c r="C67" s="19"/>
      <c r="D67" s="19">
        <f t="shared" si="3"/>
        <v>1185.8080338494294</v>
      </c>
      <c r="E67" s="4">
        <f t="shared" si="4"/>
        <v>0.74211000000000005</v>
      </c>
      <c r="F67" s="19"/>
      <c r="G67" s="1">
        <v>61</v>
      </c>
      <c r="I67" s="4"/>
    </row>
    <row r="68" spans="1:9">
      <c r="A68" s="1">
        <v>62</v>
      </c>
      <c r="B68" s="41"/>
      <c r="C68" s="19"/>
      <c r="D68" s="19">
        <f t="shared" si="3"/>
        <v>1204.7203132272816</v>
      </c>
      <c r="E68" s="4">
        <f t="shared" si="4"/>
        <v>0.73046</v>
      </c>
      <c r="F68" s="19"/>
      <c r="G68" s="1">
        <v>62</v>
      </c>
      <c r="I68" s="4"/>
    </row>
    <row r="69" spans="1:9">
      <c r="A69" s="1">
        <v>63</v>
      </c>
      <c r="B69" s="41"/>
      <c r="C69" s="19"/>
      <c r="D69" s="19">
        <f t="shared" si="3"/>
        <v>1224.6204372451607</v>
      </c>
      <c r="E69" s="4">
        <f t="shared" si="4"/>
        <v>0.71859000000000006</v>
      </c>
      <c r="F69" s="19"/>
      <c r="G69" s="1">
        <v>63</v>
      </c>
      <c r="I69" s="4"/>
    </row>
    <row r="70" spans="1:9">
      <c r="A70" s="1">
        <v>64</v>
      </c>
      <c r="B70" s="41"/>
      <c r="C70" s="19"/>
      <c r="D70" s="19">
        <f t="shared" si="3"/>
        <v>1245.5767869780609</v>
      </c>
      <c r="E70" s="4">
        <f t="shared" si="4"/>
        <v>0.70650000000000002</v>
      </c>
      <c r="F70" s="19"/>
      <c r="G70" s="1">
        <v>64</v>
      </c>
      <c r="I70" s="4"/>
    </row>
    <row r="71" spans="1:9">
      <c r="A71" s="1">
        <v>65</v>
      </c>
      <c r="B71" s="41"/>
      <c r="C71" s="19"/>
      <c r="D71" s="19">
        <f t="shared" si="3"/>
        <v>1267.664472262637</v>
      </c>
      <c r="E71" s="4">
        <f t="shared" si="4"/>
        <v>0.69419000000000008</v>
      </c>
      <c r="F71" s="19"/>
      <c r="G71" s="1">
        <v>65</v>
      </c>
      <c r="H71" s="23"/>
      <c r="I71" s="4"/>
    </row>
    <row r="72" spans="1:9">
      <c r="A72" s="1">
        <v>66</v>
      </c>
      <c r="B72" s="41"/>
      <c r="C72" s="19"/>
      <c r="D72" s="19">
        <f t="shared" si="3"/>
        <v>1290.9661708182969</v>
      </c>
      <c r="E72" s="4">
        <f t="shared" si="4"/>
        <v>0.68165999999999993</v>
      </c>
      <c r="F72" s="19"/>
      <c r="G72" s="1">
        <v>66</v>
      </c>
      <c r="I72" s="4"/>
    </row>
    <row r="73" spans="1:9">
      <c r="A73" s="1">
        <v>67</v>
      </c>
      <c r="B73" s="41"/>
      <c r="C73" s="19"/>
      <c r="D73" s="19">
        <f t="shared" si="3"/>
        <v>1315.5730965301761</v>
      </c>
      <c r="E73" s="4">
        <f t="shared" si="4"/>
        <v>0.66891</v>
      </c>
      <c r="F73" s="19"/>
      <c r="G73" s="1">
        <v>67</v>
      </c>
      <c r="I73" s="4"/>
    </row>
    <row r="74" spans="1:9">
      <c r="A74" s="1">
        <v>68</v>
      </c>
      <c r="B74" s="41"/>
      <c r="C74" s="19"/>
      <c r="D74" s="19">
        <f t="shared" ref="D74:D105" si="5">E$4/E74</f>
        <v>1341.5861206817699</v>
      </c>
      <c r="E74" s="4">
        <f t="shared" si="4"/>
        <v>0.65593999999999997</v>
      </c>
      <c r="F74" s="19"/>
      <c r="G74" s="1">
        <v>68</v>
      </c>
      <c r="I74" s="4"/>
    </row>
    <row r="75" spans="1:9">
      <c r="A75" s="1">
        <v>69</v>
      </c>
      <c r="B75" s="41"/>
      <c r="C75" s="19"/>
      <c r="D75" s="19">
        <f t="shared" si="5"/>
        <v>1369.1170750680672</v>
      </c>
      <c r="E75" s="4">
        <f t="shared" si="4"/>
        <v>0.64274999999999993</v>
      </c>
      <c r="F75" s="19"/>
      <c r="G75" s="1">
        <v>69</v>
      </c>
      <c r="I75" s="4"/>
    </row>
    <row r="76" spans="1:9">
      <c r="A76" s="1">
        <v>70</v>
      </c>
      <c r="B76" s="41"/>
      <c r="C76" s="19"/>
      <c r="D76" s="19">
        <f t="shared" si="5"/>
        <v>1398.29027234881</v>
      </c>
      <c r="E76" s="4">
        <f t="shared" si="4"/>
        <v>0.62934000000000001</v>
      </c>
      <c r="F76" s="19"/>
      <c r="G76" s="1">
        <v>70</v>
      </c>
      <c r="H76" s="23"/>
      <c r="I76" s="4"/>
    </row>
    <row r="77" spans="1:9">
      <c r="A77" s="1">
        <v>71</v>
      </c>
      <c r="B77" s="41"/>
      <c r="C77" s="19"/>
      <c r="D77" s="19">
        <f t="shared" si="5"/>
        <v>1429.2442870832049</v>
      </c>
      <c r="E77" s="4">
        <f t="shared" si="4"/>
        <v>0.61570999999999998</v>
      </c>
      <c r="F77" s="19"/>
      <c r="G77" s="1">
        <v>71</v>
      </c>
      <c r="I77" s="4"/>
    </row>
    <row r="78" spans="1:9">
      <c r="A78" s="1">
        <v>72</v>
      </c>
      <c r="B78" s="41"/>
      <c r="C78" s="19"/>
      <c r="D78" s="19">
        <f t="shared" si="5"/>
        <v>1462.1340511082315</v>
      </c>
      <c r="E78" s="4">
        <f t="shared" si="4"/>
        <v>0.60185999999999995</v>
      </c>
      <c r="F78" s="19"/>
      <c r="G78" s="1">
        <v>72</v>
      </c>
      <c r="I78" s="4"/>
    </row>
    <row r="79" spans="1:9">
      <c r="A79" s="1">
        <v>73</v>
      </c>
      <c r="B79" s="41"/>
      <c r="C79" s="19"/>
      <c r="D79" s="19">
        <f t="shared" si="5"/>
        <v>1497.133329930758</v>
      </c>
      <c r="E79" s="4">
        <f t="shared" si="4"/>
        <v>0.58778999999999992</v>
      </c>
      <c r="F79" s="19"/>
      <c r="G79" s="1">
        <v>73</v>
      </c>
      <c r="I79" s="4"/>
    </row>
    <row r="80" spans="1:9">
      <c r="A80" s="1">
        <v>74</v>
      </c>
      <c r="B80" s="41"/>
      <c r="C80" s="19"/>
      <c r="D80" s="19">
        <f t="shared" si="5"/>
        <v>1534.437663469922</v>
      </c>
      <c r="E80" s="4">
        <f t="shared" si="4"/>
        <v>0.5734999999999999</v>
      </c>
      <c r="F80" s="19"/>
      <c r="G80" s="1">
        <v>74</v>
      </c>
      <c r="I80" s="4"/>
    </row>
    <row r="81" spans="1:9">
      <c r="A81" s="1">
        <v>75</v>
      </c>
      <c r="B81" s="41"/>
      <c r="C81" s="19"/>
      <c r="D81" s="19">
        <f t="shared" si="5"/>
        <v>1574.267875990626</v>
      </c>
      <c r="E81" s="4">
        <f t="shared" si="4"/>
        <v>0.5589900000000001</v>
      </c>
      <c r="F81" s="19"/>
      <c r="G81" s="1">
        <v>75</v>
      </c>
      <c r="I81" s="4"/>
    </row>
    <row r="82" spans="1:9">
      <c r="A82" s="1">
        <v>76</v>
      </c>
      <c r="B82" s="41"/>
      <c r="C82" s="19"/>
      <c r="D82" s="19">
        <f t="shared" si="5"/>
        <v>1616.8742880241064</v>
      </c>
      <c r="E82" s="4">
        <f t="shared" si="4"/>
        <v>0.54425999999999997</v>
      </c>
      <c r="F82" s="19"/>
      <c r="G82" s="1">
        <v>76</v>
      </c>
      <c r="I82" s="4"/>
    </row>
    <row r="83" spans="1:9">
      <c r="A83" s="1">
        <v>77</v>
      </c>
      <c r="B83" s="41"/>
      <c r="C83" s="19"/>
      <c r="D83" s="19">
        <f t="shared" si="5"/>
        <v>1662.5417997014986</v>
      </c>
      <c r="E83" s="4">
        <f t="shared" si="4"/>
        <v>0.52930999999999995</v>
      </c>
      <c r="F83" s="19"/>
      <c r="G83" s="1">
        <v>77</v>
      </c>
      <c r="I83" s="4"/>
    </row>
    <row r="84" spans="1:9">
      <c r="A84" s="1">
        <v>78</v>
      </c>
      <c r="B84" s="41"/>
      <c r="C84" s="19"/>
      <c r="D84" s="19">
        <f t="shared" si="5"/>
        <v>1711.5960633290545</v>
      </c>
      <c r="E84" s="4">
        <f t="shared" si="4"/>
        <v>0.51414000000000004</v>
      </c>
      <c r="F84" s="19"/>
      <c r="G84" s="1">
        <v>78</v>
      </c>
      <c r="I84" s="4"/>
    </row>
    <row r="85" spans="1:9">
      <c r="A85" s="1">
        <v>79</v>
      </c>
      <c r="B85" s="41"/>
      <c r="C85" s="19"/>
      <c r="D85" s="19">
        <f t="shared" si="5"/>
        <v>1764.4110275689225</v>
      </c>
      <c r="E85" s="4">
        <f t="shared" si="4"/>
        <v>0.49875000000000003</v>
      </c>
      <c r="F85" s="19"/>
      <c r="G85" s="1">
        <v>79</v>
      </c>
      <c r="I85" s="4"/>
    </row>
    <row r="86" spans="1:9">
      <c r="A86" s="1">
        <v>80</v>
      </c>
      <c r="B86" s="41"/>
      <c r="C86" s="19"/>
      <c r="D86" s="19">
        <f t="shared" si="5"/>
        <v>1821.4182224613985</v>
      </c>
      <c r="E86" s="4">
        <f t="shared" si="4"/>
        <v>0.48314000000000001</v>
      </c>
      <c r="F86" s="19"/>
      <c r="G86" s="1">
        <v>80</v>
      </c>
      <c r="H86" s="23"/>
      <c r="I86" s="4"/>
    </row>
    <row r="87" spans="1:9">
      <c r="A87" s="1">
        <v>81</v>
      </c>
      <c r="B87" s="41"/>
      <c r="C87" s="19"/>
      <c r="D87" s="19">
        <f t="shared" si="5"/>
        <v>1883.1182726669665</v>
      </c>
      <c r="E87" s="4">
        <f t="shared" si="4"/>
        <v>0.46731</v>
      </c>
      <c r="F87" s="19"/>
      <c r="G87" s="1">
        <v>81</v>
      </c>
      <c r="I87" s="4"/>
    </row>
    <row r="88" spans="1:9">
      <c r="A88" s="1">
        <v>82</v>
      </c>
      <c r="B88" s="41"/>
      <c r="C88" s="19"/>
      <c r="D88" s="19">
        <f t="shared" si="5"/>
        <v>1950.0952887470642</v>
      </c>
      <c r="E88" s="4">
        <f t="shared" si="4"/>
        <v>0.45125999999999999</v>
      </c>
      <c r="F88" s="19"/>
      <c r="G88" s="1">
        <v>82</v>
      </c>
      <c r="I88" s="4"/>
    </row>
    <row r="89" spans="1:9">
      <c r="A89" s="1">
        <v>83</v>
      </c>
      <c r="B89" s="41"/>
      <c r="C89" s="19"/>
      <c r="D89" s="19">
        <f t="shared" si="5"/>
        <v>2023.0350122991335</v>
      </c>
      <c r="E89" s="4">
        <f t="shared" si="4"/>
        <v>0.43498999999999999</v>
      </c>
      <c r="F89" s="19"/>
      <c r="G89" s="1">
        <v>83</v>
      </c>
      <c r="I89" s="4"/>
    </row>
    <row r="90" spans="1:9">
      <c r="A90" s="1">
        <v>84</v>
      </c>
      <c r="B90" s="41"/>
      <c r="C90" s="19"/>
      <c r="D90" s="19">
        <f t="shared" si="5"/>
        <v>2102.7479091995224</v>
      </c>
      <c r="E90" s="4">
        <f t="shared" si="4"/>
        <v>0.41849999999999998</v>
      </c>
      <c r="F90" s="19"/>
      <c r="G90" s="1">
        <v>84</v>
      </c>
      <c r="I90" s="4"/>
    </row>
    <row r="91" spans="1:9">
      <c r="A91" s="1">
        <v>85</v>
      </c>
      <c r="B91" s="41"/>
      <c r="C91" s="19"/>
      <c r="D91" s="19">
        <f t="shared" si="5"/>
        <v>2190.198860101048</v>
      </c>
      <c r="E91" s="4">
        <f t="shared" si="4"/>
        <v>0.40178999999999998</v>
      </c>
      <c r="F91" s="19"/>
      <c r="G91" s="1">
        <v>85</v>
      </c>
      <c r="H91" s="23"/>
      <c r="I91" s="4"/>
    </row>
    <row r="92" spans="1:9">
      <c r="A92" s="1">
        <v>86</v>
      </c>
      <c r="B92" s="41"/>
      <c r="C92" s="19"/>
      <c r="D92" s="19">
        <f t="shared" si="5"/>
        <v>2286.545756898613</v>
      </c>
      <c r="E92" s="4">
        <f t="shared" si="4"/>
        <v>0.38485999999999998</v>
      </c>
      <c r="F92" s="19"/>
      <c r="G92" s="1">
        <v>86</v>
      </c>
      <c r="I92" s="4"/>
    </row>
    <row r="93" spans="1:9">
      <c r="A93" s="1">
        <v>87</v>
      </c>
      <c r="B93" s="41"/>
      <c r="C93" s="19"/>
      <c r="D93" s="19">
        <f t="shared" si="5"/>
        <v>2393.1902858230674</v>
      </c>
      <c r="E93" s="4">
        <f t="shared" si="4"/>
        <v>0.36770999999999998</v>
      </c>
      <c r="F93" s="19"/>
      <c r="G93" s="1">
        <v>87</v>
      </c>
      <c r="I93" s="4"/>
    </row>
    <row r="94" spans="1:9">
      <c r="A94" s="1">
        <v>88</v>
      </c>
      <c r="B94" s="41"/>
      <c r="C94" s="19"/>
      <c r="D94" s="19">
        <f t="shared" si="5"/>
        <v>2511.8456356682077</v>
      </c>
      <c r="E94" s="4">
        <f t="shared" si="4"/>
        <v>0.3503400000000001</v>
      </c>
      <c r="F94" s="19"/>
      <c r="G94" s="1">
        <v>88</v>
      </c>
      <c r="I94" s="4"/>
    </row>
    <row r="95" spans="1:9">
      <c r="A95" s="1">
        <v>89</v>
      </c>
      <c r="B95" s="41"/>
      <c r="C95" s="25"/>
      <c r="D95" s="19">
        <f t="shared" si="5"/>
        <v>2644.6280991735543</v>
      </c>
      <c r="E95" s="4">
        <f t="shared" si="4"/>
        <v>0.33274999999999999</v>
      </c>
      <c r="F95" s="19"/>
      <c r="G95" s="1">
        <v>89</v>
      </c>
      <c r="I95" s="4"/>
    </row>
    <row r="96" spans="1:9">
      <c r="A96" s="1">
        <v>90</v>
      </c>
      <c r="B96" s="41"/>
      <c r="C96" s="25"/>
      <c r="D96" s="19">
        <f t="shared" si="5"/>
        <v>2794.1830189877442</v>
      </c>
      <c r="E96" s="4">
        <f t="shared" si="4"/>
        <v>0.31494</v>
      </c>
      <c r="F96" s="19"/>
      <c r="G96" s="1">
        <v>90</v>
      </c>
      <c r="I96" s="4"/>
    </row>
    <row r="97" spans="1:9">
      <c r="A97" s="1">
        <v>91</v>
      </c>
      <c r="B97" s="40"/>
      <c r="C97" s="25"/>
      <c r="D97" s="19">
        <f t="shared" si="5"/>
        <v>2963.8611026910517</v>
      </c>
      <c r="E97" s="4">
        <f t="shared" si="4"/>
        <v>0.29691000000000001</v>
      </c>
      <c r="F97" s="19"/>
      <c r="G97" s="1">
        <v>91</v>
      </c>
      <c r="I97" s="4"/>
    </row>
    <row r="98" spans="1:9">
      <c r="A98" s="1">
        <v>92</v>
      </c>
      <c r="B98" s="40"/>
      <c r="C98" s="25"/>
      <c r="D98" s="19">
        <f t="shared" si="5"/>
        <v>3157.9702863704874</v>
      </c>
      <c r="E98" s="4">
        <f t="shared" ref="E98:E106" si="6">1-IF(A98&lt;I$3,0,IF(A98&lt;I$4,G$3*(A98-I$3)^2,G$2+G$4*(A98-I$4)+(A98&gt;I$5)*G$5*(A98-I$5)^2))</f>
        <v>0.27866000000000002</v>
      </c>
      <c r="F98" s="19"/>
      <c r="G98" s="1">
        <v>92</v>
      </c>
      <c r="I98" s="4"/>
    </row>
    <row r="99" spans="1:9">
      <c r="A99" s="1">
        <v>93</v>
      </c>
      <c r="B99" s="40"/>
      <c r="C99" s="25"/>
      <c r="D99" s="19">
        <f t="shared" si="5"/>
        <v>3382.1438179791703</v>
      </c>
      <c r="E99" s="4">
        <f t="shared" si="6"/>
        <v>0.26018999999999992</v>
      </c>
      <c r="F99" s="19"/>
      <c r="G99" s="1">
        <v>93</v>
      </c>
      <c r="I99" s="4"/>
    </row>
    <row r="100" spans="1:9">
      <c r="A100" s="1">
        <v>94</v>
      </c>
      <c r="B100" s="40"/>
      <c r="C100" s="25"/>
      <c r="D100" s="19">
        <f t="shared" si="5"/>
        <v>3643.8923395445149</v>
      </c>
      <c r="E100" s="4">
        <f t="shared" si="6"/>
        <v>0.24149999999999994</v>
      </c>
      <c r="F100" s="19"/>
      <c r="G100" s="1">
        <v>94</v>
      </c>
      <c r="I100" s="4"/>
    </row>
    <row r="101" spans="1:9">
      <c r="A101" s="1">
        <v>95</v>
      </c>
      <c r="B101" s="40"/>
      <c r="C101" s="25"/>
      <c r="D101" s="19">
        <f t="shared" si="5"/>
        <v>3953.457028617639</v>
      </c>
      <c r="E101" s="4">
        <f t="shared" si="6"/>
        <v>0.22258999999999995</v>
      </c>
      <c r="F101" s="19"/>
      <c r="G101" s="1">
        <v>95</v>
      </c>
      <c r="I101" s="4"/>
    </row>
    <row r="102" spans="1:9">
      <c r="A102" s="1">
        <v>96</v>
      </c>
      <c r="B102" s="40"/>
      <c r="C102" s="25"/>
      <c r="D102" s="19">
        <f t="shared" si="5"/>
        <v>4325.1744814705607</v>
      </c>
      <c r="E102" s="4">
        <f t="shared" si="6"/>
        <v>0.20345999999999997</v>
      </c>
      <c r="F102" s="19"/>
      <c r="G102" s="1">
        <v>96</v>
      </c>
      <c r="I102" s="4"/>
    </row>
    <row r="103" spans="1:9">
      <c r="A103" s="1">
        <v>97</v>
      </c>
      <c r="B103" s="40"/>
      <c r="C103" s="25"/>
      <c r="D103" s="19">
        <f t="shared" si="5"/>
        <v>4779.7512356743255</v>
      </c>
      <c r="E103" s="4">
        <f t="shared" si="6"/>
        <v>0.18411</v>
      </c>
      <c r="G103" s="1">
        <v>97</v>
      </c>
      <c r="I103" s="4"/>
    </row>
    <row r="104" spans="1:9">
      <c r="A104" s="1">
        <v>98</v>
      </c>
      <c r="B104" s="40"/>
      <c r="C104" s="25"/>
      <c r="D104" s="19">
        <f t="shared" si="5"/>
        <v>5348.2435881852471</v>
      </c>
      <c r="E104" s="4">
        <f t="shared" si="6"/>
        <v>0.16453999999999991</v>
      </c>
      <c r="G104" s="1">
        <v>98</v>
      </c>
      <c r="I104" s="4"/>
    </row>
    <row r="105" spans="1:9">
      <c r="A105" s="1">
        <v>99</v>
      </c>
      <c r="C105" s="25"/>
      <c r="D105" s="19">
        <f t="shared" si="5"/>
        <v>6079.4473229706427</v>
      </c>
      <c r="E105" s="4">
        <f t="shared" si="6"/>
        <v>0.14474999999999993</v>
      </c>
      <c r="G105" s="1">
        <v>99</v>
      </c>
      <c r="I105" s="4"/>
    </row>
    <row r="106" spans="1:9">
      <c r="A106" s="1">
        <v>100</v>
      </c>
      <c r="D106" s="19">
        <f>E$4/E106</f>
        <v>7054.6737213403912</v>
      </c>
      <c r="E106" s="4">
        <f t="shared" si="6"/>
        <v>0.12473999999999996</v>
      </c>
      <c r="G106" s="1">
        <v>100</v>
      </c>
      <c r="I106" s="4"/>
    </row>
    <row r="107" spans="1:9">
      <c r="D107" s="19"/>
    </row>
  </sheetData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0AF01-4B59-4FAB-9B53-427DEDABF9B0}">
  <dimension ref="A1:S107"/>
  <sheetViews>
    <sheetView topLeftCell="A12" workbookViewId="0">
      <selection activeCell="O44" sqref="O44"/>
    </sheetView>
  </sheetViews>
  <sheetFormatPr defaultRowHeight="15"/>
  <cols>
    <col min="1" max="3" width="8.88671875" style="260"/>
    <col min="4" max="4" width="10.5546875" style="260" customWidth="1"/>
    <col min="5" max="5" width="9.6640625" style="260" customWidth="1"/>
    <col min="6" max="6" width="9.88671875" style="260" customWidth="1"/>
    <col min="7" max="7" width="10.77734375" style="260" customWidth="1"/>
    <col min="8" max="8" width="12.5546875" style="260" customWidth="1"/>
    <col min="9" max="11" width="8.88671875" style="260"/>
    <col min="12" max="12" width="14.109375" style="260" customWidth="1"/>
    <col min="13" max="13" width="6" style="260" customWidth="1"/>
    <col min="14" max="14" width="8.88671875" style="260"/>
    <col min="15" max="15" width="31.6640625" style="260" customWidth="1"/>
    <col min="16" max="16" width="15.44140625" style="260" customWidth="1"/>
    <col min="17" max="17" width="10.44140625" style="260" customWidth="1"/>
    <col min="18" max="16384" width="8.88671875" style="260"/>
  </cols>
  <sheetData>
    <row r="1" spans="1:19" ht="47.25">
      <c r="A1" s="216" t="s">
        <v>1396</v>
      </c>
      <c r="B1" s="217"/>
      <c r="C1" s="218"/>
      <c r="D1" s="219" t="s">
        <v>32</v>
      </c>
      <c r="E1" s="219" t="s">
        <v>71</v>
      </c>
      <c r="F1" s="219" t="s">
        <v>72</v>
      </c>
      <c r="G1" s="219" t="s">
        <v>73</v>
      </c>
      <c r="H1" s="219"/>
      <c r="I1" s="219" t="s">
        <v>74</v>
      </c>
      <c r="J1" s="219" t="s">
        <v>75</v>
      </c>
      <c r="K1" s="232"/>
      <c r="L1" s="220"/>
    </row>
    <row r="2" spans="1:19" ht="22.5">
      <c r="A2" s="216"/>
      <c r="B2" s="217"/>
      <c r="C2" s="218"/>
      <c r="D2" s="219"/>
      <c r="E2" s="219"/>
      <c r="F2" s="268">
        <f>(+I$3-I$4)*F$4/2</f>
        <v>1.6E-2</v>
      </c>
      <c r="G2" s="269">
        <f>(+J$4-J$3)*G$4/2</f>
        <v>4.2400000000000007E-2</v>
      </c>
      <c r="H2" s="503"/>
      <c r="I2" s="221"/>
      <c r="J2" s="221"/>
      <c r="K2" s="232"/>
      <c r="L2" s="220"/>
    </row>
    <row r="3" spans="1:19" ht="15" customHeight="1">
      <c r="A3" s="216"/>
      <c r="B3" s="217"/>
      <c r="C3" s="218"/>
      <c r="D3" s="219"/>
      <c r="E3" s="219"/>
      <c r="F3" s="268">
        <f>F4/(2*(+I3-I4))</f>
        <v>4.0000000000000001E-3</v>
      </c>
      <c r="G3" s="269">
        <f>G4/(2*(+J4-J3))</f>
        <v>3.7735849056603772E-4</v>
      </c>
      <c r="H3" s="503"/>
      <c r="I3" s="222">
        <v>19</v>
      </c>
      <c r="J3" s="261">
        <v>30</v>
      </c>
      <c r="K3" s="251" t="s">
        <v>148</v>
      </c>
      <c r="L3" s="220"/>
    </row>
    <row r="4" spans="1:19" ht="15.75">
      <c r="A4" s="217"/>
      <c r="B4" s="217"/>
      <c r="C4" s="217"/>
      <c r="D4" s="224">
        <f>Parameters!$E$12</f>
        <v>2.685185185185185E-3</v>
      </c>
      <c r="E4" s="225">
        <f>D4*1440</f>
        <v>3.8666666666666663</v>
      </c>
      <c r="F4" s="215">
        <v>1.6E-2</v>
      </c>
      <c r="G4" s="226">
        <v>8.0000000000000002E-3</v>
      </c>
      <c r="H4" s="226"/>
      <c r="I4" s="222">
        <v>17</v>
      </c>
      <c r="J4" s="261">
        <v>40.6</v>
      </c>
      <c r="K4" s="253" t="s">
        <v>56</v>
      </c>
      <c r="L4" s="220"/>
    </row>
    <row r="5" spans="1:19" ht="15.75">
      <c r="A5" s="217"/>
      <c r="B5" s="217"/>
      <c r="C5" s="217"/>
      <c r="D5" s="224"/>
      <c r="E5" s="217">
        <f>E4*60</f>
        <v>231.99999999999997</v>
      </c>
      <c r="F5" s="215">
        <v>6.9999999999999999E-4</v>
      </c>
      <c r="G5" s="226">
        <v>4.0000000000000002E-4</v>
      </c>
      <c r="H5" s="226"/>
      <c r="I5" s="222">
        <v>15</v>
      </c>
      <c r="J5" s="261">
        <v>66.2</v>
      </c>
      <c r="K5" s="253" t="s">
        <v>57</v>
      </c>
      <c r="L5" s="220"/>
    </row>
    <row r="6" spans="1:19" ht="78.75">
      <c r="A6" s="228" t="s">
        <v>69</v>
      </c>
      <c r="B6" s="228" t="s">
        <v>393</v>
      </c>
      <c r="C6" s="228" t="s">
        <v>393</v>
      </c>
      <c r="D6" s="228" t="s">
        <v>408</v>
      </c>
      <c r="E6" s="228" t="s">
        <v>400</v>
      </c>
      <c r="F6" s="422" t="s">
        <v>152</v>
      </c>
      <c r="G6" s="228" t="s">
        <v>1364</v>
      </c>
      <c r="H6" s="228" t="s">
        <v>2063</v>
      </c>
      <c r="I6" s="228" t="s">
        <v>69</v>
      </c>
      <c r="J6" s="480" t="s">
        <v>316</v>
      </c>
      <c r="K6" s="480" t="s">
        <v>237</v>
      </c>
      <c r="L6" s="480" t="s">
        <v>238</v>
      </c>
      <c r="M6" s="479" t="s">
        <v>239</v>
      </c>
      <c r="N6" s="479" t="s">
        <v>240</v>
      </c>
      <c r="O6" s="480" t="s">
        <v>241</v>
      </c>
      <c r="P6" s="480" t="s">
        <v>242</v>
      </c>
      <c r="Q6" s="480" t="s">
        <v>243</v>
      </c>
      <c r="R6" s="477"/>
      <c r="S6" s="478" t="s">
        <v>419</v>
      </c>
    </row>
    <row r="7" spans="1:19">
      <c r="A7" s="220">
        <v>1</v>
      </c>
      <c r="D7" s="220"/>
      <c r="E7" s="220"/>
      <c r="G7" s="500"/>
      <c r="H7" s="500"/>
      <c r="I7" s="220">
        <v>1</v>
      </c>
    </row>
    <row r="8" spans="1:19">
      <c r="A8" s="220">
        <v>2</v>
      </c>
      <c r="D8" s="220"/>
      <c r="E8" s="220"/>
      <c r="G8" s="500"/>
      <c r="H8" s="500"/>
      <c r="I8" s="220">
        <v>2</v>
      </c>
    </row>
    <row r="9" spans="1:19">
      <c r="A9" s="220">
        <v>3</v>
      </c>
      <c r="D9" s="227">
        <f>E$4/E9</f>
        <v>5.865695792880258</v>
      </c>
      <c r="E9" s="232">
        <f t="shared" ref="E9:E32" si="0">ROUND(1-IF(A9&gt;=I$3,0,IF(A9&gt;=I$4,F$3*(A9-I$3)^2,F$2+F$4*(I$4-A9)+(A9&lt;I$5)*F$5*(I$5-A9)^2)),4)</f>
        <v>0.65920000000000001</v>
      </c>
      <c r="G9" s="500">
        <v>8.0556698203757033</v>
      </c>
      <c r="H9" s="500">
        <f>+C9/+E9</f>
        <v>0</v>
      </c>
      <c r="I9" s="220">
        <v>3</v>
      </c>
    </row>
    <row r="10" spans="1:19">
      <c r="A10" s="220">
        <v>4</v>
      </c>
      <c r="D10" s="227">
        <f t="shared" ref="D10:D72" si="1">E$4/E10</f>
        <v>5.5933265827667675</v>
      </c>
      <c r="E10" s="232">
        <f t="shared" si="0"/>
        <v>0.69130000000000003</v>
      </c>
      <c r="G10" s="500">
        <v>7.1445944302565971</v>
      </c>
      <c r="H10" s="500"/>
      <c r="I10" s="220">
        <v>4</v>
      </c>
    </row>
    <row r="11" spans="1:19">
      <c r="A11" s="220">
        <v>5</v>
      </c>
      <c r="D11" s="227">
        <f t="shared" si="1"/>
        <v>5.3554939981532774</v>
      </c>
      <c r="E11" s="232">
        <f t="shared" si="0"/>
        <v>0.72199999999999998</v>
      </c>
      <c r="G11" s="500">
        <v>6.4610139667876387</v>
      </c>
      <c r="H11" s="500"/>
      <c r="I11" s="220">
        <v>5</v>
      </c>
    </row>
    <row r="12" spans="1:19">
      <c r="A12" s="220">
        <v>6</v>
      </c>
      <c r="D12" s="227">
        <f t="shared" si="1"/>
        <v>5.1466347220373567</v>
      </c>
      <c r="E12" s="232">
        <f t="shared" si="0"/>
        <v>0.75129999999999997</v>
      </c>
      <c r="G12" s="500">
        <v>5.9325456932242755</v>
      </c>
      <c r="H12" s="500"/>
      <c r="I12" s="220">
        <v>6</v>
      </c>
    </row>
    <row r="13" spans="1:19">
      <c r="A13" s="220">
        <v>7</v>
      </c>
      <c r="D13" s="227">
        <f t="shared" si="1"/>
        <v>4.962354551676933</v>
      </c>
      <c r="E13" s="232">
        <f t="shared" si="0"/>
        <v>0.7792</v>
      </c>
      <c r="G13" s="500">
        <v>5.5148784379986857</v>
      </c>
      <c r="H13" s="500"/>
      <c r="I13" s="220">
        <v>7</v>
      </c>
    </row>
    <row r="14" spans="1:19">
      <c r="A14" s="220">
        <v>8</v>
      </c>
      <c r="D14" s="227">
        <f t="shared" si="1"/>
        <v>4.7991394646477179</v>
      </c>
      <c r="E14" s="232">
        <f t="shared" si="0"/>
        <v>0.80569999999999997</v>
      </c>
      <c r="G14" s="500">
        <v>5.1794058009344965</v>
      </c>
      <c r="H14" s="500"/>
      <c r="I14" s="220">
        <v>8</v>
      </c>
    </row>
    <row r="15" spans="1:19">
      <c r="A15" s="220">
        <v>9</v>
      </c>
      <c r="D15" s="227">
        <f t="shared" si="1"/>
        <v>4.6541486117798101</v>
      </c>
      <c r="E15" s="232">
        <f t="shared" si="0"/>
        <v>0.83079999999999998</v>
      </c>
      <c r="G15" s="500">
        <v>4.906873799381942</v>
      </c>
      <c r="H15" s="500"/>
      <c r="I15" s="220">
        <v>9</v>
      </c>
    </row>
    <row r="16" spans="1:19">
      <c r="A16" s="220">
        <v>10</v>
      </c>
      <c r="D16" s="227">
        <f t="shared" si="1"/>
        <v>4.5250633898966246</v>
      </c>
      <c r="E16" s="232">
        <f t="shared" si="0"/>
        <v>0.85450000000000004</v>
      </c>
      <c r="F16" s="501"/>
      <c r="G16" s="500">
        <v>4.6838874272502586</v>
      </c>
      <c r="H16" s="500"/>
      <c r="I16" s="220">
        <v>10</v>
      </c>
    </row>
    <row r="17" spans="1:17">
      <c r="A17" s="220">
        <v>11</v>
      </c>
      <c r="D17" s="227">
        <f t="shared" si="1"/>
        <v>4.4099756690997562</v>
      </c>
      <c r="E17" s="232">
        <f t="shared" si="0"/>
        <v>0.87680000000000002</v>
      </c>
      <c r="F17" s="501"/>
      <c r="G17" s="500">
        <v>4.5008810235194971</v>
      </c>
      <c r="H17" s="500"/>
      <c r="I17" s="220">
        <v>11</v>
      </c>
    </row>
    <row r="18" spans="1:17">
      <c r="A18" s="220">
        <v>12</v>
      </c>
      <c r="D18" s="227">
        <f t="shared" si="1"/>
        <v>4.3073038505811141</v>
      </c>
      <c r="E18" s="232">
        <f t="shared" si="0"/>
        <v>0.89770000000000005</v>
      </c>
      <c r="F18" s="501"/>
      <c r="G18" s="500">
        <v>4.3508849885210692</v>
      </c>
      <c r="H18" s="500"/>
      <c r="I18" s="220">
        <v>12</v>
      </c>
    </row>
    <row r="19" spans="1:17">
      <c r="A19" s="220">
        <v>13</v>
      </c>
      <c r="D19" s="227">
        <f t="shared" si="1"/>
        <v>4.2157290303823221</v>
      </c>
      <c r="E19" s="232">
        <f t="shared" si="0"/>
        <v>0.91720000000000002</v>
      </c>
      <c r="F19" s="501"/>
      <c r="G19" s="500">
        <v>4.2287482905060099</v>
      </c>
      <c r="H19" s="500"/>
      <c r="I19" s="220">
        <v>13</v>
      </c>
    </row>
    <row r="20" spans="1:17">
      <c r="A20" s="220">
        <v>14</v>
      </c>
      <c r="D20" s="227">
        <f t="shared" si="1"/>
        <v>4.1341459068391595</v>
      </c>
      <c r="E20" s="232">
        <f t="shared" si="0"/>
        <v>0.93530000000000002</v>
      </c>
      <c r="F20" s="501"/>
      <c r="G20" s="500">
        <v>4.1306334809815084</v>
      </c>
      <c r="H20" s="500"/>
      <c r="I20" s="220">
        <v>14</v>
      </c>
    </row>
    <row r="21" spans="1:17">
      <c r="A21" s="220">
        <v>15</v>
      </c>
      <c r="D21" s="227">
        <f t="shared" si="1"/>
        <v>4.0616246498599438</v>
      </c>
      <c r="E21" s="232">
        <f t="shared" si="0"/>
        <v>0.95199999999999996</v>
      </c>
      <c r="F21" s="501"/>
      <c r="G21" s="500">
        <v>4.0536810874215137</v>
      </c>
      <c r="H21" s="500"/>
      <c r="I21" s="220">
        <v>15</v>
      </c>
    </row>
    <row r="22" spans="1:17">
      <c r="A22" s="220">
        <v>16</v>
      </c>
      <c r="D22" s="227">
        <f t="shared" si="1"/>
        <v>3.9944903581267215</v>
      </c>
      <c r="E22" s="232">
        <f t="shared" si="0"/>
        <v>0.96799999999999997</v>
      </c>
      <c r="F22" s="501"/>
      <c r="G22" s="500">
        <v>3.9957831735020064</v>
      </c>
      <c r="H22" s="500"/>
      <c r="I22" s="220">
        <v>16</v>
      </c>
    </row>
    <row r="23" spans="1:17">
      <c r="A23" s="220">
        <v>17</v>
      </c>
      <c r="D23" s="227">
        <f t="shared" si="1"/>
        <v>3.9295392953929538</v>
      </c>
      <c r="E23" s="232">
        <f t="shared" si="0"/>
        <v>0.98399999999999999</v>
      </c>
      <c r="F23" s="501"/>
      <c r="G23" s="500">
        <v>3.9474568299402</v>
      </c>
      <c r="H23" s="500"/>
      <c r="I23" s="220">
        <v>17</v>
      </c>
    </row>
    <row r="24" spans="1:17">
      <c r="A24" s="220">
        <v>18</v>
      </c>
      <c r="D24" s="227">
        <f t="shared" si="1"/>
        <v>3.8821954484605081</v>
      </c>
      <c r="E24" s="232">
        <f t="shared" si="0"/>
        <v>0.996</v>
      </c>
      <c r="F24" s="501"/>
      <c r="G24" s="500">
        <v>3.9182942658232394</v>
      </c>
      <c r="H24" s="500"/>
      <c r="I24" s="220">
        <v>18</v>
      </c>
    </row>
    <row r="25" spans="1:17" ht="16.5" customHeight="1">
      <c r="A25" s="220">
        <v>19</v>
      </c>
      <c r="D25" s="227">
        <f t="shared" si="1"/>
        <v>3.8666666666666663</v>
      </c>
      <c r="E25" s="232">
        <f t="shared" si="0"/>
        <v>1</v>
      </c>
      <c r="F25" s="501"/>
      <c r="G25" s="500">
        <v>3.9166666666666665</v>
      </c>
      <c r="H25" s="500"/>
      <c r="I25" s="220">
        <v>19</v>
      </c>
      <c r="J25" s="483" t="s">
        <v>1952</v>
      </c>
      <c r="K25" s="476" t="s">
        <v>1953</v>
      </c>
      <c r="L25" s="476" t="s">
        <v>1954</v>
      </c>
      <c r="M25" s="474" t="s">
        <v>160</v>
      </c>
      <c r="N25" s="474">
        <v>38200</v>
      </c>
      <c r="O25" s="475" t="s">
        <v>1955</v>
      </c>
      <c r="P25" s="475" t="s">
        <v>389</v>
      </c>
      <c r="Q25" s="481">
        <v>45409</v>
      </c>
    </row>
    <row r="26" spans="1:17">
      <c r="A26" s="220">
        <v>20</v>
      </c>
      <c r="D26" s="227">
        <f t="shared" si="1"/>
        <v>3.8666666666666663</v>
      </c>
      <c r="E26" s="232">
        <f t="shared" si="0"/>
        <v>1</v>
      </c>
      <c r="F26" s="501"/>
      <c r="G26" s="500">
        <v>3.9166666666666665</v>
      </c>
      <c r="H26" s="500"/>
      <c r="I26" s="220">
        <v>20</v>
      </c>
    </row>
    <row r="27" spans="1:17">
      <c r="A27" s="220">
        <v>21</v>
      </c>
      <c r="D27" s="227">
        <f t="shared" si="1"/>
        <v>3.8666666666666663</v>
      </c>
      <c r="E27" s="232">
        <f t="shared" si="0"/>
        <v>1</v>
      </c>
      <c r="F27" s="501"/>
      <c r="G27" s="500">
        <v>3.9166666666666665</v>
      </c>
      <c r="H27" s="500"/>
      <c r="I27" s="220">
        <v>21</v>
      </c>
    </row>
    <row r="28" spans="1:17">
      <c r="A28" s="220">
        <v>22</v>
      </c>
      <c r="D28" s="227">
        <f t="shared" si="1"/>
        <v>3.8666666666666663</v>
      </c>
      <c r="E28" s="232">
        <f t="shared" si="0"/>
        <v>1</v>
      </c>
      <c r="F28" s="501"/>
      <c r="G28" s="500">
        <v>3.9166666666666665</v>
      </c>
      <c r="H28" s="500"/>
      <c r="I28" s="220">
        <v>22</v>
      </c>
    </row>
    <row r="29" spans="1:17">
      <c r="A29" s="220">
        <v>23</v>
      </c>
      <c r="D29" s="227">
        <f t="shared" si="1"/>
        <v>3.8666666666666663</v>
      </c>
      <c r="E29" s="232">
        <f t="shared" si="0"/>
        <v>1</v>
      </c>
      <c r="F29" s="501"/>
      <c r="G29" s="500">
        <v>3.9166666666666665</v>
      </c>
      <c r="H29" s="500"/>
      <c r="I29" s="220">
        <v>23</v>
      </c>
    </row>
    <row r="30" spans="1:17">
      <c r="A30" s="220">
        <v>24</v>
      </c>
      <c r="D30" s="227">
        <f t="shared" si="1"/>
        <v>3.8666666666666663</v>
      </c>
      <c r="E30" s="232">
        <f t="shared" si="0"/>
        <v>1</v>
      </c>
      <c r="F30" s="501"/>
      <c r="G30" s="500">
        <v>3.9166666666666665</v>
      </c>
      <c r="H30" s="501"/>
      <c r="I30" s="220">
        <v>24</v>
      </c>
    </row>
    <row r="31" spans="1:17">
      <c r="A31" s="220">
        <v>25</v>
      </c>
      <c r="D31" s="227">
        <f t="shared" si="1"/>
        <v>3.8666666666666663</v>
      </c>
      <c r="E31" s="232">
        <f t="shared" si="0"/>
        <v>1</v>
      </c>
      <c r="F31" s="501"/>
      <c r="G31" s="500">
        <v>3.9166666666666665</v>
      </c>
      <c r="H31" s="501"/>
      <c r="I31" s="220">
        <v>25</v>
      </c>
    </row>
    <row r="32" spans="1:17">
      <c r="A32" s="220">
        <v>26</v>
      </c>
      <c r="D32" s="227">
        <f t="shared" si="1"/>
        <v>3.8666666666666663</v>
      </c>
      <c r="E32" s="232">
        <f t="shared" si="0"/>
        <v>1</v>
      </c>
      <c r="F32" s="501"/>
      <c r="G32" s="500">
        <v>3.9166666666666665</v>
      </c>
      <c r="H32" s="501"/>
      <c r="I32" s="220">
        <v>26</v>
      </c>
    </row>
    <row r="33" spans="1:19">
      <c r="A33" s="220">
        <v>27</v>
      </c>
      <c r="D33" s="227">
        <f t="shared" si="1"/>
        <v>3.8666666666666663</v>
      </c>
      <c r="E33" s="232">
        <f t="shared" ref="E33:E64" si="2">ROUND(1-IF(A33&lt;J$3,0,IF(A33&lt;J$4,G$3*(A33-J$3)^2,G$2+G$4*(A33-J$4)+(A33&gt;J$5)*G$5*(A33-J$5)^2)),4)</f>
        <v>1</v>
      </c>
      <c r="F33" s="501"/>
      <c r="G33" s="500">
        <v>3.9166666666666665</v>
      </c>
      <c r="H33" s="501"/>
      <c r="I33" s="220">
        <v>27</v>
      </c>
    </row>
    <row r="34" spans="1:19">
      <c r="A34" s="220">
        <v>28</v>
      </c>
      <c r="D34" s="227">
        <f t="shared" si="1"/>
        <v>3.8666666666666663</v>
      </c>
      <c r="E34" s="232">
        <f t="shared" si="2"/>
        <v>1</v>
      </c>
      <c r="F34" s="501"/>
      <c r="G34" s="500">
        <v>3.9166666666666665</v>
      </c>
      <c r="H34" s="501"/>
      <c r="I34" s="220">
        <v>28</v>
      </c>
    </row>
    <row r="35" spans="1:19">
      <c r="A35" s="220">
        <v>29</v>
      </c>
      <c r="D35" s="227">
        <f t="shared" si="1"/>
        <v>3.8666666666666663</v>
      </c>
      <c r="E35" s="232">
        <f t="shared" si="2"/>
        <v>1</v>
      </c>
      <c r="F35" s="501"/>
      <c r="G35" s="500">
        <v>3.9169240645337648</v>
      </c>
      <c r="H35" s="501"/>
      <c r="I35" s="220">
        <v>29</v>
      </c>
    </row>
    <row r="36" spans="1:19">
      <c r="A36" s="220">
        <v>30</v>
      </c>
      <c r="B36" s="496" t="s">
        <v>2062</v>
      </c>
      <c r="C36" s="227">
        <f>B36*1440</f>
        <v>3.8666666666666663</v>
      </c>
      <c r="D36" s="227">
        <f t="shared" si="1"/>
        <v>3.8666666666666663</v>
      </c>
      <c r="E36" s="232">
        <f t="shared" si="2"/>
        <v>1</v>
      </c>
      <c r="F36" s="501"/>
      <c r="G36" s="500">
        <v>3.9198221234760644</v>
      </c>
      <c r="H36" s="501">
        <f>100*+D36/+C36</f>
        <v>100</v>
      </c>
      <c r="I36" s="220">
        <v>30</v>
      </c>
      <c r="J36" s="482" t="s">
        <v>1956</v>
      </c>
      <c r="K36" s="485" t="s">
        <v>1957</v>
      </c>
      <c r="L36" s="485" t="s">
        <v>1958</v>
      </c>
      <c r="M36" s="486" t="s">
        <v>1959</v>
      </c>
      <c r="N36" s="486">
        <v>34480</v>
      </c>
      <c r="O36" s="487" t="s">
        <v>1960</v>
      </c>
      <c r="P36" s="487" t="s">
        <v>1961</v>
      </c>
      <c r="Q36" s="488">
        <v>45536</v>
      </c>
      <c r="R36" s="484"/>
      <c r="S36" s="484" t="s">
        <v>387</v>
      </c>
    </row>
    <row r="37" spans="1:19">
      <c r="A37" s="220">
        <v>31</v>
      </c>
      <c r="D37" s="227">
        <f t="shared" si="1"/>
        <v>3.8682139522475651</v>
      </c>
      <c r="E37" s="232">
        <f t="shared" si="2"/>
        <v>0.99960000000000004</v>
      </c>
      <c r="F37" s="501"/>
      <c r="G37" s="500">
        <v>3.9259543529645371</v>
      </c>
      <c r="H37" s="501"/>
      <c r="I37" s="220">
        <v>31</v>
      </c>
    </row>
    <row r="38" spans="1:19">
      <c r="A38" s="220">
        <v>32</v>
      </c>
      <c r="D38" s="227">
        <f t="shared" si="1"/>
        <v>3.8724753797362705</v>
      </c>
      <c r="E38" s="232">
        <f t="shared" si="2"/>
        <v>0.99850000000000005</v>
      </c>
      <c r="F38" s="501"/>
      <c r="G38" s="500">
        <v>3.9353511517421165</v>
      </c>
      <c r="H38" s="501"/>
      <c r="I38" s="220">
        <v>32</v>
      </c>
    </row>
    <row r="39" spans="1:19">
      <c r="A39" s="220">
        <v>33</v>
      </c>
      <c r="D39" s="227">
        <f t="shared" si="1"/>
        <v>3.8798581844939455</v>
      </c>
      <c r="E39" s="232">
        <f t="shared" si="2"/>
        <v>0.99660000000000004</v>
      </c>
      <c r="F39" s="501"/>
      <c r="G39" s="500">
        <v>3.9480593788130571</v>
      </c>
      <c r="H39" s="501"/>
      <c r="I39" s="220">
        <v>33</v>
      </c>
    </row>
    <row r="40" spans="1:19">
      <c r="A40" s="220">
        <v>34</v>
      </c>
      <c r="D40" s="227">
        <f t="shared" si="1"/>
        <v>3.8900067069081148</v>
      </c>
      <c r="E40" s="232">
        <f t="shared" si="2"/>
        <v>0.99399999999999999</v>
      </c>
      <c r="F40" s="501"/>
      <c r="G40" s="500">
        <v>3.9641429414518981</v>
      </c>
      <c r="H40" s="501"/>
      <c r="I40" s="220">
        <v>34</v>
      </c>
    </row>
    <row r="41" spans="1:19">
      <c r="A41" s="220">
        <v>35</v>
      </c>
      <c r="D41" s="227">
        <f t="shared" si="1"/>
        <v>3.9033582340668951</v>
      </c>
      <c r="E41" s="232">
        <f t="shared" si="2"/>
        <v>0.99060000000000004</v>
      </c>
      <c r="F41" s="501"/>
      <c r="G41" s="500">
        <v>3.9836836068876798</v>
      </c>
      <c r="H41" s="501"/>
      <c r="I41" s="220">
        <v>35</v>
      </c>
    </row>
    <row r="42" spans="1:19">
      <c r="A42" s="220">
        <v>36</v>
      </c>
      <c r="D42" s="227">
        <f t="shared" si="1"/>
        <v>3.9199783725331163</v>
      </c>
      <c r="E42" s="232">
        <f t="shared" si="2"/>
        <v>0.98640000000000005</v>
      </c>
      <c r="F42" s="501"/>
      <c r="G42" s="500">
        <v>4.0067820571184436</v>
      </c>
      <c r="H42" s="501"/>
      <c r="I42" s="220">
        <v>36</v>
      </c>
    </row>
    <row r="43" spans="1:19">
      <c r="A43" s="220">
        <v>37</v>
      </c>
      <c r="D43" s="227">
        <f t="shared" si="1"/>
        <v>3.9395483104092368</v>
      </c>
      <c r="E43" s="232">
        <f t="shared" si="2"/>
        <v>0.98150000000000004</v>
      </c>
      <c r="F43" s="501"/>
      <c r="G43" s="500">
        <v>4.0335592126492417</v>
      </c>
      <c r="H43" s="501"/>
      <c r="I43" s="220">
        <v>37</v>
      </c>
    </row>
    <row r="44" spans="1:19">
      <c r="A44" s="220">
        <v>38</v>
      </c>
      <c r="D44" s="227">
        <f t="shared" si="1"/>
        <v>3.962560634009701</v>
      </c>
      <c r="E44" s="232">
        <f t="shared" si="2"/>
        <v>0.9758</v>
      </c>
      <c r="F44" s="501"/>
      <c r="G44" s="500">
        <v>4.0624265305840215</v>
      </c>
      <c r="H44" s="501"/>
      <c r="I44" s="220">
        <v>38</v>
      </c>
    </row>
    <row r="45" spans="1:19">
      <c r="A45" s="220">
        <v>39</v>
      </c>
      <c r="D45" s="227">
        <f t="shared" si="1"/>
        <v>3.988721545973454</v>
      </c>
      <c r="E45" s="232">
        <f t="shared" si="2"/>
        <v>0.96940000000000004</v>
      </c>
      <c r="F45" s="501"/>
      <c r="G45" s="500">
        <v>4.0917100213813615</v>
      </c>
      <c r="H45" s="501"/>
      <c r="I45" s="220">
        <v>39</v>
      </c>
    </row>
    <row r="46" spans="1:19">
      <c r="A46" s="220">
        <v>40</v>
      </c>
      <c r="B46" s="262">
        <v>3.1365740740740742E-3</v>
      </c>
      <c r="C46" s="227">
        <f t="shared" ref="C46:C88" si="3">B46*1440</f>
        <v>4.5166666666666666</v>
      </c>
      <c r="D46" s="227">
        <f t="shared" si="1"/>
        <v>4.0181509577747754</v>
      </c>
      <c r="E46" s="232">
        <f t="shared" si="2"/>
        <v>0.96230000000000004</v>
      </c>
      <c r="F46" s="502">
        <v>4.5166666666666666</v>
      </c>
      <c r="G46" s="500">
        <v>4.121418750175379</v>
      </c>
      <c r="H46" s="501">
        <f>100*+D46/+C46</f>
        <v>88.962751832651861</v>
      </c>
      <c r="I46" s="220">
        <v>40</v>
      </c>
      <c r="J46" s="489" t="s">
        <v>1962</v>
      </c>
      <c r="K46" s="475" t="s">
        <v>1963</v>
      </c>
      <c r="L46" s="475" t="s">
        <v>1964</v>
      </c>
      <c r="M46" s="157" t="s">
        <v>155</v>
      </c>
      <c r="N46" s="157"/>
      <c r="O46" s="475" t="s">
        <v>1965</v>
      </c>
      <c r="P46" s="475" t="s">
        <v>1966</v>
      </c>
      <c r="Q46" s="497">
        <v>41495</v>
      </c>
      <c r="R46" s="220"/>
      <c r="S46" s="220"/>
    </row>
    <row r="47" spans="1:19">
      <c r="A47" s="220">
        <v>41</v>
      </c>
      <c r="B47" s="262">
        <v>3.1018518518518517E-3</v>
      </c>
      <c r="C47" s="227">
        <f t="shared" si="3"/>
        <v>4.4666666666666668</v>
      </c>
      <c r="D47" s="227">
        <f t="shared" si="1"/>
        <v>4.0514110086616366</v>
      </c>
      <c r="E47" s="232">
        <f t="shared" si="2"/>
        <v>0.95440000000000003</v>
      </c>
      <c r="F47" s="502">
        <v>4.4666666666666668</v>
      </c>
      <c r="G47" s="500">
        <v>4.1515620473030745</v>
      </c>
      <c r="H47" s="501">
        <f t="shared" ref="H47:H102" si="4">100*+D47/+C47</f>
        <v>90.703231537200807</v>
      </c>
      <c r="I47" s="220">
        <v>41</v>
      </c>
      <c r="J47" s="489" t="s">
        <v>1967</v>
      </c>
      <c r="K47" s="475" t="s">
        <v>1968</v>
      </c>
      <c r="L47" s="475" t="s">
        <v>1969</v>
      </c>
      <c r="M47" s="157" t="s">
        <v>155</v>
      </c>
      <c r="N47" s="157"/>
      <c r="O47" s="475" t="s">
        <v>1970</v>
      </c>
      <c r="P47" s="475" t="s">
        <v>1971</v>
      </c>
      <c r="Q47" s="497">
        <v>42502</v>
      </c>
      <c r="R47" s="220"/>
      <c r="S47" s="220"/>
    </row>
    <row r="48" spans="1:19" ht="15.75" customHeight="1">
      <c r="A48" s="220">
        <v>42</v>
      </c>
      <c r="B48" s="262">
        <v>3.0671296296296297E-3</v>
      </c>
      <c r="C48" s="227">
        <f t="shared" si="3"/>
        <v>4.416666666666667</v>
      </c>
      <c r="D48" s="227">
        <f t="shared" si="1"/>
        <v>4.0856579318117774</v>
      </c>
      <c r="E48" s="232">
        <f t="shared" si="2"/>
        <v>0.94640000000000002</v>
      </c>
      <c r="F48" s="502">
        <v>4.5166666666666666</v>
      </c>
      <c r="G48" s="500">
        <v>4.182149518074004</v>
      </c>
      <c r="H48" s="501">
        <f t="shared" si="4"/>
        <v>92.505462607059101</v>
      </c>
      <c r="I48" s="220">
        <v>42</v>
      </c>
      <c r="J48" s="490">
        <v>0.18402777777777779</v>
      </c>
      <c r="K48" s="1" t="s">
        <v>1972</v>
      </c>
      <c r="L48" s="1" t="s">
        <v>1973</v>
      </c>
      <c r="M48" s="157" t="s">
        <v>155</v>
      </c>
      <c r="N48" s="157"/>
      <c r="O48" s="475" t="s">
        <v>1965</v>
      </c>
      <c r="P48" s="1" t="s">
        <v>1974</v>
      </c>
      <c r="Q48" s="499">
        <v>45101</v>
      </c>
      <c r="R48" s="220"/>
      <c r="S48" s="220"/>
    </row>
    <row r="49" spans="1:19">
      <c r="A49" s="220">
        <v>43</v>
      </c>
      <c r="B49" s="262">
        <v>3.0324074074074073E-3</v>
      </c>
      <c r="C49" s="227">
        <f t="shared" si="3"/>
        <v>4.3666666666666663</v>
      </c>
      <c r="D49" s="227">
        <f t="shared" si="1"/>
        <v>4.1204887752202328</v>
      </c>
      <c r="E49" s="232">
        <f t="shared" si="2"/>
        <v>0.93840000000000001</v>
      </c>
      <c r="F49" s="502">
        <v>4.3666666666666663</v>
      </c>
      <c r="G49" s="500">
        <v>4.2131910529750503</v>
      </c>
      <c r="H49" s="501">
        <f t="shared" si="4"/>
        <v>94.362338363822133</v>
      </c>
      <c r="I49" s="220">
        <v>43</v>
      </c>
      <c r="J49" s="489" t="s">
        <v>1975</v>
      </c>
      <c r="K49" s="475" t="s">
        <v>1976</v>
      </c>
      <c r="L49" s="475" t="s">
        <v>1977</v>
      </c>
      <c r="M49" s="157" t="s">
        <v>155</v>
      </c>
      <c r="N49" s="157"/>
      <c r="O49" s="475" t="s">
        <v>1978</v>
      </c>
      <c r="P49" s="475" t="s">
        <v>1979</v>
      </c>
      <c r="Q49" s="497">
        <v>43226</v>
      </c>
      <c r="R49" s="220"/>
      <c r="S49" s="220"/>
    </row>
    <row r="50" spans="1:19">
      <c r="A50" s="220">
        <v>44</v>
      </c>
      <c r="B50" s="262">
        <v>3.1018518518518517E-3</v>
      </c>
      <c r="C50" s="227">
        <f t="shared" si="3"/>
        <v>4.4666666666666668</v>
      </c>
      <c r="D50" s="227">
        <f t="shared" si="1"/>
        <v>4.1559186013184286</v>
      </c>
      <c r="E50" s="232">
        <f t="shared" si="2"/>
        <v>0.9304</v>
      </c>
      <c r="F50" s="502">
        <v>4.4666666666666668</v>
      </c>
      <c r="G50" s="500">
        <v>4.2446968383330441</v>
      </c>
      <c r="H50" s="501">
        <f t="shared" si="4"/>
        <v>93.042953760860343</v>
      </c>
      <c r="I50" s="220">
        <v>44</v>
      </c>
      <c r="J50" s="489" t="s">
        <v>1967</v>
      </c>
      <c r="K50" s="475" t="s">
        <v>1980</v>
      </c>
      <c r="L50" s="475" t="s">
        <v>1981</v>
      </c>
      <c r="M50" s="157" t="s">
        <v>155</v>
      </c>
      <c r="N50" s="157"/>
      <c r="O50" s="475" t="s">
        <v>1965</v>
      </c>
      <c r="P50" s="475" t="s">
        <v>1966</v>
      </c>
      <c r="Q50" s="497">
        <v>41495</v>
      </c>
      <c r="R50" s="220"/>
      <c r="S50" s="220"/>
    </row>
    <row r="51" spans="1:19" ht="16.5" customHeight="1">
      <c r="A51" s="220">
        <v>45</v>
      </c>
      <c r="B51" s="262">
        <v>3.0555555555555557E-3</v>
      </c>
      <c r="C51" s="227">
        <f t="shared" si="3"/>
        <v>4.4000000000000004</v>
      </c>
      <c r="D51" s="227">
        <f t="shared" si="1"/>
        <v>4.1919629950852846</v>
      </c>
      <c r="E51" s="232">
        <f t="shared" si="2"/>
        <v>0.9224</v>
      </c>
      <c r="F51" s="502">
        <v>4.4000000000000004</v>
      </c>
      <c r="G51" s="500">
        <v>4.2766773674593992</v>
      </c>
      <c r="H51" s="501">
        <f t="shared" si="4"/>
        <v>95.271886251938284</v>
      </c>
      <c r="I51" s="220">
        <v>45</v>
      </c>
      <c r="J51" s="489" t="s">
        <v>1982</v>
      </c>
      <c r="K51" s="475" t="s">
        <v>1466</v>
      </c>
      <c r="L51" s="475" t="s">
        <v>1467</v>
      </c>
      <c r="M51" s="157" t="s">
        <v>155</v>
      </c>
      <c r="N51" s="157"/>
      <c r="O51" s="475" t="s">
        <v>1983</v>
      </c>
      <c r="P51" s="475" t="s">
        <v>1984</v>
      </c>
      <c r="Q51" s="497">
        <v>42972</v>
      </c>
      <c r="R51" s="220"/>
      <c r="S51" s="220"/>
    </row>
    <row r="52" spans="1:19">
      <c r="A52" s="220">
        <v>46</v>
      </c>
      <c r="B52" s="262">
        <v>3.2060185185185186E-3</v>
      </c>
      <c r="C52" s="227">
        <f t="shared" si="3"/>
        <v>4.6166666666666671</v>
      </c>
      <c r="D52" s="227">
        <f t="shared" si="1"/>
        <v>4.2286380869058027</v>
      </c>
      <c r="E52" s="232">
        <f t="shared" si="2"/>
        <v>0.91439999999999999</v>
      </c>
      <c r="F52" s="502">
        <v>4.4333333333333336</v>
      </c>
      <c r="G52" s="500">
        <v>4.309143452302366</v>
      </c>
      <c r="H52" s="501">
        <f t="shared" si="4"/>
        <v>91.595048813844087</v>
      </c>
      <c r="I52" s="220">
        <v>46</v>
      </c>
      <c r="J52" s="490">
        <v>0.19236111111111112</v>
      </c>
      <c r="K52" s="1" t="s">
        <v>1452</v>
      </c>
      <c r="L52" s="1" t="s">
        <v>1985</v>
      </c>
      <c r="M52" s="157" t="s">
        <v>155</v>
      </c>
      <c r="N52" s="157"/>
      <c r="O52" s="1" t="s">
        <v>1965</v>
      </c>
      <c r="P52" s="1" t="s">
        <v>1984</v>
      </c>
      <c r="Q52" s="499">
        <v>43700</v>
      </c>
      <c r="R52" s="220"/>
      <c r="S52" s="220"/>
    </row>
    <row r="53" spans="1:19">
      <c r="A53" s="220">
        <v>47</v>
      </c>
      <c r="B53" s="262">
        <v>3.2638888888888891E-3</v>
      </c>
      <c r="C53" s="227">
        <f t="shared" si="3"/>
        <v>4.7</v>
      </c>
      <c r="D53" s="227">
        <f t="shared" si="1"/>
        <v>4.2659605766401878</v>
      </c>
      <c r="E53" s="232">
        <f t="shared" si="2"/>
        <v>0.90639999999999998</v>
      </c>
      <c r="F53" s="502">
        <v>4.7</v>
      </c>
      <c r="G53" s="500">
        <v>4.3421062356340947</v>
      </c>
      <c r="H53" s="501">
        <f t="shared" si="4"/>
        <v>90.765118651918883</v>
      </c>
      <c r="I53" s="220">
        <v>47</v>
      </c>
      <c r="J53" s="489" t="s">
        <v>1986</v>
      </c>
      <c r="K53" s="475" t="s">
        <v>1507</v>
      </c>
      <c r="L53" s="475" t="s">
        <v>1987</v>
      </c>
      <c r="M53" s="157" t="s">
        <v>155</v>
      </c>
      <c r="N53" s="157"/>
      <c r="O53" s="475" t="s">
        <v>1965</v>
      </c>
      <c r="P53" s="475" t="s">
        <v>1984</v>
      </c>
      <c r="Q53" s="497">
        <v>42237</v>
      </c>
      <c r="R53" s="220"/>
      <c r="S53" s="220"/>
    </row>
    <row r="54" spans="1:19">
      <c r="A54" s="220">
        <v>48</v>
      </c>
      <c r="B54" s="262">
        <v>3.1250000000000002E-3</v>
      </c>
      <c r="C54" s="227">
        <f t="shared" si="3"/>
        <v>4.5</v>
      </c>
      <c r="D54" s="227">
        <f t="shared" si="1"/>
        <v>4.303947758978925</v>
      </c>
      <c r="E54" s="232">
        <f t="shared" si="2"/>
        <v>0.89839999999999998</v>
      </c>
      <c r="F54" s="502">
        <v>4.5</v>
      </c>
      <c r="G54" s="500">
        <v>4.3755772038013525</v>
      </c>
      <c r="H54" s="501">
        <f t="shared" si="4"/>
        <v>95.643283532864999</v>
      </c>
      <c r="I54" s="220">
        <v>48</v>
      </c>
      <c r="J54" s="489" t="s">
        <v>1988</v>
      </c>
      <c r="K54" s="475" t="s">
        <v>1989</v>
      </c>
      <c r="L54" s="475" t="s">
        <v>1990</v>
      </c>
      <c r="M54" s="157" t="s">
        <v>155</v>
      </c>
      <c r="N54" s="157"/>
      <c r="O54" s="475" t="s">
        <v>1965</v>
      </c>
      <c r="P54" s="475" t="s">
        <v>1984</v>
      </c>
      <c r="Q54" s="497">
        <v>42237</v>
      </c>
      <c r="R54" s="220"/>
      <c r="S54" s="220"/>
    </row>
    <row r="55" spans="1:19">
      <c r="A55" s="220">
        <v>49</v>
      </c>
      <c r="B55" s="262">
        <v>3.2175925925925926E-3</v>
      </c>
      <c r="C55" s="227">
        <f t="shared" si="3"/>
        <v>4.6333333333333337</v>
      </c>
      <c r="D55" s="227">
        <f t="shared" si="1"/>
        <v>4.3426175501647197</v>
      </c>
      <c r="E55" s="232">
        <f t="shared" si="2"/>
        <v>0.89039999999999997</v>
      </c>
      <c r="F55" s="502">
        <v>4.6333333333333337</v>
      </c>
      <c r="G55" s="500">
        <v>4.4095682000705532</v>
      </c>
      <c r="H55" s="501">
        <f t="shared" si="4"/>
        <v>93.725558636648614</v>
      </c>
      <c r="I55" s="220">
        <v>49</v>
      </c>
      <c r="J55" s="489" t="s">
        <v>1991</v>
      </c>
      <c r="K55" s="475" t="s">
        <v>1992</v>
      </c>
      <c r="L55" s="475" t="s">
        <v>1993</v>
      </c>
      <c r="M55" s="157" t="s">
        <v>155</v>
      </c>
      <c r="N55" s="157"/>
      <c r="O55" s="475" t="s">
        <v>1965</v>
      </c>
      <c r="P55" s="475" t="s">
        <v>1984</v>
      </c>
      <c r="Q55" s="497">
        <v>41873</v>
      </c>
      <c r="R55" s="220"/>
      <c r="S55" s="220"/>
    </row>
    <row r="56" spans="1:19" ht="16.5" customHeight="1">
      <c r="A56" s="220">
        <v>50</v>
      </c>
      <c r="B56" s="262">
        <v>3.2175925925925926E-3</v>
      </c>
      <c r="C56" s="227">
        <f t="shared" si="3"/>
        <v>4.6333333333333337</v>
      </c>
      <c r="D56" s="227">
        <f t="shared" si="1"/>
        <v>4.3819885161680263</v>
      </c>
      <c r="E56" s="232">
        <f t="shared" si="2"/>
        <v>0.88239999999999996</v>
      </c>
      <c r="F56" s="502">
        <v>4.666666666666667</v>
      </c>
      <c r="G56" s="500">
        <v>4.4440914385996759</v>
      </c>
      <c r="H56" s="501">
        <f t="shared" si="4"/>
        <v>94.575291715856679</v>
      </c>
      <c r="I56" s="220">
        <v>50</v>
      </c>
      <c r="J56" s="490">
        <v>0.19305555555555554</v>
      </c>
      <c r="K56" s="491" t="s">
        <v>1452</v>
      </c>
      <c r="L56" s="491" t="s">
        <v>2014</v>
      </c>
      <c r="M56" s="157" t="s">
        <v>155</v>
      </c>
      <c r="N56" s="157"/>
      <c r="O56" s="492" t="s">
        <v>2015</v>
      </c>
      <c r="P56" s="150" t="s">
        <v>1974</v>
      </c>
      <c r="Q56" s="498">
        <v>45101</v>
      </c>
      <c r="R56" s="220"/>
      <c r="S56" s="220"/>
    </row>
    <row r="57" spans="1:19">
      <c r="A57" s="220">
        <v>51</v>
      </c>
      <c r="B57" s="262">
        <v>3.2870370370370371E-3</v>
      </c>
      <c r="C57" s="227">
        <f t="shared" si="3"/>
        <v>4.7333333333333334</v>
      </c>
      <c r="D57" s="227">
        <f t="shared" si="1"/>
        <v>4.422079902409271</v>
      </c>
      <c r="E57" s="232">
        <f t="shared" si="2"/>
        <v>0.87439999999999996</v>
      </c>
      <c r="F57" s="502">
        <v>4.7666666666666666</v>
      </c>
      <c r="G57" s="500">
        <v>4.4791595190716897</v>
      </c>
      <c r="H57" s="501">
        <f t="shared" si="4"/>
        <v>93.424223290336698</v>
      </c>
      <c r="I57" s="220">
        <v>51</v>
      </c>
      <c r="J57" s="490">
        <v>0.19722222222222222</v>
      </c>
      <c r="K57" s="491" t="s">
        <v>1452</v>
      </c>
      <c r="L57" s="491" t="s">
        <v>2014</v>
      </c>
      <c r="M57" s="157" t="s">
        <v>155</v>
      </c>
      <c r="N57" s="157"/>
      <c r="O57" s="492" t="s">
        <v>2015</v>
      </c>
      <c r="P57" s="475" t="s">
        <v>1979</v>
      </c>
      <c r="Q57" s="497">
        <v>45431</v>
      </c>
      <c r="R57" s="220"/>
      <c r="S57" s="220"/>
    </row>
    <row r="58" spans="1:19">
      <c r="A58" s="220">
        <v>52</v>
      </c>
      <c r="B58" s="262">
        <v>3.3796296296296296E-3</v>
      </c>
      <c r="C58" s="227">
        <f t="shared" si="3"/>
        <v>4.8666666666666663</v>
      </c>
      <c r="D58" s="227">
        <f t="shared" si="1"/>
        <v>4.4629116651277316</v>
      </c>
      <c r="E58" s="232">
        <f t="shared" si="2"/>
        <v>0.86639999999999995</v>
      </c>
      <c r="F58" s="502">
        <v>4.9333333333333336</v>
      </c>
      <c r="G58" s="500">
        <v>4.5147854420263123</v>
      </c>
      <c r="H58" s="501">
        <f t="shared" si="4"/>
        <v>91.703664351939693</v>
      </c>
      <c r="I58" s="220">
        <v>52</v>
      </c>
      <c r="J58" s="490">
        <v>0.20277777777777778</v>
      </c>
      <c r="K58" s="1" t="s">
        <v>2016</v>
      </c>
      <c r="L58" s="1" t="s">
        <v>2017</v>
      </c>
      <c r="M58" s="157" t="s">
        <v>155</v>
      </c>
      <c r="N58" s="157"/>
      <c r="O58" s="1" t="s">
        <v>2018</v>
      </c>
      <c r="P58" s="1" t="s">
        <v>1966</v>
      </c>
      <c r="Q58" s="499">
        <v>44764</v>
      </c>
      <c r="R58" s="220"/>
      <c r="S58" s="220"/>
    </row>
    <row r="59" spans="1:19">
      <c r="A59" s="220">
        <v>53</v>
      </c>
      <c r="B59" s="262">
        <v>3.2638888888888891E-3</v>
      </c>
      <c r="C59" s="227">
        <f t="shared" si="3"/>
        <v>4.7</v>
      </c>
      <c r="D59" s="227">
        <f t="shared" si="1"/>
        <v>4.5045045045045038</v>
      </c>
      <c r="E59" s="232">
        <f t="shared" si="2"/>
        <v>0.85840000000000005</v>
      </c>
      <c r="F59" s="502">
        <v>4.7666666666666666</v>
      </c>
      <c r="G59" s="500">
        <v>4.5509826249293148</v>
      </c>
      <c r="H59" s="501">
        <f t="shared" si="4"/>
        <v>95.840521372436243</v>
      </c>
      <c r="I59" s="220">
        <v>53</v>
      </c>
      <c r="J59" s="490">
        <v>0.19583333333333333</v>
      </c>
      <c r="K59" s="475" t="s">
        <v>2019</v>
      </c>
      <c r="L59" s="475" t="s">
        <v>2020</v>
      </c>
      <c r="M59" s="157" t="s">
        <v>155</v>
      </c>
      <c r="N59" s="157"/>
      <c r="O59" s="475" t="s">
        <v>1978</v>
      </c>
      <c r="P59" s="475" t="s">
        <v>1979</v>
      </c>
      <c r="Q59" s="497">
        <v>45023</v>
      </c>
      <c r="R59" s="220"/>
      <c r="S59" s="220"/>
    </row>
    <row r="60" spans="1:19">
      <c r="A60" s="220">
        <v>54</v>
      </c>
      <c r="B60" s="262">
        <v>3.2870370370370371E-3</v>
      </c>
      <c r="C60" s="227">
        <f t="shared" si="3"/>
        <v>4.7333333333333334</v>
      </c>
      <c r="D60" s="227">
        <f t="shared" si="1"/>
        <v>4.5468798996550639</v>
      </c>
      <c r="E60" s="232">
        <f t="shared" si="2"/>
        <v>0.85040000000000004</v>
      </c>
      <c r="F60" s="502">
        <v>4.8333333333333321</v>
      </c>
      <c r="G60" s="500">
        <v>4.5877649190210681</v>
      </c>
      <c r="H60" s="501">
        <f t="shared" si="4"/>
        <v>96.060842950459104</v>
      </c>
      <c r="I60" s="220">
        <v>54</v>
      </c>
      <c r="J60" s="490">
        <v>0.19722222222222222</v>
      </c>
      <c r="K60" s="1" t="s">
        <v>1507</v>
      </c>
      <c r="L60" s="1" t="s">
        <v>1987</v>
      </c>
      <c r="M60" s="157" t="s">
        <v>155</v>
      </c>
      <c r="N60" s="157"/>
      <c r="O60" s="492" t="s">
        <v>2021</v>
      </c>
      <c r="P60" s="475" t="s">
        <v>1966</v>
      </c>
      <c r="Q60" s="497">
        <v>44764</v>
      </c>
      <c r="R60" s="220"/>
      <c r="S60" s="220"/>
    </row>
    <row r="61" spans="1:19" ht="14.25" customHeight="1">
      <c r="A61" s="220">
        <v>55</v>
      </c>
      <c r="B61" s="262">
        <v>3.3217592592592591E-3</v>
      </c>
      <c r="C61" s="227">
        <f t="shared" si="3"/>
        <v>4.7833333333333332</v>
      </c>
      <c r="D61" s="227">
        <f t="shared" si="1"/>
        <v>4.5900601456157002</v>
      </c>
      <c r="E61" s="232">
        <f t="shared" si="2"/>
        <v>0.84240000000000004</v>
      </c>
      <c r="F61" s="502">
        <v>4.8166666666666664</v>
      </c>
      <c r="G61" s="500">
        <v>4.6251466269888128</v>
      </c>
      <c r="H61" s="501">
        <f t="shared" si="4"/>
        <v>95.95944555294146</v>
      </c>
      <c r="I61" s="220">
        <v>55</v>
      </c>
      <c r="J61" s="490">
        <v>0.19930555555555554</v>
      </c>
      <c r="K61" s="491" t="s">
        <v>2022</v>
      </c>
      <c r="L61" s="491" t="s">
        <v>2023</v>
      </c>
      <c r="M61" s="157" t="s">
        <v>155</v>
      </c>
      <c r="N61" s="157"/>
      <c r="O61" s="492" t="s">
        <v>2015</v>
      </c>
      <c r="P61" s="150" t="s">
        <v>1974</v>
      </c>
      <c r="Q61" s="498">
        <v>45101</v>
      </c>
      <c r="R61" s="220"/>
      <c r="S61" s="220"/>
    </row>
    <row r="62" spans="1:19" ht="15" customHeight="1">
      <c r="A62" s="220">
        <v>56</v>
      </c>
      <c r="B62" s="262">
        <v>3.3564814814814816E-3</v>
      </c>
      <c r="C62" s="227">
        <f t="shared" si="3"/>
        <v>4.833333333333333</v>
      </c>
      <c r="D62" s="227">
        <f t="shared" si="1"/>
        <v>4.6340683924576531</v>
      </c>
      <c r="E62" s="232">
        <f t="shared" si="2"/>
        <v>0.83440000000000003</v>
      </c>
      <c r="F62" s="502">
        <v>4.8333333333333321</v>
      </c>
      <c r="G62" s="500">
        <v>4.6631425215099851</v>
      </c>
      <c r="H62" s="501">
        <f t="shared" si="4"/>
        <v>95.877277085330761</v>
      </c>
      <c r="I62" s="220">
        <v>56</v>
      </c>
      <c r="J62" s="489" t="s">
        <v>1994</v>
      </c>
      <c r="K62" s="475" t="s">
        <v>1910</v>
      </c>
      <c r="L62" s="475" t="s">
        <v>2024</v>
      </c>
      <c r="M62" s="157" t="s">
        <v>155</v>
      </c>
      <c r="N62" s="157"/>
      <c r="O62" s="475" t="s">
        <v>2025</v>
      </c>
      <c r="P62" s="475" t="s">
        <v>1966</v>
      </c>
      <c r="Q62" s="497">
        <v>41495</v>
      </c>
      <c r="R62" s="220"/>
      <c r="S62" s="220"/>
    </row>
    <row r="63" spans="1:19">
      <c r="A63" s="220">
        <v>57</v>
      </c>
      <c r="B63" s="262">
        <v>3.425925925925926E-3</v>
      </c>
      <c r="C63" s="227">
        <f t="shared" si="3"/>
        <v>4.9333333333333336</v>
      </c>
      <c r="D63" s="227">
        <f t="shared" si="1"/>
        <v>4.6789286866731201</v>
      </c>
      <c r="E63" s="232">
        <f t="shared" si="2"/>
        <v>0.82640000000000002</v>
      </c>
      <c r="F63" s="502">
        <v>4.9333333333333336</v>
      </c>
      <c r="G63" s="500">
        <v>4.7017678647171337</v>
      </c>
      <c r="H63" s="501">
        <f t="shared" si="4"/>
        <v>94.843149054184863</v>
      </c>
      <c r="I63" s="220">
        <v>57</v>
      </c>
      <c r="J63" s="489" t="s">
        <v>1995</v>
      </c>
      <c r="K63" s="475" t="s">
        <v>2026</v>
      </c>
      <c r="L63" s="475" t="s">
        <v>2027</v>
      </c>
      <c r="M63" s="157" t="s">
        <v>155</v>
      </c>
      <c r="N63" s="157"/>
      <c r="O63" s="475" t="s">
        <v>1965</v>
      </c>
      <c r="P63" s="475" t="s">
        <v>1984</v>
      </c>
      <c r="Q63" s="497">
        <v>43700</v>
      </c>
      <c r="R63" s="220"/>
      <c r="S63" s="220"/>
    </row>
    <row r="64" spans="1:19">
      <c r="A64" s="220">
        <v>58</v>
      </c>
      <c r="B64" s="262">
        <v>3.4837962962962965E-3</v>
      </c>
      <c r="C64" s="227">
        <f t="shared" si="3"/>
        <v>5.0166666666666666</v>
      </c>
      <c r="D64" s="227">
        <f t="shared" si="1"/>
        <v>4.7246660149885953</v>
      </c>
      <c r="E64" s="232">
        <f t="shared" si="2"/>
        <v>0.81840000000000002</v>
      </c>
      <c r="F64" s="502">
        <v>5.0166666666666666</v>
      </c>
      <c r="G64" s="500">
        <v>4.7410384286382934</v>
      </c>
      <c r="H64" s="501">
        <f t="shared" si="4"/>
        <v>94.179389003094926</v>
      </c>
      <c r="I64" s="220">
        <v>58</v>
      </c>
      <c r="J64" s="489" t="s">
        <v>1996</v>
      </c>
      <c r="K64" s="475" t="s">
        <v>2028</v>
      </c>
      <c r="L64" s="475" t="s">
        <v>2029</v>
      </c>
      <c r="M64" s="157" t="s">
        <v>155</v>
      </c>
      <c r="N64" s="157"/>
      <c r="O64" s="475" t="s">
        <v>2018</v>
      </c>
      <c r="P64" s="475" t="s">
        <v>1966</v>
      </c>
      <c r="Q64" s="497">
        <v>43301</v>
      </c>
      <c r="R64" s="220"/>
      <c r="S64" s="220"/>
    </row>
    <row r="65" spans="1:19">
      <c r="A65" s="220">
        <v>59</v>
      </c>
      <c r="B65" s="262">
        <v>3.5300925925925925E-3</v>
      </c>
      <c r="C65" s="227">
        <f t="shared" si="3"/>
        <v>5.083333333333333</v>
      </c>
      <c r="D65" s="227">
        <f t="shared" si="1"/>
        <v>4.7713063507732798</v>
      </c>
      <c r="E65" s="232">
        <f t="shared" ref="E65:E96" si="5">ROUND(1-IF(A65&lt;J$3,0,IF(A65&lt;J$4,G$3*(A65-J$3)^2,G$2+G$4*(A65-J$4)+(A65&gt;J$5)*G$5*(A65-J$5)^2)),4)</f>
        <v>0.81040000000000001</v>
      </c>
      <c r="F65" s="502">
        <v>5.083333333333333</v>
      </c>
      <c r="G65" s="500">
        <v>4.7809705166703278</v>
      </c>
      <c r="H65" s="501">
        <f t="shared" si="4"/>
        <v>93.861764277507149</v>
      </c>
      <c r="I65" s="220">
        <v>59</v>
      </c>
      <c r="J65" s="489" t="s">
        <v>1997</v>
      </c>
      <c r="K65" s="475" t="s">
        <v>2028</v>
      </c>
      <c r="L65" s="475" t="s">
        <v>2029</v>
      </c>
      <c r="M65" s="157" t="s">
        <v>155</v>
      </c>
      <c r="N65" s="157"/>
      <c r="O65" s="475" t="s">
        <v>2018</v>
      </c>
      <c r="P65" s="475" t="s">
        <v>1966</v>
      </c>
      <c r="Q65" s="497">
        <v>43686</v>
      </c>
      <c r="R65" s="220"/>
      <c r="S65" s="220"/>
    </row>
    <row r="66" spans="1:19">
      <c r="A66" s="220">
        <v>60</v>
      </c>
      <c r="B66" s="262">
        <v>3.3449074074074076E-3</v>
      </c>
      <c r="C66" s="227">
        <f t="shared" si="3"/>
        <v>4.8166666666666664</v>
      </c>
      <c r="D66" s="227">
        <f t="shared" si="1"/>
        <v>4.8188767032236619</v>
      </c>
      <c r="E66" s="232">
        <f t="shared" si="5"/>
        <v>0.8024</v>
      </c>
      <c r="F66" s="502">
        <v>5.05</v>
      </c>
      <c r="G66" s="500">
        <v>4.8215809861466745</v>
      </c>
      <c r="H66" s="501">
        <f t="shared" si="4"/>
        <v>100.04588311190994</v>
      </c>
      <c r="I66" s="220">
        <v>60</v>
      </c>
      <c r="J66" s="490">
        <v>0.20069444444444443</v>
      </c>
      <c r="K66" s="475" t="s">
        <v>2026</v>
      </c>
      <c r="L66" s="475" t="s">
        <v>2027</v>
      </c>
      <c r="M66" s="157" t="s">
        <v>155</v>
      </c>
      <c r="N66" s="157"/>
      <c r="O66" s="493" t="s">
        <v>2030</v>
      </c>
      <c r="P66" s="493" t="s">
        <v>2031</v>
      </c>
      <c r="Q66" s="497">
        <v>44758</v>
      </c>
      <c r="R66" s="220"/>
      <c r="S66" s="220"/>
    </row>
    <row r="67" spans="1:19">
      <c r="A67" s="220">
        <v>61</v>
      </c>
      <c r="B67" s="262">
        <v>3.6226851851851854E-3</v>
      </c>
      <c r="C67" s="227">
        <f t="shared" si="3"/>
        <v>5.2166666666666668</v>
      </c>
      <c r="D67" s="227">
        <f t="shared" si="1"/>
        <v>4.8674051695199729</v>
      </c>
      <c r="E67" s="232">
        <f t="shared" si="5"/>
        <v>0.7944</v>
      </c>
      <c r="F67" s="502">
        <v>5.2166666666666668</v>
      </c>
      <c r="G67" s="500">
        <v>4.862887272065092</v>
      </c>
      <c r="H67" s="501">
        <f t="shared" si="4"/>
        <v>93.304891428497882</v>
      </c>
      <c r="I67" s="220">
        <v>61</v>
      </c>
      <c r="J67" s="489" t="s">
        <v>1998</v>
      </c>
      <c r="K67" s="475" t="s">
        <v>2028</v>
      </c>
      <c r="L67" s="475" t="s">
        <v>2032</v>
      </c>
      <c r="M67" s="157" t="s">
        <v>155</v>
      </c>
      <c r="N67" s="157"/>
      <c r="O67" s="475" t="s">
        <v>1965</v>
      </c>
      <c r="P67" s="475" t="s">
        <v>1984</v>
      </c>
      <c r="Q67" s="497">
        <v>43700</v>
      </c>
      <c r="R67" s="220"/>
      <c r="S67" s="220"/>
    </row>
    <row r="68" spans="1:19">
      <c r="A68" s="220">
        <v>62</v>
      </c>
      <c r="B68" s="262">
        <v>3.472222222222222E-3</v>
      </c>
      <c r="C68" s="227">
        <f t="shared" si="3"/>
        <v>5</v>
      </c>
      <c r="D68" s="227">
        <f t="shared" si="1"/>
        <v>4.9169209901661572</v>
      </c>
      <c r="E68" s="232">
        <f t="shared" si="5"/>
        <v>0.78639999999999999</v>
      </c>
      <c r="F68" s="502">
        <v>5.333333333333333</v>
      </c>
      <c r="G68" s="500">
        <v>4.9049074120456178</v>
      </c>
      <c r="H68" s="501">
        <f t="shared" si="4"/>
        <v>98.338419803323148</v>
      </c>
      <c r="I68" s="220">
        <v>62</v>
      </c>
      <c r="J68" s="490">
        <v>0.20833333333333334</v>
      </c>
      <c r="K68" s="475" t="s">
        <v>1405</v>
      </c>
      <c r="L68" s="475" t="s">
        <v>2033</v>
      </c>
      <c r="M68" s="157" t="s">
        <v>155</v>
      </c>
      <c r="N68" s="157"/>
      <c r="O68" s="475" t="s">
        <v>2034</v>
      </c>
      <c r="P68" s="475" t="s">
        <v>2035</v>
      </c>
      <c r="Q68" s="497">
        <v>44388</v>
      </c>
      <c r="R68" s="220"/>
      <c r="S68" s="220"/>
    </row>
    <row r="69" spans="1:19">
      <c r="A69" s="220">
        <v>63</v>
      </c>
      <c r="B69" s="262">
        <v>3.5416666666666665E-3</v>
      </c>
      <c r="C69" s="227">
        <f t="shared" si="3"/>
        <v>5.0999999999999996</v>
      </c>
      <c r="D69" s="227">
        <f t="shared" si="1"/>
        <v>4.9674546077423773</v>
      </c>
      <c r="E69" s="232">
        <f t="shared" si="5"/>
        <v>0.77839999999999998</v>
      </c>
      <c r="F69" s="502">
        <v>5.4333333333333336</v>
      </c>
      <c r="G69" s="500">
        <v>4.9476600725937532</v>
      </c>
      <c r="H69" s="501">
        <f t="shared" si="4"/>
        <v>97.40107074004662</v>
      </c>
      <c r="I69" s="220">
        <v>63</v>
      </c>
      <c r="J69" s="490">
        <v>0.21249999999999999</v>
      </c>
      <c r="K69" s="1" t="s">
        <v>2028</v>
      </c>
      <c r="L69" s="1" t="s">
        <v>2029</v>
      </c>
      <c r="M69" s="157" t="s">
        <v>155</v>
      </c>
      <c r="N69" s="157"/>
      <c r="O69" s="1" t="s">
        <v>2021</v>
      </c>
      <c r="P69" s="1" t="s">
        <v>1966</v>
      </c>
      <c r="Q69" s="499">
        <v>45114</v>
      </c>
      <c r="R69" s="220"/>
      <c r="S69" s="220"/>
    </row>
    <row r="70" spans="1:19" ht="19.5" customHeight="1">
      <c r="A70" s="220">
        <v>64</v>
      </c>
      <c r="B70" s="262">
        <v>3.5763888888888889E-3</v>
      </c>
      <c r="C70" s="227">
        <f t="shared" si="3"/>
        <v>5.15</v>
      </c>
      <c r="D70" s="227">
        <f t="shared" si="1"/>
        <v>5.0190377293181028</v>
      </c>
      <c r="E70" s="232">
        <f t="shared" si="5"/>
        <v>0.77039999999999997</v>
      </c>
      <c r="F70" s="502">
        <v>5.166666666666667</v>
      </c>
      <c r="G70" s="500">
        <v>4.9911645767492443</v>
      </c>
      <c r="H70" s="501">
        <f t="shared" si="4"/>
        <v>97.457043287730144</v>
      </c>
      <c r="I70" s="220">
        <v>64</v>
      </c>
      <c r="J70" s="490">
        <v>0.21458333333333335</v>
      </c>
      <c r="K70" s="475" t="s">
        <v>1405</v>
      </c>
      <c r="L70" s="475" t="s">
        <v>2033</v>
      </c>
      <c r="M70" s="157" t="s">
        <v>155</v>
      </c>
      <c r="N70" s="157"/>
      <c r="O70" s="492" t="s">
        <v>2015</v>
      </c>
      <c r="P70" s="150" t="s">
        <v>1974</v>
      </c>
      <c r="Q70" s="498">
        <v>45101</v>
      </c>
      <c r="R70" s="220"/>
      <c r="S70" s="220"/>
    </row>
    <row r="71" spans="1:19">
      <c r="A71" s="220">
        <v>65</v>
      </c>
      <c r="B71" s="262">
        <v>3.6805555555555554E-3</v>
      </c>
      <c r="C71" s="227">
        <f t="shared" si="3"/>
        <v>5.3</v>
      </c>
      <c r="D71" s="227">
        <f t="shared" si="1"/>
        <v>5.0717033927946833</v>
      </c>
      <c r="E71" s="232">
        <f t="shared" si="5"/>
        <v>0.76239999999999997</v>
      </c>
      <c r="F71" s="502">
        <v>5.3</v>
      </c>
      <c r="G71" s="500">
        <v>5.0354409332064831</v>
      </c>
      <c r="H71" s="501">
        <f t="shared" si="4"/>
        <v>95.692516845182709</v>
      </c>
      <c r="I71" s="220">
        <v>65</v>
      </c>
      <c r="J71" s="489" t="s">
        <v>1999</v>
      </c>
      <c r="K71" s="475" t="s">
        <v>1492</v>
      </c>
      <c r="L71" s="475" t="s">
        <v>1493</v>
      </c>
      <c r="M71" s="157" t="s">
        <v>155</v>
      </c>
      <c r="N71" s="157"/>
      <c r="O71" s="475" t="s">
        <v>1965</v>
      </c>
      <c r="P71" s="475" t="s">
        <v>1984</v>
      </c>
      <c r="Q71" s="497">
        <v>42608</v>
      </c>
      <c r="R71" s="220"/>
      <c r="S71" s="220"/>
    </row>
    <row r="72" spans="1:19" ht="17.25" customHeight="1">
      <c r="A72" s="220">
        <v>66</v>
      </c>
      <c r="B72" s="262">
        <v>3.7962962962962963E-3</v>
      </c>
      <c r="C72" s="227">
        <f t="shared" si="3"/>
        <v>5.4666666666666668</v>
      </c>
      <c r="D72" s="227">
        <f t="shared" si="1"/>
        <v>5.1254860374690701</v>
      </c>
      <c r="E72" s="232">
        <f t="shared" si="5"/>
        <v>0.75439999999999996</v>
      </c>
      <c r="F72" s="502">
        <v>5.4666666666666668</v>
      </c>
      <c r="G72" s="500">
        <v>5.080509866998737</v>
      </c>
      <c r="H72" s="501">
        <f t="shared" si="4"/>
        <v>93.758890929312258</v>
      </c>
      <c r="I72" s="220">
        <v>66</v>
      </c>
      <c r="J72" s="489" t="s">
        <v>2000</v>
      </c>
      <c r="K72" s="475" t="s">
        <v>1492</v>
      </c>
      <c r="L72" s="475" t="s">
        <v>1493</v>
      </c>
      <c r="M72" s="157" t="s">
        <v>155</v>
      </c>
      <c r="N72" s="157"/>
      <c r="O72" s="475" t="s">
        <v>1983</v>
      </c>
      <c r="P72" s="475" t="s">
        <v>1984</v>
      </c>
      <c r="Q72" s="497">
        <v>42972</v>
      </c>
      <c r="R72" s="220"/>
      <c r="S72" s="220"/>
    </row>
    <row r="73" spans="1:19">
      <c r="A73" s="220">
        <v>67</v>
      </c>
      <c r="B73" s="262">
        <v>3.6921296296296298E-3</v>
      </c>
      <c r="C73" s="227">
        <f t="shared" si="3"/>
        <v>5.3166666666666673</v>
      </c>
      <c r="D73" s="227">
        <f t="shared" ref="D73:D104" si="6">E$4/E73</f>
        <v>5.1825045793682705</v>
      </c>
      <c r="E73" s="232">
        <f t="shared" si="5"/>
        <v>0.74609999999999999</v>
      </c>
      <c r="F73" s="502">
        <v>5.3666666666666663</v>
      </c>
      <c r="G73" s="500">
        <v>5.1263928518450648</v>
      </c>
      <c r="H73" s="501">
        <f t="shared" si="4"/>
        <v>97.476575160531723</v>
      </c>
      <c r="I73" s="220">
        <v>67</v>
      </c>
      <c r="J73" s="490">
        <v>0.22152777777777777</v>
      </c>
      <c r="K73" s="475" t="s">
        <v>1498</v>
      </c>
      <c r="L73" s="475" t="s">
        <v>1499</v>
      </c>
      <c r="M73" s="157" t="s">
        <v>155</v>
      </c>
      <c r="N73" s="157"/>
      <c r="O73" s="475" t="s">
        <v>1978</v>
      </c>
      <c r="P73" s="475" t="s">
        <v>1979</v>
      </c>
      <c r="Q73" s="497">
        <v>45023</v>
      </c>
      <c r="R73" s="220"/>
      <c r="S73" s="220"/>
    </row>
    <row r="74" spans="1:19">
      <c r="A74" s="220">
        <v>68</v>
      </c>
      <c r="B74" s="262">
        <v>3.7384259259259259E-3</v>
      </c>
      <c r="C74" s="227">
        <f t="shared" si="3"/>
        <v>5.3833333333333329</v>
      </c>
      <c r="D74" s="227">
        <f t="shared" si="6"/>
        <v>5.2457830235608007</v>
      </c>
      <c r="E74" s="232">
        <f t="shared" si="5"/>
        <v>0.73709999999999998</v>
      </c>
      <c r="F74" s="502">
        <v>5.7</v>
      </c>
      <c r="G74" s="500">
        <v>5.175196932759877</v>
      </c>
      <c r="H74" s="501">
        <f t="shared" si="4"/>
        <v>97.444885886578348</v>
      </c>
      <c r="I74" s="220">
        <v>68</v>
      </c>
      <c r="J74" s="490">
        <v>0.22430555555555556</v>
      </c>
      <c r="K74" s="475" t="s">
        <v>1498</v>
      </c>
      <c r="L74" s="475" t="s">
        <v>1499</v>
      </c>
      <c r="M74" s="157" t="s">
        <v>155</v>
      </c>
      <c r="N74" s="157"/>
      <c r="O74" s="492" t="s">
        <v>2015</v>
      </c>
      <c r="P74" s="475" t="s">
        <v>1979</v>
      </c>
      <c r="Q74" s="497">
        <v>45431</v>
      </c>
      <c r="R74" s="220"/>
      <c r="S74" s="220"/>
    </row>
    <row r="75" spans="1:19">
      <c r="A75" s="220">
        <v>69</v>
      </c>
      <c r="B75" s="262">
        <v>4.0625000000000001E-3</v>
      </c>
      <c r="C75" s="227">
        <f t="shared" si="3"/>
        <v>5.8500000000000005</v>
      </c>
      <c r="D75" s="227">
        <f t="shared" si="6"/>
        <v>5.3164672991429489</v>
      </c>
      <c r="E75" s="232">
        <f t="shared" si="5"/>
        <v>0.72729999999999995</v>
      </c>
      <c r="F75" s="502">
        <v>6.0166666666666666</v>
      </c>
      <c r="G75" s="500">
        <v>5.2291944815309304</v>
      </c>
      <c r="H75" s="501">
        <f t="shared" si="4"/>
        <v>90.879782891332439</v>
      </c>
      <c r="I75" s="220">
        <v>69</v>
      </c>
      <c r="J75" s="490">
        <v>0.24374999999999999</v>
      </c>
      <c r="K75" s="475" t="s">
        <v>2036</v>
      </c>
      <c r="L75" s="475" t="s">
        <v>2037</v>
      </c>
      <c r="M75" s="157" t="s">
        <v>155</v>
      </c>
      <c r="N75" s="157"/>
      <c r="O75" s="492" t="s">
        <v>2015</v>
      </c>
      <c r="P75" s="475" t="s">
        <v>1979</v>
      </c>
      <c r="Q75" s="497">
        <v>45431</v>
      </c>
      <c r="R75" s="220"/>
      <c r="S75" s="220"/>
    </row>
    <row r="76" spans="1:19">
      <c r="A76" s="220">
        <v>70</v>
      </c>
      <c r="B76" s="262">
        <v>4.178240740740741E-3</v>
      </c>
      <c r="C76" s="227">
        <f t="shared" si="3"/>
        <v>6.0166666666666675</v>
      </c>
      <c r="D76" s="227">
        <f t="shared" si="6"/>
        <v>5.395850776816447</v>
      </c>
      <c r="E76" s="232">
        <f t="shared" si="5"/>
        <v>0.71660000000000001</v>
      </c>
      <c r="F76" s="502">
        <v>5.7166666666666668</v>
      </c>
      <c r="G76" s="500">
        <v>5.2886833428979729</v>
      </c>
      <c r="H76" s="501">
        <f t="shared" si="4"/>
        <v>89.68173036260022</v>
      </c>
      <c r="I76" s="220">
        <v>70</v>
      </c>
      <c r="J76" s="489" t="s">
        <v>2001</v>
      </c>
      <c r="K76" s="475" t="s">
        <v>1485</v>
      </c>
      <c r="L76" s="475" t="s">
        <v>2038</v>
      </c>
      <c r="M76" s="157" t="s">
        <v>155</v>
      </c>
      <c r="N76" s="157"/>
      <c r="O76" s="475" t="s">
        <v>1965</v>
      </c>
      <c r="P76" s="475" t="s">
        <v>1984</v>
      </c>
      <c r="Q76" s="497">
        <v>43700</v>
      </c>
      <c r="R76" s="220"/>
      <c r="S76" s="220"/>
    </row>
    <row r="77" spans="1:19" ht="12.75" customHeight="1">
      <c r="A77" s="220">
        <v>71</v>
      </c>
      <c r="B77" s="262">
        <v>3.8541666666666668E-3</v>
      </c>
      <c r="C77" s="227">
        <f t="shared" si="3"/>
        <v>5.55</v>
      </c>
      <c r="D77" s="227">
        <f t="shared" si="6"/>
        <v>5.4830780865948183</v>
      </c>
      <c r="E77" s="232">
        <f t="shared" si="5"/>
        <v>0.70520000000000005</v>
      </c>
      <c r="F77" s="502">
        <v>6.083333333333333</v>
      </c>
      <c r="G77" s="500">
        <v>5.3540020595820685</v>
      </c>
      <c r="H77" s="501">
        <f t="shared" si="4"/>
        <v>98.794199758465197</v>
      </c>
      <c r="I77" s="220">
        <v>71</v>
      </c>
      <c r="J77" s="494" t="s">
        <v>2002</v>
      </c>
      <c r="K77" s="491" t="s">
        <v>1530</v>
      </c>
      <c r="L77" s="491" t="s">
        <v>2039</v>
      </c>
      <c r="M77" s="157" t="s">
        <v>155</v>
      </c>
      <c r="N77" s="157"/>
      <c r="O77" s="492" t="s">
        <v>2015</v>
      </c>
      <c r="P77" s="150" t="s">
        <v>1974</v>
      </c>
      <c r="Q77" s="498">
        <v>45101</v>
      </c>
      <c r="R77" s="220"/>
      <c r="S77" s="220"/>
    </row>
    <row r="78" spans="1:19">
      <c r="A78" s="220">
        <v>72</v>
      </c>
      <c r="B78" s="262">
        <v>4.2245370370370371E-3</v>
      </c>
      <c r="C78" s="227">
        <f t="shared" si="3"/>
        <v>6.083333333333333</v>
      </c>
      <c r="D78" s="227">
        <f t="shared" si="6"/>
        <v>5.5804108336941356</v>
      </c>
      <c r="E78" s="232">
        <f t="shared" si="5"/>
        <v>0.69289999999999996</v>
      </c>
      <c r="F78" s="502">
        <v>5.916666666666667</v>
      </c>
      <c r="G78" s="500">
        <v>5.4255351078296243</v>
      </c>
      <c r="H78" s="501">
        <f t="shared" si="4"/>
        <v>91.732780827848799</v>
      </c>
      <c r="I78" s="220">
        <v>72</v>
      </c>
      <c r="J78" s="489" t="s">
        <v>2003</v>
      </c>
      <c r="K78" s="475" t="s">
        <v>1448</v>
      </c>
      <c r="L78" s="475" t="s">
        <v>2040</v>
      </c>
      <c r="M78" s="157" t="s">
        <v>155</v>
      </c>
      <c r="N78" s="157"/>
      <c r="O78" s="475" t="s">
        <v>1965</v>
      </c>
      <c r="P78" s="475" t="s">
        <v>1984</v>
      </c>
      <c r="Q78" s="497">
        <v>41873</v>
      </c>
      <c r="R78" s="220"/>
      <c r="S78" s="220"/>
    </row>
    <row r="79" spans="1:19">
      <c r="A79" s="220">
        <v>73</v>
      </c>
      <c r="B79" s="262">
        <v>4.1087962962962962E-3</v>
      </c>
      <c r="C79" s="227">
        <f t="shared" si="3"/>
        <v>5.9166666666666661</v>
      </c>
      <c r="D79" s="227">
        <f t="shared" si="6"/>
        <v>5.6871108496347498</v>
      </c>
      <c r="E79" s="232">
        <f t="shared" si="5"/>
        <v>0.67989999999999995</v>
      </c>
      <c r="F79" s="502">
        <v>6.2833333333333332</v>
      </c>
      <c r="G79" s="500">
        <v>5.5037191089127457</v>
      </c>
      <c r="H79" s="501">
        <f t="shared" si="4"/>
        <v>96.12018337410845</v>
      </c>
      <c r="I79" s="220">
        <v>73</v>
      </c>
      <c r="J79" s="489" t="s">
        <v>2004</v>
      </c>
      <c r="K79" s="475" t="s">
        <v>1448</v>
      </c>
      <c r="L79" s="475" t="s">
        <v>2040</v>
      </c>
      <c r="M79" s="157" t="s">
        <v>155</v>
      </c>
      <c r="N79" s="157"/>
      <c r="O79" s="475" t="s">
        <v>1965</v>
      </c>
      <c r="P79" s="475" t="s">
        <v>1984</v>
      </c>
      <c r="Q79" s="497">
        <v>42237</v>
      </c>
      <c r="R79" s="220"/>
      <c r="S79" s="220"/>
    </row>
    <row r="80" spans="1:19">
      <c r="A80" s="220">
        <v>74</v>
      </c>
      <c r="B80" s="262" t="s">
        <v>2060</v>
      </c>
      <c r="C80" s="227"/>
      <c r="D80" s="227">
        <f t="shared" si="6"/>
        <v>5.8049341940649546</v>
      </c>
      <c r="E80" s="232">
        <f t="shared" si="5"/>
        <v>0.66610000000000003</v>
      </c>
      <c r="F80" s="502">
        <v>6.4</v>
      </c>
      <c r="G80" s="500">
        <v>5.5890502182107902</v>
      </c>
      <c r="H80" s="501"/>
      <c r="I80" s="220">
        <v>74</v>
      </c>
      <c r="J80" s="489"/>
      <c r="K80" s="475"/>
      <c r="L80" s="475"/>
      <c r="M80" s="157"/>
      <c r="N80" s="157"/>
      <c r="O80" s="475"/>
      <c r="P80" s="475"/>
      <c r="Q80" s="497"/>
      <c r="R80" s="220"/>
      <c r="S80" s="220"/>
    </row>
    <row r="81" spans="1:19">
      <c r="A81" s="220">
        <v>75</v>
      </c>
      <c r="B81" s="262">
        <v>4.1203703703703706E-3</v>
      </c>
      <c r="C81" s="227">
        <f t="shared" si="3"/>
        <v>5.9333333333333336</v>
      </c>
      <c r="D81" s="227">
        <f t="shared" si="6"/>
        <v>5.935932862552451</v>
      </c>
      <c r="E81" s="232">
        <f t="shared" si="5"/>
        <v>0.65139999999999998</v>
      </c>
      <c r="F81" s="502">
        <v>6.333333333333333</v>
      </c>
      <c r="G81" s="500">
        <v>5.6820929445331005</v>
      </c>
      <c r="H81" s="501">
        <f t="shared" si="4"/>
        <v>100.04381229020984</v>
      </c>
      <c r="I81" s="220">
        <v>75</v>
      </c>
      <c r="J81" s="494" t="s">
        <v>2005</v>
      </c>
      <c r="K81" s="475" t="s">
        <v>2041</v>
      </c>
      <c r="L81" s="475" t="s">
        <v>2042</v>
      </c>
      <c r="M81" s="157" t="s">
        <v>155</v>
      </c>
      <c r="N81" s="157"/>
      <c r="O81" s="475" t="s">
        <v>2034</v>
      </c>
      <c r="P81" s="475" t="s">
        <v>2035</v>
      </c>
      <c r="Q81" s="497">
        <v>44388</v>
      </c>
      <c r="R81" s="220"/>
      <c r="S81" s="220"/>
    </row>
    <row r="82" spans="1:19">
      <c r="A82" s="220">
        <v>76</v>
      </c>
      <c r="B82" s="262">
        <v>4.4444444444444444E-3</v>
      </c>
      <c r="C82" s="227">
        <f t="shared" si="3"/>
        <v>6.4</v>
      </c>
      <c r="D82" s="227">
        <f t="shared" si="6"/>
        <v>6.0796645702306069</v>
      </c>
      <c r="E82" s="232">
        <f t="shared" si="5"/>
        <v>0.63600000000000001</v>
      </c>
      <c r="F82" s="502">
        <v>7</v>
      </c>
      <c r="G82" s="500">
        <v>5.7834907181126622</v>
      </c>
      <c r="H82" s="501">
        <f t="shared" si="4"/>
        <v>94.994758909853232</v>
      </c>
      <c r="I82" s="220">
        <v>76</v>
      </c>
      <c r="J82" s="489" t="s">
        <v>2006</v>
      </c>
      <c r="K82" s="475" t="s">
        <v>1448</v>
      </c>
      <c r="L82" s="475" t="s">
        <v>2040</v>
      </c>
      <c r="M82" s="157" t="s">
        <v>155</v>
      </c>
      <c r="N82" s="157"/>
      <c r="O82" s="475" t="s">
        <v>1965</v>
      </c>
      <c r="P82" s="475" t="s">
        <v>1984</v>
      </c>
      <c r="Q82" s="497">
        <v>43336</v>
      </c>
      <c r="R82" s="220"/>
      <c r="S82" s="220"/>
    </row>
    <row r="83" spans="1:19">
      <c r="A83" s="220">
        <v>77</v>
      </c>
      <c r="B83" s="262">
        <v>4.3981481481481484E-3</v>
      </c>
      <c r="C83" s="227">
        <f t="shared" si="3"/>
        <v>6.3333333333333339</v>
      </c>
      <c r="D83" s="227">
        <f t="shared" si="6"/>
        <v>6.2395782905707051</v>
      </c>
      <c r="E83" s="232">
        <f t="shared" si="5"/>
        <v>0.61970000000000003</v>
      </c>
      <c r="F83" s="502">
        <v>7.7333333333333343</v>
      </c>
      <c r="G83" s="500">
        <v>5.8939786111278316</v>
      </c>
      <c r="H83" s="501">
        <f t="shared" si="4"/>
        <v>98.519657219537436</v>
      </c>
      <c r="I83" s="220">
        <v>77</v>
      </c>
      <c r="J83" s="489" t="s">
        <v>2007</v>
      </c>
      <c r="K83" s="475" t="s">
        <v>1448</v>
      </c>
      <c r="L83" s="475" t="s">
        <v>2040</v>
      </c>
      <c r="M83" s="157" t="s">
        <v>155</v>
      </c>
      <c r="N83" s="157"/>
      <c r="O83" s="475" t="s">
        <v>1965</v>
      </c>
      <c r="P83" s="475" t="s">
        <v>1984</v>
      </c>
      <c r="Q83" s="497">
        <v>43700</v>
      </c>
      <c r="R83" s="220"/>
      <c r="S83" s="220"/>
    </row>
    <row r="84" spans="1:19">
      <c r="A84" s="220">
        <v>78</v>
      </c>
      <c r="B84" s="260" t="s">
        <v>2061</v>
      </c>
      <c r="C84" s="227"/>
      <c r="D84" s="227">
        <f t="shared" si="6"/>
        <v>6.4155743598252304</v>
      </c>
      <c r="E84" s="232">
        <f t="shared" si="5"/>
        <v>0.60270000000000001</v>
      </c>
      <c r="F84" s="502">
        <v>8.7166666666666668</v>
      </c>
      <c r="G84" s="500">
        <v>6.0143987264830612</v>
      </c>
      <c r="H84" s="501"/>
      <c r="I84" s="220">
        <v>78</v>
      </c>
      <c r="J84" s="489"/>
      <c r="K84" s="475"/>
      <c r="L84" s="475"/>
      <c r="M84" s="157"/>
      <c r="N84" s="157"/>
      <c r="O84" s="475"/>
      <c r="P84" s="475"/>
      <c r="Q84" s="497"/>
      <c r="R84" s="220"/>
      <c r="S84" s="220"/>
    </row>
    <row r="85" spans="1:19">
      <c r="A85" s="220">
        <v>79</v>
      </c>
      <c r="B85" s="260" t="s">
        <v>723</v>
      </c>
      <c r="C85" s="227"/>
      <c r="D85" s="227">
        <f t="shared" si="6"/>
        <v>6.6108166638171761</v>
      </c>
      <c r="E85" s="232">
        <f t="shared" si="5"/>
        <v>0.58489999999999998</v>
      </c>
      <c r="F85" s="502">
        <v>9.1833333333333336</v>
      </c>
      <c r="G85" s="500">
        <v>6.1457189183534702</v>
      </c>
      <c r="H85" s="501"/>
      <c r="I85" s="220">
        <v>79</v>
      </c>
      <c r="J85" s="489"/>
      <c r="K85" s="475"/>
      <c r="L85" s="475"/>
      <c r="M85" s="157"/>
      <c r="N85" s="157"/>
      <c r="O85" s="475"/>
      <c r="P85" s="475"/>
      <c r="Q85" s="497"/>
      <c r="R85" s="220"/>
      <c r="S85" s="220"/>
    </row>
    <row r="86" spans="1:19">
      <c r="A86" s="220">
        <v>80</v>
      </c>
      <c r="B86" s="262">
        <v>4.9537037037037041E-3</v>
      </c>
      <c r="C86" s="227">
        <f t="shared" si="3"/>
        <v>7.1333333333333337</v>
      </c>
      <c r="D86" s="227">
        <f t="shared" si="6"/>
        <v>6.8291534204639106</v>
      </c>
      <c r="E86" s="232">
        <f t="shared" si="5"/>
        <v>0.56620000000000004</v>
      </c>
      <c r="F86" s="502">
        <v>10.216666666666667</v>
      </c>
      <c r="G86" s="500">
        <v>6.2890557049763824</v>
      </c>
      <c r="H86" s="501">
        <f t="shared" si="4"/>
        <v>95.735795613980045</v>
      </c>
      <c r="I86" s="220">
        <v>80</v>
      </c>
      <c r="J86" s="490">
        <v>0.29722222222222222</v>
      </c>
      <c r="K86" s="475" t="s">
        <v>2043</v>
      </c>
      <c r="L86" s="493" t="s">
        <v>2044</v>
      </c>
      <c r="M86" s="157" t="s">
        <v>155</v>
      </c>
      <c r="N86" s="157"/>
      <c r="O86" s="475" t="s">
        <v>2034</v>
      </c>
      <c r="P86" s="475" t="s">
        <v>2035</v>
      </c>
      <c r="Q86" s="497">
        <v>43594</v>
      </c>
      <c r="R86" s="220"/>
      <c r="S86" s="220"/>
    </row>
    <row r="87" spans="1:19">
      <c r="A87" s="220">
        <v>81</v>
      </c>
      <c r="B87" s="262">
        <v>5.37037037037037E-3</v>
      </c>
      <c r="C87" s="227">
        <f t="shared" si="3"/>
        <v>7.7333333333333325</v>
      </c>
      <c r="D87" s="227">
        <f t="shared" si="6"/>
        <v>7.0714459887832231</v>
      </c>
      <c r="E87" s="232">
        <f t="shared" si="5"/>
        <v>0.54679999999999995</v>
      </c>
      <c r="F87" s="502">
        <v>10.183333333333334</v>
      </c>
      <c r="G87" s="500">
        <v>6.4457024992868588</v>
      </c>
      <c r="H87" s="501">
        <f t="shared" si="4"/>
        <v>91.441111923921</v>
      </c>
      <c r="I87" s="220">
        <v>81</v>
      </c>
      <c r="J87" s="489" t="s">
        <v>2008</v>
      </c>
      <c r="K87" s="475" t="s">
        <v>1617</v>
      </c>
      <c r="L87" s="475" t="s">
        <v>2045</v>
      </c>
      <c r="M87" s="157" t="s">
        <v>155</v>
      </c>
      <c r="N87" s="157"/>
      <c r="O87" s="475" t="s">
        <v>1965</v>
      </c>
      <c r="P87" s="475" t="s">
        <v>1984</v>
      </c>
      <c r="Q87" s="497">
        <v>42972</v>
      </c>
      <c r="R87" s="220"/>
      <c r="S87" s="220"/>
    </row>
    <row r="88" spans="1:19" ht="12.75" customHeight="1">
      <c r="A88" s="220">
        <v>82</v>
      </c>
      <c r="B88" s="262">
        <v>6.053240740740741E-3</v>
      </c>
      <c r="C88" s="227">
        <f t="shared" si="3"/>
        <v>8.7166666666666668</v>
      </c>
      <c r="D88" s="227">
        <f t="shared" si="6"/>
        <v>7.3440962329851214</v>
      </c>
      <c r="E88" s="232">
        <f t="shared" si="5"/>
        <v>0.52649999999999997</v>
      </c>
      <c r="F88" s="502">
        <v>12.833333333333334</v>
      </c>
      <c r="G88" s="500">
        <v>6.6171646435037736</v>
      </c>
      <c r="H88" s="501">
        <f t="shared" si="4"/>
        <v>84.25349406866296</v>
      </c>
      <c r="I88" s="220">
        <v>82</v>
      </c>
      <c r="J88" s="489" t="s">
        <v>2009</v>
      </c>
      <c r="K88" s="475" t="s">
        <v>2046</v>
      </c>
      <c r="L88" s="475" t="s">
        <v>2047</v>
      </c>
      <c r="M88" s="157" t="s">
        <v>155</v>
      </c>
      <c r="N88" s="157"/>
      <c r="O88" s="475" t="s">
        <v>1965</v>
      </c>
      <c r="P88" s="475" t="s">
        <v>1984</v>
      </c>
      <c r="Q88" s="497">
        <v>43336</v>
      </c>
      <c r="R88" s="220"/>
      <c r="S88" s="220"/>
    </row>
    <row r="89" spans="1:19">
      <c r="A89" s="220">
        <v>83</v>
      </c>
      <c r="D89" s="227">
        <f t="shared" si="6"/>
        <v>7.6491922189251564</v>
      </c>
      <c r="E89" s="232">
        <f t="shared" si="5"/>
        <v>0.50549999999999995</v>
      </c>
      <c r="F89" s="502">
        <v>13.5</v>
      </c>
      <c r="G89" s="500">
        <v>6.8052032294309113</v>
      </c>
      <c r="H89" s="501"/>
      <c r="I89" s="220">
        <v>83</v>
      </c>
      <c r="J89" s="489"/>
      <c r="K89" s="475"/>
      <c r="L89" s="475"/>
      <c r="M89" s="157"/>
      <c r="N89" s="157"/>
      <c r="O89" s="475"/>
      <c r="P89" s="475"/>
      <c r="Q89" s="497"/>
      <c r="R89" s="220"/>
      <c r="S89" s="220"/>
    </row>
    <row r="90" spans="1:19">
      <c r="A90" s="220">
        <v>84</v>
      </c>
      <c r="D90" s="227">
        <f t="shared" si="6"/>
        <v>7.9939356350354895</v>
      </c>
      <c r="E90" s="232">
        <f t="shared" si="5"/>
        <v>0.48370000000000002</v>
      </c>
      <c r="F90" s="501"/>
      <c r="G90" s="500">
        <v>7.0118903758074858</v>
      </c>
      <c r="H90" s="501"/>
      <c r="I90" s="220">
        <v>84</v>
      </c>
      <c r="J90" s="489"/>
      <c r="K90" s="475"/>
      <c r="L90" s="475"/>
      <c r="M90" s="157"/>
      <c r="N90" s="157"/>
      <c r="O90" s="475"/>
      <c r="P90" s="475"/>
      <c r="Q90" s="497"/>
      <c r="R90" s="220"/>
      <c r="S90" s="220"/>
    </row>
    <row r="91" spans="1:19">
      <c r="A91" s="220">
        <v>85</v>
      </c>
      <c r="B91" s="262">
        <v>7.0949074074074074E-3</v>
      </c>
      <c r="C91" s="227">
        <f>B91*1440</f>
        <v>10.216666666666667</v>
      </c>
      <c r="D91" s="227">
        <f t="shared" si="6"/>
        <v>8.3875632682574093</v>
      </c>
      <c r="E91" s="232">
        <f t="shared" si="5"/>
        <v>0.46100000000000002</v>
      </c>
      <c r="F91" s="501"/>
      <c r="G91" s="500">
        <v>7.2396796056685142</v>
      </c>
      <c r="H91" s="501">
        <f t="shared" si="4"/>
        <v>82.096867226010531</v>
      </c>
      <c r="I91" s="220">
        <v>85</v>
      </c>
      <c r="J91" s="489" t="s">
        <v>2010</v>
      </c>
      <c r="K91" s="475" t="s">
        <v>2048</v>
      </c>
      <c r="L91" s="475" t="s">
        <v>2049</v>
      </c>
      <c r="M91" s="157" t="s">
        <v>155</v>
      </c>
      <c r="N91" s="157"/>
      <c r="O91" s="475" t="s">
        <v>1965</v>
      </c>
      <c r="P91" s="475" t="s">
        <v>1984</v>
      </c>
      <c r="Q91" s="497">
        <v>43700</v>
      </c>
      <c r="R91" s="220"/>
      <c r="S91" s="220"/>
    </row>
    <row r="92" spans="1:19">
      <c r="A92" s="220">
        <v>86</v>
      </c>
      <c r="B92" s="262">
        <v>8.9351851851851849E-3</v>
      </c>
      <c r="C92" s="227">
        <f>B92*1440</f>
        <v>12.866666666666667</v>
      </c>
      <c r="D92" s="227">
        <f t="shared" si="6"/>
        <v>8.8360755636806818</v>
      </c>
      <c r="E92" s="232">
        <f t="shared" si="5"/>
        <v>0.43759999999999999</v>
      </c>
      <c r="F92" s="501"/>
      <c r="G92" s="500">
        <v>7.4914963546697519</v>
      </c>
      <c r="H92" s="501">
        <f t="shared" si="4"/>
        <v>68.674162412026021</v>
      </c>
      <c r="I92" s="220">
        <v>86</v>
      </c>
      <c r="J92" s="490">
        <v>0.53611111111111109</v>
      </c>
      <c r="K92" s="475" t="s">
        <v>2050</v>
      </c>
      <c r="L92" s="475" t="s">
        <v>2051</v>
      </c>
      <c r="M92" s="157" t="s">
        <v>155</v>
      </c>
      <c r="N92" s="157"/>
      <c r="O92" s="492" t="s">
        <v>2015</v>
      </c>
      <c r="P92" s="475" t="s">
        <v>1979</v>
      </c>
      <c r="Q92" s="497">
        <v>45431</v>
      </c>
      <c r="R92" s="220"/>
      <c r="S92" s="220"/>
    </row>
    <row r="93" spans="1:19">
      <c r="A93" s="220">
        <v>87</v>
      </c>
      <c r="D93" s="227">
        <f t="shared" si="6"/>
        <v>9.355593192999434</v>
      </c>
      <c r="E93" s="232">
        <f t="shared" si="5"/>
        <v>0.4133</v>
      </c>
      <c r="F93" s="501"/>
      <c r="G93" s="500">
        <v>7.7708556538761684</v>
      </c>
      <c r="H93" s="501"/>
      <c r="I93" s="220">
        <v>87</v>
      </c>
      <c r="J93" s="490"/>
      <c r="K93" s="475"/>
      <c r="L93" s="475"/>
      <c r="M93" s="157"/>
      <c r="N93" s="157"/>
      <c r="O93" s="492"/>
      <c r="P93" s="475"/>
      <c r="Q93" s="497"/>
      <c r="R93" s="220"/>
      <c r="S93" s="220"/>
    </row>
    <row r="94" spans="1:19">
      <c r="A94" s="220">
        <v>88</v>
      </c>
      <c r="D94" s="227">
        <f t="shared" si="6"/>
        <v>9.9579363035453685</v>
      </c>
      <c r="E94" s="232">
        <f t="shared" si="5"/>
        <v>0.38829999999999998</v>
      </c>
      <c r="F94" s="501"/>
      <c r="G94" s="500">
        <v>8.0820169963097843</v>
      </c>
      <c r="H94" s="501"/>
      <c r="I94" s="220">
        <v>88</v>
      </c>
      <c r="J94" s="490"/>
      <c r="K94" s="475"/>
      <c r="L94" s="475"/>
      <c r="M94" s="157"/>
      <c r="N94" s="157"/>
      <c r="O94" s="492"/>
      <c r="P94" s="475"/>
      <c r="Q94" s="497"/>
      <c r="R94" s="220"/>
      <c r="S94" s="220"/>
    </row>
    <row r="95" spans="1:19">
      <c r="A95" s="220">
        <v>89</v>
      </c>
      <c r="B95" s="262">
        <v>7.0717592592592594E-3</v>
      </c>
      <c r="C95" s="227">
        <f>B95*1440</f>
        <v>10.183333333333334</v>
      </c>
      <c r="D95" s="227">
        <f t="shared" si="6"/>
        <v>10.666666666666666</v>
      </c>
      <c r="E95" s="232">
        <f t="shared" si="5"/>
        <v>0.36249999999999999</v>
      </c>
      <c r="F95" s="501"/>
      <c r="G95" s="500">
        <v>8.4301908451714738</v>
      </c>
      <c r="H95" s="501">
        <f t="shared" si="4"/>
        <v>104.74631751227494</v>
      </c>
      <c r="I95" s="220">
        <v>89</v>
      </c>
      <c r="J95" s="489" t="s">
        <v>2011</v>
      </c>
      <c r="K95" s="475" t="s">
        <v>2052</v>
      </c>
      <c r="L95" s="475" t="s">
        <v>2053</v>
      </c>
      <c r="M95" s="157" t="s">
        <v>155</v>
      </c>
      <c r="N95" s="157"/>
      <c r="O95" s="475" t="s">
        <v>1965</v>
      </c>
      <c r="P95" s="475" t="s">
        <v>1966</v>
      </c>
      <c r="Q95" s="497">
        <v>41495</v>
      </c>
      <c r="R95" s="220"/>
      <c r="S95" s="220"/>
    </row>
    <row r="96" spans="1:19">
      <c r="A96" s="220">
        <v>90</v>
      </c>
      <c r="B96" s="262">
        <v>8.9120370370370378E-3</v>
      </c>
      <c r="C96" s="227">
        <f>B96*1440</f>
        <v>12.833333333333334</v>
      </c>
      <c r="D96" s="227">
        <f t="shared" si="6"/>
        <v>11.514790549930513</v>
      </c>
      <c r="E96" s="232">
        <f t="shared" si="5"/>
        <v>0.33579999999999999</v>
      </c>
      <c r="F96" s="501"/>
      <c r="G96" s="500">
        <v>8.8218180453103585</v>
      </c>
      <c r="H96" s="501">
        <f t="shared" si="4"/>
        <v>89.72564064880919</v>
      </c>
      <c r="I96" s="220">
        <v>90</v>
      </c>
      <c r="J96" s="489" t="s">
        <v>2012</v>
      </c>
      <c r="K96" s="475" t="s">
        <v>1681</v>
      </c>
      <c r="L96" s="475" t="s">
        <v>2054</v>
      </c>
      <c r="M96" s="157" t="s">
        <v>155</v>
      </c>
      <c r="N96" s="157"/>
      <c r="O96" s="475" t="s">
        <v>1965</v>
      </c>
      <c r="P96" s="475" t="s">
        <v>1984</v>
      </c>
      <c r="Q96" s="497">
        <v>43700</v>
      </c>
      <c r="R96" s="220"/>
      <c r="S96" s="220"/>
    </row>
    <row r="97" spans="1:19">
      <c r="A97" s="220">
        <v>91</v>
      </c>
      <c r="D97" s="227">
        <f t="shared" si="6"/>
        <v>12.537829658452225</v>
      </c>
      <c r="E97" s="232">
        <f t="shared" ref="E97:E106" si="7">ROUND(1-IF(A97&lt;J$3,0,IF(A97&lt;J$4,G$3*(A97-J$3)^2,G$2+G$4*(A97-J$4)+(A97&gt;J$5)*G$5*(A97-J$5)^2)),4)</f>
        <v>0.30840000000000001</v>
      </c>
      <c r="F97" s="501"/>
      <c r="G97" s="500">
        <v>9.2649540300578757</v>
      </c>
      <c r="H97" s="501"/>
      <c r="I97" s="220">
        <v>91</v>
      </c>
      <c r="J97" s="489"/>
      <c r="K97" s="475"/>
      <c r="L97" s="475"/>
      <c r="M97" s="157"/>
      <c r="N97" s="157"/>
      <c r="O97" s="475"/>
      <c r="P97" s="475"/>
      <c r="Q97" s="497"/>
      <c r="R97" s="220"/>
      <c r="S97" s="220"/>
    </row>
    <row r="98" spans="1:19">
      <c r="A98" s="220">
        <v>92</v>
      </c>
      <c r="B98" s="262">
        <v>9.3749999999999997E-3</v>
      </c>
      <c r="C98" s="227">
        <f>B98*1440</f>
        <v>13.5</v>
      </c>
      <c r="D98" s="227">
        <f t="shared" si="6"/>
        <v>13.804593597524692</v>
      </c>
      <c r="E98" s="232">
        <f t="shared" si="7"/>
        <v>0.28010000000000002</v>
      </c>
      <c r="F98" s="501"/>
      <c r="G98" s="500">
        <v>9.7698067241214446</v>
      </c>
      <c r="H98" s="501">
        <f t="shared" si="4"/>
        <v>102.25624887055328</v>
      </c>
      <c r="I98" s="220">
        <v>92</v>
      </c>
      <c r="J98" s="489" t="s">
        <v>2013</v>
      </c>
      <c r="K98" s="475" t="s">
        <v>2055</v>
      </c>
      <c r="L98" s="475" t="s">
        <v>2056</v>
      </c>
      <c r="M98" s="157" t="s">
        <v>155</v>
      </c>
      <c r="N98" s="157"/>
      <c r="O98" s="475" t="s">
        <v>1965</v>
      </c>
      <c r="P98" s="475" t="s">
        <v>1984</v>
      </c>
      <c r="Q98" s="497">
        <v>43700</v>
      </c>
      <c r="R98" s="220"/>
      <c r="S98" s="220"/>
    </row>
    <row r="99" spans="1:19">
      <c r="A99" s="220">
        <v>93</v>
      </c>
      <c r="D99" s="227">
        <f t="shared" si="6"/>
        <v>15.398911456259125</v>
      </c>
      <c r="E99" s="232">
        <f t="shared" si="7"/>
        <v>0.25109999999999999</v>
      </c>
      <c r="F99" s="501"/>
      <c r="G99" s="500">
        <v>10.349504985378571</v>
      </c>
      <c r="H99" s="501"/>
      <c r="I99" s="220">
        <v>93</v>
      </c>
      <c r="J99" s="489"/>
      <c r="K99" s="475"/>
      <c r="L99" s="475"/>
      <c r="M99" s="157"/>
      <c r="N99" s="157"/>
      <c r="O99" s="475"/>
      <c r="P99" s="475"/>
      <c r="Q99" s="497"/>
      <c r="R99" s="220"/>
      <c r="S99" s="220"/>
    </row>
    <row r="100" spans="1:19">
      <c r="A100" s="220">
        <v>94</v>
      </c>
      <c r="D100" s="227">
        <f t="shared" si="6"/>
        <v>17.472510920319323</v>
      </c>
      <c r="E100" s="232">
        <f t="shared" si="7"/>
        <v>0.2213</v>
      </c>
      <c r="F100" s="501"/>
      <c r="G100" s="500">
        <v>11.021221714151718</v>
      </c>
      <c r="H100" s="501"/>
      <c r="I100" s="220">
        <v>94</v>
      </c>
      <c r="J100" s="489"/>
      <c r="K100" s="475"/>
      <c r="L100" s="475"/>
      <c r="M100" s="157"/>
      <c r="N100" s="157"/>
      <c r="O100" s="475"/>
      <c r="P100" s="475"/>
      <c r="Q100" s="497"/>
      <c r="R100" s="220"/>
      <c r="S100" s="220"/>
    </row>
    <row r="101" spans="1:19">
      <c r="A101" s="220">
        <v>95</v>
      </c>
      <c r="D101" s="227">
        <f t="shared" si="6"/>
        <v>20.286813571178733</v>
      </c>
      <c r="E101" s="232">
        <f t="shared" si="7"/>
        <v>0.19059999999999999</v>
      </c>
      <c r="F101" s="501"/>
      <c r="G101" s="500">
        <v>11.807858506682745</v>
      </c>
      <c r="H101" s="501"/>
      <c r="I101" s="220">
        <v>95</v>
      </c>
      <c r="J101" s="489"/>
      <c r="K101" s="475"/>
      <c r="L101" s="475"/>
      <c r="M101" s="157"/>
      <c r="N101" s="157"/>
      <c r="O101" s="475"/>
      <c r="P101" s="475"/>
      <c r="Q101" s="497"/>
      <c r="R101" s="220"/>
      <c r="S101" s="220"/>
    </row>
    <row r="102" spans="1:19">
      <c r="A102" s="220">
        <v>96</v>
      </c>
      <c r="B102" s="262">
        <v>9.6759259259259264E-3</v>
      </c>
      <c r="C102" s="227">
        <f>B102*1440</f>
        <v>13.933333333333334</v>
      </c>
      <c r="D102" s="227">
        <f t="shared" si="6"/>
        <v>24.288107202680063</v>
      </c>
      <c r="E102" s="232">
        <f t="shared" si="7"/>
        <v>0.15920000000000001</v>
      </c>
      <c r="F102" s="501"/>
      <c r="G102" s="500">
        <v>12.7406491767372</v>
      </c>
      <c r="H102" s="501">
        <f t="shared" si="4"/>
        <v>174.31655887090955</v>
      </c>
      <c r="I102" s="220">
        <v>96</v>
      </c>
      <c r="J102" s="495">
        <v>0.5805555555555556</v>
      </c>
      <c r="K102" s="183" t="s">
        <v>1776</v>
      </c>
      <c r="L102" s="183" t="s">
        <v>2057</v>
      </c>
      <c r="M102" s="157" t="s">
        <v>155</v>
      </c>
      <c r="N102" s="157"/>
      <c r="O102" s="183" t="s">
        <v>2058</v>
      </c>
      <c r="P102" s="183" t="s">
        <v>2059</v>
      </c>
      <c r="Q102" s="498">
        <v>43215</v>
      </c>
      <c r="R102" s="220"/>
      <c r="S102" s="220"/>
    </row>
    <row r="103" spans="1:19">
      <c r="A103" s="220">
        <v>97</v>
      </c>
      <c r="D103" s="227">
        <f t="shared" si="6"/>
        <v>30.470186498555286</v>
      </c>
      <c r="E103" s="232">
        <f t="shared" si="7"/>
        <v>0.12690000000000001</v>
      </c>
      <c r="F103" s="501"/>
      <c r="G103" s="500">
        <v>13.86332531030251</v>
      </c>
      <c r="H103" s="501"/>
      <c r="I103" s="220">
        <v>97</v>
      </c>
      <c r="J103" s="220"/>
      <c r="K103" s="220"/>
      <c r="L103" s="220"/>
      <c r="M103" s="220"/>
      <c r="N103" s="220"/>
      <c r="O103" s="220"/>
      <c r="P103" s="220"/>
      <c r="Q103" s="220"/>
      <c r="R103" s="220"/>
      <c r="S103" s="220"/>
    </row>
    <row r="104" spans="1:19">
      <c r="A104" s="220">
        <v>98</v>
      </c>
      <c r="D104" s="227">
        <f t="shared" si="6"/>
        <v>41.178558750443734</v>
      </c>
      <c r="E104" s="232">
        <f t="shared" si="7"/>
        <v>9.3899999999999997E-2</v>
      </c>
      <c r="F104" s="501"/>
      <c r="G104" s="500">
        <v>15.239058680102977</v>
      </c>
      <c r="H104" s="501"/>
      <c r="I104" s="220">
        <v>98</v>
      </c>
      <c r="J104" s="220"/>
      <c r="K104" s="220"/>
      <c r="L104" s="220"/>
      <c r="M104" s="220"/>
      <c r="N104" s="220"/>
      <c r="O104" s="220"/>
      <c r="P104" s="220"/>
      <c r="Q104" s="220"/>
      <c r="R104" s="220"/>
      <c r="S104" s="220"/>
    </row>
    <row r="105" spans="1:19">
      <c r="A105" s="220">
        <v>99</v>
      </c>
      <c r="D105" s="227">
        <f>E$4/E105</f>
        <v>64.337215751525221</v>
      </c>
      <c r="E105" s="232">
        <f t="shared" si="7"/>
        <v>6.0100000000000001E-2</v>
      </c>
      <c r="F105" s="501"/>
      <c r="G105" s="500">
        <v>16.962610076512199</v>
      </c>
      <c r="H105" s="501"/>
      <c r="I105" s="220">
        <v>99</v>
      </c>
      <c r="J105" s="220"/>
      <c r="K105" s="220"/>
      <c r="L105" s="220"/>
      <c r="M105" s="220"/>
      <c r="N105" s="220"/>
      <c r="O105" s="220"/>
      <c r="P105" s="220"/>
      <c r="Q105" s="220"/>
      <c r="R105" s="220"/>
      <c r="S105" s="220"/>
    </row>
    <row r="106" spans="1:19">
      <c r="A106" s="220">
        <v>100</v>
      </c>
      <c r="D106" s="227">
        <f>E$4/E106</f>
        <v>152.2309711286089</v>
      </c>
      <c r="E106" s="232">
        <f t="shared" si="7"/>
        <v>2.5399999999999999E-2</v>
      </c>
      <c r="F106" s="501"/>
      <c r="G106" s="500">
        <v>19.182890494265539</v>
      </c>
      <c r="H106" s="501"/>
      <c r="I106" s="220">
        <v>100</v>
      </c>
      <c r="J106" s="220"/>
      <c r="K106" s="220"/>
      <c r="L106" s="220"/>
      <c r="M106" s="220"/>
      <c r="N106" s="220"/>
      <c r="O106" s="220"/>
      <c r="P106" s="220"/>
      <c r="Q106" s="220"/>
      <c r="R106" s="220"/>
      <c r="S106" s="220"/>
    </row>
    <row r="107" spans="1:19">
      <c r="J107" s="220"/>
      <c r="K107" s="220"/>
      <c r="L107" s="220"/>
      <c r="M107" s="220"/>
      <c r="N107" s="220"/>
      <c r="O107" s="220"/>
      <c r="P107" s="220"/>
      <c r="Q107" s="220"/>
      <c r="R107" s="220"/>
      <c r="S107" s="220"/>
    </row>
  </sheetData>
  <pageMargins left="0.7" right="0.7" top="0.75" bottom="0.75" header="0.3" footer="0.3"/>
  <pageSetup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W108"/>
  <sheetViews>
    <sheetView tabSelected="1" zoomScale="87" zoomScaleNormal="87" workbookViewId="0">
      <pane xSplit="1" ySplit="5" topLeftCell="B48" activePane="bottomRight" state="frozen"/>
      <selection pane="topRight"/>
      <selection pane="bottomLeft"/>
      <selection pane="bottomRight" activeCell="C75" sqref="C75"/>
    </sheetView>
  </sheetViews>
  <sheetFormatPr defaultColWidth="9.6640625" defaultRowHeight="15"/>
  <cols>
    <col min="1" max="1" width="10.77734375" style="1" customWidth="1"/>
    <col min="2" max="2" width="9.5546875" style="1" customWidth="1"/>
    <col min="3" max="3" width="10.44140625" style="1" customWidth="1"/>
    <col min="4" max="4" width="10.33203125" style="1" customWidth="1"/>
    <col min="5" max="5" width="9.5546875" style="1" customWidth="1"/>
    <col min="6" max="8" width="7.6640625" style="1" customWidth="1"/>
    <col min="9" max="9" width="7.33203125" style="1" customWidth="1"/>
    <col min="10" max="22" width="7.6640625" style="1" customWidth="1"/>
    <col min="23" max="16384" width="9.6640625" style="1"/>
  </cols>
  <sheetData>
    <row r="1" spans="1:23" ht="24" thickBot="1">
      <c r="A1" s="442" t="s">
        <v>2251</v>
      </c>
      <c r="B1" s="443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220"/>
    </row>
    <row r="2" spans="1:23" ht="15.75" thickBot="1">
      <c r="A2" s="444" t="s">
        <v>69</v>
      </c>
      <c r="B2" s="445" t="s">
        <v>380</v>
      </c>
      <c r="C2" s="446" t="s">
        <v>115</v>
      </c>
      <c r="D2" s="446" t="s">
        <v>116</v>
      </c>
      <c r="E2" s="446" t="s">
        <v>117</v>
      </c>
      <c r="F2" s="446" t="s">
        <v>118</v>
      </c>
      <c r="G2" s="446" t="s">
        <v>119</v>
      </c>
      <c r="H2" s="446" t="s">
        <v>120</v>
      </c>
      <c r="I2" s="446" t="s">
        <v>121</v>
      </c>
      <c r="J2" s="446" t="s">
        <v>122</v>
      </c>
      <c r="K2" s="446" t="s">
        <v>123</v>
      </c>
      <c r="L2" s="446" t="s">
        <v>124</v>
      </c>
      <c r="M2" s="446" t="s">
        <v>9</v>
      </c>
      <c r="N2" s="446" t="s">
        <v>125</v>
      </c>
      <c r="O2" s="446" t="s">
        <v>126</v>
      </c>
      <c r="P2" s="446" t="s">
        <v>10</v>
      </c>
      <c r="Q2" s="446" t="s">
        <v>89</v>
      </c>
      <c r="R2" s="446" t="s">
        <v>127</v>
      </c>
      <c r="S2" s="446" t="s">
        <v>128</v>
      </c>
      <c r="T2" s="446" t="s">
        <v>129</v>
      </c>
      <c r="U2" s="446" t="s">
        <v>130</v>
      </c>
      <c r="V2" s="446" t="s">
        <v>131</v>
      </c>
      <c r="W2" s="47"/>
    </row>
    <row r="3" spans="1:23">
      <c r="A3" s="444" t="s">
        <v>0</v>
      </c>
      <c r="B3" s="447">
        <v>1.6093440000000001</v>
      </c>
      <c r="C3" s="446">
        <f>Parameters!B13</f>
        <v>5</v>
      </c>
      <c r="D3" s="446">
        <f>Parameters!B14</f>
        <v>6</v>
      </c>
      <c r="E3" s="446">
        <f>Parameters!B15</f>
        <v>6.4373760000000004</v>
      </c>
      <c r="F3" s="446">
        <f>Parameters!B16</f>
        <v>8</v>
      </c>
      <c r="G3" s="448">
        <f>Parameters!B17</f>
        <v>8.0467200000000005</v>
      </c>
      <c r="H3" s="446">
        <f>Parameters!B18</f>
        <v>10</v>
      </c>
      <c r="I3" s="446">
        <f>Parameters!B19</f>
        <v>12</v>
      </c>
      <c r="J3" s="446">
        <f>Parameters!B20</f>
        <v>15</v>
      </c>
      <c r="K3" s="446">
        <f>Parameters!B21</f>
        <v>16.093440000000001</v>
      </c>
      <c r="L3" s="446">
        <f>Parameters!B22</f>
        <v>20</v>
      </c>
      <c r="M3" s="446">
        <f>Parameters!B23</f>
        <v>21.0975</v>
      </c>
      <c r="N3" s="446">
        <f>Parameters!B24</f>
        <v>25</v>
      </c>
      <c r="O3" s="446">
        <f>Parameters!B25</f>
        <v>30</v>
      </c>
      <c r="P3" s="446">
        <f>Parameters!B26</f>
        <v>42.195</v>
      </c>
      <c r="Q3" s="472">
        <f>Parameters!$B27</f>
        <v>50</v>
      </c>
      <c r="R3" s="473">
        <f>Parameters!$B28</f>
        <v>80.467200000000005</v>
      </c>
      <c r="S3" s="472">
        <f>Parameters!$B29</f>
        <v>100</v>
      </c>
      <c r="T3" s="472">
        <f>Parameters!$B30</f>
        <v>150</v>
      </c>
      <c r="U3" s="473">
        <f>Parameters!$B31</f>
        <v>160.93440000000001</v>
      </c>
      <c r="V3" s="472">
        <f>Parameters!$B32</f>
        <v>200</v>
      </c>
      <c r="W3" s="47"/>
    </row>
    <row r="4" spans="1:23">
      <c r="A4" s="449" t="s">
        <v>113</v>
      </c>
      <c r="B4" s="450">
        <f>Parameters!H12</f>
        <v>231.99999999999997</v>
      </c>
      <c r="C4" s="450">
        <f>Parameters!H13</f>
        <v>769</v>
      </c>
      <c r="D4" s="450">
        <f>Parameters!H14</f>
        <v>930</v>
      </c>
      <c r="E4" s="450">
        <f>Parameters!H15</f>
        <v>1000</v>
      </c>
      <c r="F4" s="450">
        <f>Parameters!$H16</f>
        <v>1255</v>
      </c>
      <c r="G4" s="450">
        <f>Parameters!H17</f>
        <v>1264</v>
      </c>
      <c r="H4" s="450">
        <f>Parameters!$H18</f>
        <v>1584</v>
      </c>
      <c r="I4" s="450">
        <f>Parameters!$H19</f>
        <v>1915</v>
      </c>
      <c r="J4" s="450">
        <f>Parameters!$H20</f>
        <v>2415</v>
      </c>
      <c r="K4" s="450">
        <f>Parameters!$H21</f>
        <v>2595</v>
      </c>
      <c r="L4" s="450">
        <f>Parameters!$H22</f>
        <v>3260</v>
      </c>
      <c r="M4" s="450">
        <f>Parameters!$H23</f>
        <v>3451.0000000000005</v>
      </c>
      <c r="N4" s="450">
        <f>Parameters!$H24</f>
        <v>4110</v>
      </c>
      <c r="O4" s="450">
        <f>Parameters!$H25</f>
        <v>4980</v>
      </c>
      <c r="P4" s="450">
        <f>Parameters!$H26</f>
        <v>7235</v>
      </c>
      <c r="Q4" s="450">
        <f>Parameters!$H27</f>
        <v>8820</v>
      </c>
      <c r="R4" s="450">
        <f>Parameters!$H28</f>
        <v>16080</v>
      </c>
      <c r="S4" s="450">
        <f>Parameters!$H29</f>
        <v>21360</v>
      </c>
      <c r="T4" s="450">
        <f>Parameters!$H30</f>
        <v>36300</v>
      </c>
      <c r="U4" s="450">
        <f>Parameters!$H31</f>
        <v>39790</v>
      </c>
      <c r="V4" s="450">
        <f>Parameters!$H32</f>
        <v>52800.000000000007</v>
      </c>
      <c r="W4" s="47"/>
    </row>
    <row r="5" spans="1:23" ht="15.75" thickBot="1">
      <c r="A5" s="449" t="s">
        <v>114</v>
      </c>
      <c r="B5" s="451">
        <f>B4/86400</f>
        <v>2.685185185185185E-3</v>
      </c>
      <c r="C5" s="451">
        <f>C4/86400</f>
        <v>8.9004629629629625E-3</v>
      </c>
      <c r="D5" s="451">
        <f>D4/86400</f>
        <v>1.0763888888888889E-2</v>
      </c>
      <c r="E5" s="451">
        <f>ROUND(+E4/86400,4)</f>
        <v>1.1599999999999999E-2</v>
      </c>
      <c r="F5" s="451">
        <f t="shared" ref="F5:V5" si="0">F4/86400</f>
        <v>1.4525462962962962E-2</v>
      </c>
      <c r="G5" s="451">
        <f t="shared" si="0"/>
        <v>1.462962962962963E-2</v>
      </c>
      <c r="H5" s="451">
        <f t="shared" si="0"/>
        <v>1.8333333333333333E-2</v>
      </c>
      <c r="I5" s="451">
        <f t="shared" si="0"/>
        <v>2.2164351851851852E-2</v>
      </c>
      <c r="J5" s="451">
        <f t="shared" si="0"/>
        <v>2.795138888888889E-2</v>
      </c>
      <c r="K5" s="451">
        <f t="shared" si="0"/>
        <v>3.0034722222222223E-2</v>
      </c>
      <c r="L5" s="451">
        <f t="shared" si="0"/>
        <v>3.7731481481481484E-2</v>
      </c>
      <c r="M5" s="451">
        <f t="shared" si="0"/>
        <v>3.9942129629629633E-2</v>
      </c>
      <c r="N5" s="451">
        <f t="shared" si="0"/>
        <v>4.7569444444444442E-2</v>
      </c>
      <c r="O5" s="451">
        <f t="shared" si="0"/>
        <v>5.7638888888888892E-2</v>
      </c>
      <c r="P5" s="451">
        <f t="shared" si="0"/>
        <v>8.3738425925925924E-2</v>
      </c>
      <c r="Q5" s="451">
        <f t="shared" si="0"/>
        <v>0.10208333333333333</v>
      </c>
      <c r="R5" s="451">
        <f t="shared" si="0"/>
        <v>0.18611111111111112</v>
      </c>
      <c r="S5" s="451">
        <f t="shared" si="0"/>
        <v>0.24722222222222223</v>
      </c>
      <c r="T5" s="452">
        <f t="shared" si="0"/>
        <v>0.4201388888888889</v>
      </c>
      <c r="U5" s="452">
        <f t="shared" si="0"/>
        <v>0.46053240740740742</v>
      </c>
      <c r="V5" s="452">
        <f t="shared" si="0"/>
        <v>0.61111111111111116</v>
      </c>
      <c r="W5" s="47"/>
    </row>
    <row r="6" spans="1:23">
      <c r="A6" s="453">
        <v>5</v>
      </c>
      <c r="B6" s="454">
        <f>ROUND(+Mile!E11,4)</f>
        <v>0.72199999999999998</v>
      </c>
      <c r="C6" s="454">
        <f>ROUND(+'5K'!E11,4)</f>
        <v>0.55310000000000004</v>
      </c>
      <c r="D6" s="454">
        <f>ROUND(+'6K'!E11,4)</f>
        <v>0.54110000000000003</v>
      </c>
      <c r="E6" s="454">
        <f>ROUND(+'4MI'!E11,4)</f>
        <v>0.53639999999999999</v>
      </c>
      <c r="F6" s="454">
        <f>ROUND(+'8K'!$E11,4)</f>
        <v>0.52200000000000002</v>
      </c>
      <c r="G6" s="454">
        <f>ROUND(+'5MI'!E11,4)</f>
        <v>0.52170000000000005</v>
      </c>
      <c r="H6" s="454">
        <f>ROUND(+'10K'!$E11,4)</f>
        <v>0.50729999999999997</v>
      </c>
      <c r="I6" s="454">
        <f>ROUND(+'12K'!$E11,4)</f>
        <v>0.49630000000000002</v>
      </c>
      <c r="J6" s="454">
        <f>ROUND(+'15K'!$E11,4)</f>
        <v>0.48280000000000001</v>
      </c>
      <c r="K6" s="454">
        <f>ROUND(+'10MI'!$E11,4)</f>
        <v>0.47849999999999998</v>
      </c>
      <c r="L6" s="454">
        <f>ROUND(+'20K'!$E11,4)</f>
        <v>0.46529999999999999</v>
      </c>
      <c r="M6" s="454">
        <f>ROUND(+H.Marathon!$E11,4)</f>
        <v>0.46210000000000001</v>
      </c>
      <c r="N6" s="454">
        <f>ROUND(+'25K'!$E11,4)</f>
        <v>0.45700000000000002</v>
      </c>
      <c r="O6" s="454">
        <f>ROUND(+'30K'!$E11,4)</f>
        <v>0.4516</v>
      </c>
      <c r="P6" s="454">
        <f>ROUND(+Marathon!$E11,4)</f>
        <v>0.44140000000000001</v>
      </c>
      <c r="Q6" s="454">
        <f>ROUND(+Marathon!$E11,4)</f>
        <v>0.44140000000000001</v>
      </c>
      <c r="R6" s="454">
        <f>ROUND(+Marathon!$E11,4)</f>
        <v>0.44140000000000001</v>
      </c>
      <c r="S6" s="454">
        <f>ROUND(+Marathon!$E11,4)</f>
        <v>0.44140000000000001</v>
      </c>
      <c r="T6" s="454">
        <f>ROUND(+Marathon!$E11,4)</f>
        <v>0.44140000000000001</v>
      </c>
      <c r="U6" s="454">
        <f>ROUND(+Marathon!$E11,4)</f>
        <v>0.44140000000000001</v>
      </c>
      <c r="V6" s="454">
        <f>ROUND(+Marathon!$E11,4)</f>
        <v>0.44140000000000001</v>
      </c>
      <c r="W6" s="47"/>
    </row>
    <row r="7" spans="1:23">
      <c r="A7" s="449">
        <v>6</v>
      </c>
      <c r="B7" s="455">
        <f>ROUND(+Mile!E12,4)</f>
        <v>0.75129999999999997</v>
      </c>
      <c r="C7" s="455">
        <f>ROUND(+'5K'!E12,4)</f>
        <v>0.61580000000000001</v>
      </c>
      <c r="D7" s="455">
        <f>ROUND(+'6K'!E12,4)</f>
        <v>0.60319999999999996</v>
      </c>
      <c r="E7" s="455">
        <f>ROUND(+'4MI'!E12,4)</f>
        <v>0.59830000000000005</v>
      </c>
      <c r="F7" s="455">
        <f>ROUND(+'8K'!$E12,4)</f>
        <v>0.58330000000000004</v>
      </c>
      <c r="G7" s="455">
        <f>ROUND(+'5MI'!E12,4)</f>
        <v>0.58279999999999998</v>
      </c>
      <c r="H7" s="455">
        <f>ROUND(+'10K'!$E12,4)</f>
        <v>0.56779999999999997</v>
      </c>
      <c r="I7" s="456">
        <f>ROUND(+'12K'!$E12,4)</f>
        <v>0.56010000000000004</v>
      </c>
      <c r="J7" s="455">
        <f>ROUND(+'15K'!$E12,4)</f>
        <v>0.55069999999999997</v>
      </c>
      <c r="K7" s="455">
        <f>ROUND(+'10MI'!$E12,4)</f>
        <v>0.54779999999999995</v>
      </c>
      <c r="L7" s="455">
        <f>ROUND(+'20K'!$E12,4)</f>
        <v>0.53859999999999997</v>
      </c>
      <c r="M7" s="455">
        <f>ROUND(+H.Marathon!$E12,4)</f>
        <v>0.53639999999999999</v>
      </c>
      <c r="N7" s="455">
        <f>ROUND(+'25K'!$E12,4)</f>
        <v>0.52939999999999998</v>
      </c>
      <c r="O7" s="455">
        <f>ROUND(+'30K'!$E12,4)</f>
        <v>0.52200000000000002</v>
      </c>
      <c r="P7" s="455">
        <f>ROUND(+Marathon!$E12,4)</f>
        <v>0.50800000000000001</v>
      </c>
      <c r="Q7" s="455">
        <f>ROUND(+Marathon!$E12,4)</f>
        <v>0.50800000000000001</v>
      </c>
      <c r="R7" s="455">
        <f>ROUND(+Marathon!$E12,4)</f>
        <v>0.50800000000000001</v>
      </c>
      <c r="S7" s="455">
        <f>ROUND(+Marathon!$E12,4)</f>
        <v>0.50800000000000001</v>
      </c>
      <c r="T7" s="455">
        <f>ROUND(+Marathon!$E12,4)</f>
        <v>0.50800000000000001</v>
      </c>
      <c r="U7" s="455">
        <f>ROUND(+Marathon!$E12,4)</f>
        <v>0.50800000000000001</v>
      </c>
      <c r="V7" s="455">
        <f>ROUND(+Marathon!$E12,4)</f>
        <v>0.50800000000000001</v>
      </c>
      <c r="W7" s="47"/>
    </row>
    <row r="8" spans="1:23">
      <c r="A8" s="449">
        <v>7</v>
      </c>
      <c r="B8" s="455">
        <f>ROUND(+Mile!E13,4)</f>
        <v>0.7792</v>
      </c>
      <c r="C8" s="455">
        <f>ROUND(+'5K'!E13,4)</f>
        <v>0.67359999999999998</v>
      </c>
      <c r="D8" s="455">
        <f>ROUND(+'6K'!E13,4)</f>
        <v>0.66059999999999997</v>
      </c>
      <c r="E8" s="455">
        <f>ROUND(+'4MI'!E13,4)</f>
        <v>0.65559999999999996</v>
      </c>
      <c r="F8" s="455">
        <f>ROUND(+'8K'!$E13,4)</f>
        <v>0.64019999999999999</v>
      </c>
      <c r="G8" s="455">
        <f>ROUND(+'5MI'!E13,4)</f>
        <v>0.63980000000000004</v>
      </c>
      <c r="H8" s="455">
        <f>ROUND(+'10K'!$E13,4)</f>
        <v>0.62429999999999997</v>
      </c>
      <c r="I8" s="456">
        <f>ROUND(+'12K'!$E13,4)</f>
        <v>0.61960000000000004</v>
      </c>
      <c r="J8" s="455">
        <f>ROUND(+'15K'!$E13,4)</f>
        <v>0.61380000000000001</v>
      </c>
      <c r="K8" s="455">
        <f>ROUND(+'10MI'!$E13,4)</f>
        <v>0.61199999999999999</v>
      </c>
      <c r="L8" s="455">
        <f>ROUND(+'20K'!$E13,4)</f>
        <v>0.60640000000000005</v>
      </c>
      <c r="M8" s="455">
        <f>ROUND(+H.Marathon!$E13,4)</f>
        <v>0.60499999999999998</v>
      </c>
      <c r="N8" s="455">
        <f>ROUND(+'25K'!$E13,4)</f>
        <v>0.59650000000000003</v>
      </c>
      <c r="O8" s="455">
        <f>ROUND(+'30K'!$E13,4)</f>
        <v>0.58730000000000004</v>
      </c>
      <c r="P8" s="455">
        <f>ROUND(+Marathon!$E13,4)</f>
        <v>0.57020000000000004</v>
      </c>
      <c r="Q8" s="455">
        <f>ROUND(+Marathon!$E13,4)</f>
        <v>0.57020000000000004</v>
      </c>
      <c r="R8" s="455">
        <f>ROUND(+Marathon!$E13,4)</f>
        <v>0.57020000000000004</v>
      </c>
      <c r="S8" s="455">
        <f>ROUND(+Marathon!$E13,4)</f>
        <v>0.57020000000000004</v>
      </c>
      <c r="T8" s="455">
        <f>ROUND(+Marathon!$E13,4)</f>
        <v>0.57020000000000004</v>
      </c>
      <c r="U8" s="455">
        <f>ROUND(+Marathon!$E13,4)</f>
        <v>0.57020000000000004</v>
      </c>
      <c r="V8" s="455">
        <f>ROUND(+Marathon!$E13,4)</f>
        <v>0.57020000000000004</v>
      </c>
      <c r="W8" s="47"/>
    </row>
    <row r="9" spans="1:23">
      <c r="A9" s="449">
        <v>8</v>
      </c>
      <c r="B9" s="455">
        <f>ROUND(+Mile!E14,4)</f>
        <v>0.80569999999999997</v>
      </c>
      <c r="C9" s="455">
        <f>ROUND(+'5K'!E14,4)</f>
        <v>0.72670000000000001</v>
      </c>
      <c r="D9" s="455">
        <f>ROUND(+'6K'!E14,4)</f>
        <v>0.71360000000000001</v>
      </c>
      <c r="E9" s="455">
        <f>ROUND(+'4MI'!E14,4)</f>
        <v>0.70850000000000002</v>
      </c>
      <c r="F9" s="455">
        <f>ROUND(+'8K'!$E14,4)</f>
        <v>0.69289999999999996</v>
      </c>
      <c r="G9" s="455">
        <f>ROUND(+'5MI'!E14,4)</f>
        <v>0.69240000000000002</v>
      </c>
      <c r="H9" s="455">
        <f>ROUND(+'10K'!$E14,4)</f>
        <v>0.67679999999999996</v>
      </c>
      <c r="I9" s="456">
        <f>ROUND(+'12K'!$E14,4)</f>
        <v>0.67459999999999998</v>
      </c>
      <c r="J9" s="455">
        <f>ROUND(+'15K'!$E14,4)</f>
        <v>0.67190000000000005</v>
      </c>
      <c r="K9" s="455">
        <f>ROUND(+'10MI'!$E14,4)</f>
        <v>0.67110000000000003</v>
      </c>
      <c r="L9" s="455">
        <f>ROUND(+'20K'!$E14,4)</f>
        <v>0.66839999999999999</v>
      </c>
      <c r="M9" s="455">
        <f>ROUND(+H.Marathon!$E14,4)</f>
        <v>0.66779999999999995</v>
      </c>
      <c r="N9" s="455">
        <f>ROUND(+'25K'!$E14,4)</f>
        <v>0.65800000000000003</v>
      </c>
      <c r="O9" s="455">
        <f>ROUND(+'30K'!$E14,4)</f>
        <v>0.64749999999999996</v>
      </c>
      <c r="P9" s="455">
        <f>ROUND(+Marathon!$E14,4)</f>
        <v>0.62790000000000001</v>
      </c>
      <c r="Q9" s="455">
        <f>ROUND(+Marathon!$E14,4)</f>
        <v>0.62790000000000001</v>
      </c>
      <c r="R9" s="455">
        <f>ROUND(+Marathon!$E14,4)</f>
        <v>0.62790000000000001</v>
      </c>
      <c r="S9" s="455">
        <f>ROUND(+Marathon!$E14,4)</f>
        <v>0.62790000000000001</v>
      </c>
      <c r="T9" s="455">
        <f>ROUND(+Marathon!$E14,4)</f>
        <v>0.62790000000000001</v>
      </c>
      <c r="U9" s="455">
        <f>ROUND(+Marathon!$E14,4)</f>
        <v>0.62790000000000001</v>
      </c>
      <c r="V9" s="455">
        <f>ROUND(+Marathon!$E14,4)</f>
        <v>0.62790000000000001</v>
      </c>
      <c r="W9" s="47"/>
    </row>
    <row r="10" spans="1:23">
      <c r="A10" s="449">
        <v>9</v>
      </c>
      <c r="B10" s="455">
        <f>ROUND(+Mile!E15,4)</f>
        <v>0.83079999999999998</v>
      </c>
      <c r="C10" s="455">
        <f>ROUND(+'5K'!E15,4)</f>
        <v>0.77490000000000003</v>
      </c>
      <c r="D10" s="455">
        <f>ROUND(+'6K'!E15,4)</f>
        <v>0.76190000000000002</v>
      </c>
      <c r="E10" s="455">
        <f>ROUND(+'4MI'!E15,4)</f>
        <v>0.75680000000000003</v>
      </c>
      <c r="F10" s="455">
        <f>ROUND(+'8K'!$E15,4)</f>
        <v>0.74129999999999996</v>
      </c>
      <c r="G10" s="455">
        <f>ROUND(+'5MI'!E15,4)</f>
        <v>0.7409</v>
      </c>
      <c r="H10" s="455">
        <f>ROUND(+'10K'!$E15,4)</f>
        <v>0.72529999999999994</v>
      </c>
      <c r="I10" s="456">
        <f>ROUND(+'12K'!$E15,4)</f>
        <v>0.72519999999999996</v>
      </c>
      <c r="J10" s="455">
        <f>ROUND(+'15K'!$E15,4)</f>
        <v>0.72499999999999998</v>
      </c>
      <c r="K10" s="455">
        <f>ROUND(+'10MI'!$E15,4)</f>
        <v>0.72499999999999998</v>
      </c>
      <c r="L10" s="455">
        <f>ROUND(+'20K'!$E15,4)</f>
        <v>0.7248</v>
      </c>
      <c r="M10" s="455">
        <f>ROUND(+H.Marathon!$E15,4)</f>
        <v>0.7248</v>
      </c>
      <c r="N10" s="455">
        <f>ROUND(+'25K'!$E15,4)</f>
        <v>0.71409999999999996</v>
      </c>
      <c r="O10" s="455">
        <f>ROUND(+'30K'!$E15,4)</f>
        <v>0.70269999999999999</v>
      </c>
      <c r="P10" s="455">
        <f>ROUND(+Marathon!$E15,4)</f>
        <v>0.68120000000000003</v>
      </c>
      <c r="Q10" s="455">
        <f>ROUND(+Marathon!$E15,4)</f>
        <v>0.68120000000000003</v>
      </c>
      <c r="R10" s="455">
        <f>ROUND(+Marathon!$E15,4)</f>
        <v>0.68120000000000003</v>
      </c>
      <c r="S10" s="455">
        <f>ROUND(+Marathon!$E15,4)</f>
        <v>0.68120000000000003</v>
      </c>
      <c r="T10" s="455">
        <f>ROUND(+Marathon!$E15,4)</f>
        <v>0.68120000000000003</v>
      </c>
      <c r="U10" s="455">
        <f>ROUND(+Marathon!$E15,4)</f>
        <v>0.68120000000000003</v>
      </c>
      <c r="V10" s="455">
        <f>ROUND(+Marathon!$E15,4)</f>
        <v>0.68120000000000003</v>
      </c>
      <c r="W10" s="47"/>
    </row>
    <row r="11" spans="1:23">
      <c r="A11" s="457">
        <v>10</v>
      </c>
      <c r="B11" s="458">
        <f>ROUND(+Mile!E16,4)</f>
        <v>0.85450000000000004</v>
      </c>
      <c r="C11" s="458">
        <f>ROUND(+'5K'!E16,4)</f>
        <v>0.81840000000000002</v>
      </c>
      <c r="D11" s="458">
        <f>ROUND(+'6K'!E16,4)</f>
        <v>0.80559999999999998</v>
      </c>
      <c r="E11" s="458">
        <f>ROUND(+'4MI'!E16,4)</f>
        <v>0.80069999999999997</v>
      </c>
      <c r="F11" s="458">
        <f>ROUND(+'8K'!$E16,4)</f>
        <v>0.78539999999999999</v>
      </c>
      <c r="G11" s="458">
        <f>ROUND(+'5MI'!E16,4)</f>
        <v>0.78500000000000003</v>
      </c>
      <c r="H11" s="458">
        <f>ROUND(+'10K'!$E16,4)</f>
        <v>0.76980000000000004</v>
      </c>
      <c r="I11" s="458">
        <f>ROUND(+'12K'!$E16,4)</f>
        <v>0.77139999999999997</v>
      </c>
      <c r="J11" s="458">
        <f>ROUND(+'15K'!$E16,4)</f>
        <v>0.77329999999999999</v>
      </c>
      <c r="K11" s="458">
        <f>ROUND(+'10MI'!$E16,4)</f>
        <v>0.77390000000000003</v>
      </c>
      <c r="L11" s="458">
        <f>ROUND(+'20K'!$E16,4)</f>
        <v>0.77569999999999995</v>
      </c>
      <c r="M11" s="458">
        <f>ROUND(+H.Marathon!$E16,4)</f>
        <v>0.7762</v>
      </c>
      <c r="N11" s="458">
        <f>ROUND(+'25K'!$E16,4)</f>
        <v>0.76490000000000002</v>
      </c>
      <c r="O11" s="458">
        <f>ROUND(+'30K'!$E16,4)</f>
        <v>0.75280000000000002</v>
      </c>
      <c r="P11" s="458">
        <f>ROUND(+Marathon!$E16,4)</f>
        <v>0.73009999999999997</v>
      </c>
      <c r="Q11" s="458">
        <f>ROUND(+Marathon!$E16,4)</f>
        <v>0.73009999999999997</v>
      </c>
      <c r="R11" s="458">
        <f>ROUND(+Marathon!$E16,4)</f>
        <v>0.73009999999999997</v>
      </c>
      <c r="S11" s="458">
        <f>ROUND(+Marathon!$E16,4)</f>
        <v>0.73009999999999997</v>
      </c>
      <c r="T11" s="458">
        <f>ROUND(+Marathon!$E16,4)</f>
        <v>0.73009999999999997</v>
      </c>
      <c r="U11" s="458">
        <f>ROUND(+Marathon!$E16,4)</f>
        <v>0.73009999999999997</v>
      </c>
      <c r="V11" s="458">
        <f>ROUND(+Marathon!$E16,4)</f>
        <v>0.73009999999999997</v>
      </c>
      <c r="W11" s="47"/>
    </row>
    <row r="12" spans="1:23">
      <c r="A12" s="449">
        <v>11</v>
      </c>
      <c r="B12" s="455">
        <f>ROUND(+Mile!E17,4)</f>
        <v>0.87680000000000002</v>
      </c>
      <c r="C12" s="455">
        <f>ROUND(+'5K'!E17,4)</f>
        <v>0.85709999999999997</v>
      </c>
      <c r="D12" s="455">
        <f>ROUND(+'6K'!E17,4)</f>
        <v>0.8448</v>
      </c>
      <c r="E12" s="455">
        <f>ROUND(+'4MI'!E17,4)</f>
        <v>0.84</v>
      </c>
      <c r="F12" s="455">
        <f>ROUND(+'8K'!$E17,4)</f>
        <v>0.82540000000000002</v>
      </c>
      <c r="G12" s="455">
        <f>ROUND(+'5MI'!E17,4)</f>
        <v>0.82499999999999996</v>
      </c>
      <c r="H12" s="455">
        <f>ROUND(+'10K'!$E17,4)</f>
        <v>0.81030000000000002</v>
      </c>
      <c r="I12" s="456">
        <f>ROUND(+'12K'!$E17,4)</f>
        <v>0.81310000000000004</v>
      </c>
      <c r="J12" s="455">
        <f>ROUND(+'15K'!$E17,4)</f>
        <v>0.8165</v>
      </c>
      <c r="K12" s="455">
        <f>ROUND(+'10MI'!$E17,4)</f>
        <v>0.81759999999999999</v>
      </c>
      <c r="L12" s="455">
        <f>ROUND(+'20K'!$E17,4)</f>
        <v>0.82099999999999995</v>
      </c>
      <c r="M12" s="455">
        <f>ROUND(+H.Marathon!$E17,4)</f>
        <v>0.82179999999999997</v>
      </c>
      <c r="N12" s="455">
        <f>ROUND(+'25K'!$E17,4)</f>
        <v>0.81020000000000003</v>
      </c>
      <c r="O12" s="455">
        <f>ROUND(+'30K'!$E17,4)</f>
        <v>0.79779999999999995</v>
      </c>
      <c r="P12" s="455">
        <f>ROUND(+Marathon!$E17,4)</f>
        <v>0.77449999999999997</v>
      </c>
      <c r="Q12" s="455">
        <f>ROUND(+Marathon!$E17,4)</f>
        <v>0.77449999999999997</v>
      </c>
      <c r="R12" s="455">
        <f>ROUND(+Marathon!$E17,4)</f>
        <v>0.77449999999999997</v>
      </c>
      <c r="S12" s="455">
        <f>ROUND(+Marathon!$E17,4)</f>
        <v>0.77449999999999997</v>
      </c>
      <c r="T12" s="455">
        <f>ROUND(+Marathon!$E17,4)</f>
        <v>0.77449999999999997</v>
      </c>
      <c r="U12" s="455">
        <f>ROUND(+Marathon!$E17,4)</f>
        <v>0.77449999999999997</v>
      </c>
      <c r="V12" s="455">
        <f>ROUND(+Marathon!$E17,4)</f>
        <v>0.77449999999999997</v>
      </c>
      <c r="W12" s="47"/>
    </row>
    <row r="13" spans="1:23">
      <c r="A13" s="449">
        <v>12</v>
      </c>
      <c r="B13" s="455">
        <f>ROUND(+Mile!E18,4)</f>
        <v>0.89770000000000005</v>
      </c>
      <c r="C13" s="455">
        <f>ROUND(+'5K'!E18,4)</f>
        <v>0.89090000000000003</v>
      </c>
      <c r="D13" s="455">
        <f>ROUND(+'6K'!E18,4)</f>
        <v>0.87929999999999997</v>
      </c>
      <c r="E13" s="455">
        <f>ROUND(+'4MI'!E18,4)</f>
        <v>0.87480000000000002</v>
      </c>
      <c r="F13" s="455">
        <f>ROUND(+'8K'!$E18,4)</f>
        <v>0.86099999999999999</v>
      </c>
      <c r="G13" s="455">
        <f>ROUND(+'5MI'!E18,4)</f>
        <v>0.86060000000000003</v>
      </c>
      <c r="H13" s="455">
        <f>ROUND(+'10K'!$E18,4)</f>
        <v>0.8468</v>
      </c>
      <c r="I13" s="456">
        <f>ROUND(+'12K'!$E18,4)</f>
        <v>0.85040000000000004</v>
      </c>
      <c r="J13" s="455">
        <f>ROUND(+'15K'!$E18,4)</f>
        <v>0.8548</v>
      </c>
      <c r="K13" s="455">
        <f>ROUND(+'10MI'!$E18,4)</f>
        <v>0.85619999999999996</v>
      </c>
      <c r="L13" s="455">
        <f>ROUND(+'20K'!$E18,4)</f>
        <v>0.86050000000000004</v>
      </c>
      <c r="M13" s="455">
        <f>ROUND(+H.Marathon!$E18,4)</f>
        <v>0.86160000000000003</v>
      </c>
      <c r="N13" s="455">
        <f>ROUND(+'25K'!$E18,4)</f>
        <v>0.85009999999999997</v>
      </c>
      <c r="O13" s="455">
        <f>ROUND(+'30K'!$E18,4)</f>
        <v>0.8377</v>
      </c>
      <c r="P13" s="455">
        <f>ROUND(+Marathon!$E18,4)</f>
        <v>0.8145</v>
      </c>
      <c r="Q13" s="455">
        <f>ROUND(+Marathon!$E18,4)</f>
        <v>0.8145</v>
      </c>
      <c r="R13" s="455">
        <f>ROUND(+Marathon!$E18,4)</f>
        <v>0.8145</v>
      </c>
      <c r="S13" s="455">
        <f>ROUND(+Marathon!$E18,4)</f>
        <v>0.8145</v>
      </c>
      <c r="T13" s="455">
        <f>ROUND(+Marathon!$E18,4)</f>
        <v>0.8145</v>
      </c>
      <c r="U13" s="455">
        <f>ROUND(+Marathon!$E18,4)</f>
        <v>0.8145</v>
      </c>
      <c r="V13" s="455">
        <f>ROUND(+Marathon!$E18,4)</f>
        <v>0.8145</v>
      </c>
      <c r="W13" s="47"/>
    </row>
    <row r="14" spans="1:23">
      <c r="A14" s="449">
        <v>13</v>
      </c>
      <c r="B14" s="455">
        <f>ROUND(+Mile!E19,4)</f>
        <v>0.91720000000000002</v>
      </c>
      <c r="C14" s="455">
        <f>ROUND(+'5K'!E19,4)</f>
        <v>0.92</v>
      </c>
      <c r="D14" s="455">
        <f>ROUND(+'6K'!E19,4)</f>
        <v>0.9093</v>
      </c>
      <c r="E14" s="455">
        <f>ROUND(+'4MI'!E19,4)</f>
        <v>0.9052</v>
      </c>
      <c r="F14" s="455">
        <f>ROUND(+'8K'!$E19,4)</f>
        <v>0.89239999999999997</v>
      </c>
      <c r="G14" s="455">
        <f>ROUND(+'5MI'!E19,4)</f>
        <v>0.8921</v>
      </c>
      <c r="H14" s="455">
        <f>ROUND(+'10K'!$E19,4)</f>
        <v>0.87929999999999997</v>
      </c>
      <c r="I14" s="456">
        <f>ROUND(+'12K'!$E19,4)</f>
        <v>0.88329999999999997</v>
      </c>
      <c r="J14" s="455">
        <f>ROUND(+'15K'!$E19,4)</f>
        <v>0.88819999999999999</v>
      </c>
      <c r="K14" s="455">
        <f>ROUND(+'10MI'!$E19,4)</f>
        <v>0.88980000000000004</v>
      </c>
      <c r="L14" s="455">
        <f>ROUND(+'20K'!$E19,4)</f>
        <v>0.89449999999999996</v>
      </c>
      <c r="M14" s="455">
        <f>ROUND(+H.Marathon!$E19,4)</f>
        <v>0.89570000000000005</v>
      </c>
      <c r="N14" s="455">
        <f>ROUND(+'25K'!$E19,4)</f>
        <v>0.88449999999999995</v>
      </c>
      <c r="O14" s="455">
        <f>ROUND(+'30K'!$E19,4)</f>
        <v>0.87250000000000005</v>
      </c>
      <c r="P14" s="455">
        <f>ROUND(+Marathon!$E19,4)</f>
        <v>0.85</v>
      </c>
      <c r="Q14" s="455">
        <f>ROUND(+Marathon!$E19,4)</f>
        <v>0.85</v>
      </c>
      <c r="R14" s="455">
        <f>ROUND(+Marathon!$E19,4)</f>
        <v>0.85</v>
      </c>
      <c r="S14" s="455">
        <f>ROUND(+Marathon!$E19,4)</f>
        <v>0.85</v>
      </c>
      <c r="T14" s="455">
        <f>ROUND(+Marathon!$E19,4)</f>
        <v>0.85</v>
      </c>
      <c r="U14" s="455">
        <f>ROUND(+Marathon!$E19,4)</f>
        <v>0.85</v>
      </c>
      <c r="V14" s="455">
        <f>ROUND(+Marathon!$E19,4)</f>
        <v>0.85</v>
      </c>
      <c r="W14" s="47"/>
    </row>
    <row r="15" spans="1:23">
      <c r="A15" s="449">
        <v>14</v>
      </c>
      <c r="B15" s="455">
        <f>ROUND(+Mile!E20,4)</f>
        <v>0.93530000000000002</v>
      </c>
      <c r="C15" s="455">
        <f>ROUND(+'5K'!E20,4)</f>
        <v>0.94420000000000004</v>
      </c>
      <c r="D15" s="455">
        <f>ROUND(+'6K'!E20,4)</f>
        <v>0.93459999999999999</v>
      </c>
      <c r="E15" s="455">
        <f>ROUND(+'4MI'!E20,4)</f>
        <v>0.93089999999999995</v>
      </c>
      <c r="F15" s="455">
        <f>ROUND(+'8K'!$E20,4)</f>
        <v>0.91949999999999998</v>
      </c>
      <c r="G15" s="455">
        <f>ROUND(+'5MI'!E20,4)</f>
        <v>0.91920000000000002</v>
      </c>
      <c r="H15" s="455">
        <f>ROUND(+'10K'!$E20,4)</f>
        <v>0.90780000000000005</v>
      </c>
      <c r="I15" s="456">
        <f>ROUND(+'12K'!$E20,4)</f>
        <v>0.91180000000000005</v>
      </c>
      <c r="J15" s="455">
        <f>ROUND(+'15K'!$E20,4)</f>
        <v>0.91669999999999996</v>
      </c>
      <c r="K15" s="455">
        <f>ROUND(+'10MI'!$E20,4)</f>
        <v>0.91820000000000002</v>
      </c>
      <c r="L15" s="455">
        <f>ROUND(+'20K'!$E20,4)</f>
        <v>0.92290000000000005</v>
      </c>
      <c r="M15" s="455">
        <f>ROUND(+H.Marathon!$E20,4)</f>
        <v>0.92410000000000003</v>
      </c>
      <c r="N15" s="455">
        <f>ROUND(+'25K'!$E20,4)</f>
        <v>0.91359999999999997</v>
      </c>
      <c r="O15" s="455">
        <f>ROUND(+'30K'!$E20,4)</f>
        <v>0.90229999999999999</v>
      </c>
      <c r="P15" s="455">
        <f>ROUND(+Marathon!$E20,4)</f>
        <v>0.88109999999999999</v>
      </c>
      <c r="Q15" s="455">
        <f>ROUND(+Marathon!$E20,4)</f>
        <v>0.88109999999999999</v>
      </c>
      <c r="R15" s="455">
        <f>ROUND(+Marathon!$E20,4)</f>
        <v>0.88109999999999999</v>
      </c>
      <c r="S15" s="455">
        <f>ROUND(+Marathon!$E20,4)</f>
        <v>0.88109999999999999</v>
      </c>
      <c r="T15" s="455">
        <f>ROUND(+Marathon!$E20,4)</f>
        <v>0.88109999999999999</v>
      </c>
      <c r="U15" s="455">
        <f>ROUND(+Marathon!$E20,4)</f>
        <v>0.88109999999999999</v>
      </c>
      <c r="V15" s="455">
        <f>ROUND(+Marathon!$E20,4)</f>
        <v>0.88109999999999999</v>
      </c>
      <c r="W15" s="47"/>
    </row>
    <row r="16" spans="1:23">
      <c r="A16" s="457">
        <v>15</v>
      </c>
      <c r="B16" s="458">
        <f>ROUND(+Mile!E21,4)</f>
        <v>0.95199999999999996</v>
      </c>
      <c r="C16" s="458">
        <f>ROUND(+'5K'!E21,4)</f>
        <v>0.9637</v>
      </c>
      <c r="D16" s="458">
        <f>ROUND(+'6K'!E21,4)</f>
        <v>0.95540000000000003</v>
      </c>
      <c r="E16" s="458">
        <f>ROUND(+'4MI'!E21,4)</f>
        <v>0.95230000000000004</v>
      </c>
      <c r="F16" s="458">
        <f>ROUND(+'8K'!$E21,4)</f>
        <v>0.94240000000000002</v>
      </c>
      <c r="G16" s="458">
        <f>ROUND(+'5MI'!E21,4)</f>
        <v>0.94210000000000005</v>
      </c>
      <c r="H16" s="458">
        <f>ROUND(+'10K'!$E21,4)</f>
        <v>0.93230000000000002</v>
      </c>
      <c r="I16" s="458">
        <f>ROUND(+'12K'!$E21,4)</f>
        <v>0.93579999999999997</v>
      </c>
      <c r="J16" s="458">
        <f>ROUND(+'15K'!$E21,4)</f>
        <v>0.94010000000000005</v>
      </c>
      <c r="K16" s="458">
        <f>ROUND(+'10MI'!$E21,4)</f>
        <v>0.9415</v>
      </c>
      <c r="L16" s="458">
        <f>ROUND(+'20K'!$E21,4)</f>
        <v>0.94569999999999999</v>
      </c>
      <c r="M16" s="458">
        <f>ROUND(+H.Marathon!$E21,4)</f>
        <v>0.94669999999999999</v>
      </c>
      <c r="N16" s="458">
        <f>ROUND(+'25K'!$E21,4)</f>
        <v>0.93720000000000003</v>
      </c>
      <c r="O16" s="458">
        <f>ROUND(+'30K'!$E21,4)</f>
        <v>0.92689999999999995</v>
      </c>
      <c r="P16" s="458">
        <f>ROUND(+Marathon!$E21,4)</f>
        <v>0.90780000000000005</v>
      </c>
      <c r="Q16" s="458">
        <f>ROUND(+Marathon!$E21,4)</f>
        <v>0.90780000000000005</v>
      </c>
      <c r="R16" s="458">
        <f>ROUND(+Marathon!$E21,4)</f>
        <v>0.90780000000000005</v>
      </c>
      <c r="S16" s="458">
        <f>ROUND(+Marathon!$E21,4)</f>
        <v>0.90780000000000005</v>
      </c>
      <c r="T16" s="458">
        <f>ROUND(+Marathon!$E21,4)</f>
        <v>0.90780000000000005</v>
      </c>
      <c r="U16" s="458">
        <f>ROUND(+Marathon!$E21,4)</f>
        <v>0.90780000000000005</v>
      </c>
      <c r="V16" s="458">
        <f>ROUND(+Marathon!$E21,4)</f>
        <v>0.90780000000000005</v>
      </c>
      <c r="W16" s="47"/>
    </row>
    <row r="17" spans="1:23">
      <c r="A17" s="449">
        <v>16</v>
      </c>
      <c r="B17" s="455">
        <f>ROUND(+Mile!E22,4)</f>
        <v>0.96799999999999997</v>
      </c>
      <c r="C17" s="455">
        <f>ROUND(+'5K'!E22,4)</f>
        <v>0.97840000000000005</v>
      </c>
      <c r="D17" s="455">
        <f>ROUND(+'6K'!E22,4)</f>
        <v>0.97170000000000001</v>
      </c>
      <c r="E17" s="455">
        <f>ROUND(+'4MI'!E22,4)</f>
        <v>0.96909999999999996</v>
      </c>
      <c r="F17" s="455">
        <f>ROUND(+'8K'!$E22,4)</f>
        <v>0.96099999999999997</v>
      </c>
      <c r="G17" s="455">
        <f>ROUND(+'5MI'!E22,4)</f>
        <v>0.96079999999999999</v>
      </c>
      <c r="H17" s="455">
        <f>ROUND(+'10K'!$E22,4)</f>
        <v>0.95279999999999998</v>
      </c>
      <c r="I17" s="456">
        <f>ROUND(+'12K'!$E22,4)</f>
        <v>0.95540000000000003</v>
      </c>
      <c r="J17" s="455">
        <f>ROUND(+'15K'!$E22,4)</f>
        <v>0.9587</v>
      </c>
      <c r="K17" s="455">
        <f>ROUND(+'10MI'!$E22,4)</f>
        <v>0.9597</v>
      </c>
      <c r="L17" s="455">
        <f>ROUND(+'20K'!$E22,4)</f>
        <v>0.96279999999999999</v>
      </c>
      <c r="M17" s="455">
        <f>ROUND(+H.Marathon!$E22,4)</f>
        <v>0.96360000000000001</v>
      </c>
      <c r="N17" s="455">
        <f>ROUND(+'25K'!$E22,4)</f>
        <v>0.95540000000000003</v>
      </c>
      <c r="O17" s="455">
        <f>ROUND(+'30K'!$E22,4)</f>
        <v>0.94650000000000001</v>
      </c>
      <c r="P17" s="455">
        <f>ROUND(+Marathon!$E22,4)</f>
        <v>0.93</v>
      </c>
      <c r="Q17" s="455">
        <f>ROUND(+Marathon!$E22,4)</f>
        <v>0.93</v>
      </c>
      <c r="R17" s="455">
        <f>ROUND(+Marathon!$E22,4)</f>
        <v>0.93</v>
      </c>
      <c r="S17" s="455">
        <f>ROUND(+Marathon!$E22,4)</f>
        <v>0.93</v>
      </c>
      <c r="T17" s="455">
        <f>ROUND(+Marathon!$E22,4)</f>
        <v>0.93</v>
      </c>
      <c r="U17" s="455">
        <f>ROUND(+Marathon!$E22,4)</f>
        <v>0.93</v>
      </c>
      <c r="V17" s="455">
        <f>ROUND(+Marathon!$E22,4)</f>
        <v>0.93</v>
      </c>
      <c r="W17" s="47"/>
    </row>
    <row r="18" spans="1:23">
      <c r="A18" s="449">
        <v>17</v>
      </c>
      <c r="B18" s="455">
        <f>ROUND(+Mile!E23,4)</f>
        <v>0.98399999999999999</v>
      </c>
      <c r="C18" s="455">
        <f>ROUND(+'5K'!E23,4)</f>
        <v>0.98839999999999995</v>
      </c>
      <c r="D18" s="455">
        <f>ROUND(+'6K'!E23,4)</f>
        <v>0.98340000000000005</v>
      </c>
      <c r="E18" s="455">
        <f>ROUND(+'4MI'!E23,4)</f>
        <v>0.98140000000000005</v>
      </c>
      <c r="F18" s="455">
        <f>ROUND(+'8K'!$E23,4)</f>
        <v>0.97540000000000004</v>
      </c>
      <c r="G18" s="455">
        <f>ROUND(+'5MI'!E23,4)</f>
        <v>0.97529999999999994</v>
      </c>
      <c r="H18" s="455">
        <f>ROUND(+'10K'!$E23,4)</f>
        <v>0.96930000000000005</v>
      </c>
      <c r="I18" s="456">
        <f>ROUND(+'12K'!$E23,4)</f>
        <v>0.97070000000000001</v>
      </c>
      <c r="J18" s="455">
        <f>ROUND(+'15K'!$E23,4)</f>
        <v>0.97240000000000004</v>
      </c>
      <c r="K18" s="455">
        <f>ROUND(+'10MI'!$E23,4)</f>
        <v>0.97289999999999999</v>
      </c>
      <c r="L18" s="455">
        <f>ROUND(+'20K'!$E23,4)</f>
        <v>0.97460000000000002</v>
      </c>
      <c r="M18" s="455">
        <f>ROUND(+H.Marathon!$E23,4)</f>
        <v>0.97499999999999998</v>
      </c>
      <c r="N18" s="455">
        <f>ROUND(+'25K'!$E23,4)</f>
        <v>0.96889999999999998</v>
      </c>
      <c r="O18" s="455">
        <f>ROUND(+'30K'!$E23,4)</f>
        <v>0.96230000000000004</v>
      </c>
      <c r="P18" s="455">
        <f>ROUND(+Marathon!$E23,4)</f>
        <v>0.95</v>
      </c>
      <c r="Q18" s="455">
        <f>ROUND(+Marathon!$E23,4)</f>
        <v>0.95</v>
      </c>
      <c r="R18" s="455">
        <f>ROUND(+Marathon!$E23,4)</f>
        <v>0.95</v>
      </c>
      <c r="S18" s="455">
        <f>ROUND(+Marathon!$E23,4)</f>
        <v>0.95</v>
      </c>
      <c r="T18" s="455">
        <f>ROUND(+Marathon!$E23,4)</f>
        <v>0.95</v>
      </c>
      <c r="U18" s="455">
        <f>ROUND(+Marathon!$E23,4)</f>
        <v>0.95</v>
      </c>
      <c r="V18" s="455">
        <f>ROUND(+Marathon!$E23,4)</f>
        <v>0.95</v>
      </c>
      <c r="W18" s="47"/>
    </row>
    <row r="19" spans="1:23">
      <c r="A19" s="449">
        <v>18</v>
      </c>
      <c r="B19" s="455">
        <f>ROUND(+Mile!E24,4)</f>
        <v>0.996</v>
      </c>
      <c r="C19" s="455">
        <f>ROUND(+'5K'!E24,4)</f>
        <v>0.99729999999999996</v>
      </c>
      <c r="D19" s="455">
        <f>ROUND(+'6K'!E24,4)</f>
        <v>0.99319999999999997</v>
      </c>
      <c r="E19" s="455">
        <f>ROUND(+'4MI'!E24,4)</f>
        <v>0.99160000000000004</v>
      </c>
      <c r="F19" s="455">
        <f>ROUND(+'8K'!$E24,4)</f>
        <v>0.98680000000000001</v>
      </c>
      <c r="G19" s="455">
        <f>ROUND(+'5MI'!E24,4)</f>
        <v>0.98670000000000002</v>
      </c>
      <c r="H19" s="455">
        <f>ROUND(+'10K'!$E24,4)</f>
        <v>0.98180000000000001</v>
      </c>
      <c r="I19" s="456">
        <f>ROUND(+'12K'!$E24,4)</f>
        <v>0.98260000000000003</v>
      </c>
      <c r="J19" s="455">
        <f>ROUND(+'15K'!$E24,4)</f>
        <v>0.98350000000000004</v>
      </c>
      <c r="K19" s="455">
        <f>ROUND(+'10MI'!$E24,4)</f>
        <v>0.98380000000000001</v>
      </c>
      <c r="L19" s="455">
        <f>ROUND(+'20K'!$E24,4)</f>
        <v>0.98480000000000001</v>
      </c>
      <c r="M19" s="455">
        <f>ROUND(+H.Marathon!$E24,4)</f>
        <v>0.98499999999999999</v>
      </c>
      <c r="N19" s="455">
        <f>ROUND(+'25K'!$E24,4)</f>
        <v>0.98080000000000001</v>
      </c>
      <c r="O19" s="455">
        <f>ROUND(+'30K'!$E24,4)</f>
        <v>0.97640000000000005</v>
      </c>
      <c r="P19" s="455">
        <f>ROUND(+Marathon!$E24,4)</f>
        <v>0.96799999999999997</v>
      </c>
      <c r="Q19" s="455">
        <f>ROUND(+Marathon!$E24,4)</f>
        <v>0.96799999999999997</v>
      </c>
      <c r="R19" s="455">
        <f>ROUND(+Marathon!$E24,4)</f>
        <v>0.96799999999999997</v>
      </c>
      <c r="S19" s="455">
        <f>ROUND(+Marathon!$E24,4)</f>
        <v>0.96799999999999997</v>
      </c>
      <c r="T19" s="455">
        <f>ROUND(+Marathon!$E24,4)</f>
        <v>0.96799999999999997</v>
      </c>
      <c r="U19" s="455">
        <f>ROUND(+Marathon!$E24,4)</f>
        <v>0.96799999999999997</v>
      </c>
      <c r="V19" s="455">
        <f>ROUND(+Marathon!$E24,4)</f>
        <v>0.96799999999999997</v>
      </c>
      <c r="W19" s="47"/>
    </row>
    <row r="20" spans="1:23">
      <c r="A20" s="449">
        <v>19</v>
      </c>
      <c r="B20" s="455">
        <f>ROUND(+Mile!E25,4)</f>
        <v>1</v>
      </c>
      <c r="C20" s="455">
        <f>ROUND(+'5K'!E25,4)</f>
        <v>1</v>
      </c>
      <c r="D20" s="455">
        <f>ROUND(+'6K'!E25,4)</f>
        <v>0.99739999999999995</v>
      </c>
      <c r="E20" s="455">
        <f>ROUND(+'4MI'!E25,4)</f>
        <v>0.99650000000000005</v>
      </c>
      <c r="F20" s="455">
        <f>ROUND(+'8K'!$E25,4)</f>
        <v>0.99339999999999995</v>
      </c>
      <c r="G20" s="455">
        <f>ROUND(+'5MI'!E25,4)</f>
        <v>0.99329999999999996</v>
      </c>
      <c r="H20" s="455">
        <f>ROUND(+'10K'!$E25,4)</f>
        <v>0.99029999999999996</v>
      </c>
      <c r="I20" s="456">
        <f>ROUND(+'12K'!$E25,4)</f>
        <v>0.99139999999999995</v>
      </c>
      <c r="J20" s="455">
        <f>ROUND(+'15K'!$E25,4)</f>
        <v>0.9929</v>
      </c>
      <c r="K20" s="455">
        <f>ROUND(+'10MI'!$E25,4)</f>
        <v>0.99329999999999996</v>
      </c>
      <c r="L20" s="455">
        <f>ROUND(+'20K'!$E25,4)</f>
        <v>0.99470000000000003</v>
      </c>
      <c r="M20" s="455">
        <f>ROUND(+H.Marathon!$E25,4)</f>
        <v>0.995</v>
      </c>
      <c r="N20" s="455">
        <f>ROUND(+'25K'!$E25,4)</f>
        <v>0.99180000000000001</v>
      </c>
      <c r="O20" s="455">
        <f>ROUND(+'30K'!$E25,4)</f>
        <v>0.98839999999999995</v>
      </c>
      <c r="P20" s="455">
        <f>ROUND(+Marathon!$E25,4)</f>
        <v>0.98199999999999998</v>
      </c>
      <c r="Q20" s="455">
        <f>ROUND(+Marathon!$E25,4)</f>
        <v>0.98199999999999998</v>
      </c>
      <c r="R20" s="455">
        <f>ROUND(+Marathon!$E25,4)</f>
        <v>0.98199999999999998</v>
      </c>
      <c r="S20" s="455">
        <f>ROUND(+Marathon!$E25,4)</f>
        <v>0.98199999999999998</v>
      </c>
      <c r="T20" s="455">
        <f>ROUND(+Marathon!$E25,4)</f>
        <v>0.98199999999999998</v>
      </c>
      <c r="U20" s="455">
        <f>ROUND(+Marathon!$E25,4)</f>
        <v>0.98199999999999998</v>
      </c>
      <c r="V20" s="455">
        <f>ROUND(+Marathon!$E25,4)</f>
        <v>0.98199999999999998</v>
      </c>
      <c r="W20" s="47"/>
    </row>
    <row r="21" spans="1:23">
      <c r="A21" s="457">
        <v>20</v>
      </c>
      <c r="B21" s="458">
        <f>ROUND(+Mile!E26,4)</f>
        <v>1</v>
      </c>
      <c r="C21" s="458">
        <f>ROUND(+'5K'!E26,4)</f>
        <v>1</v>
      </c>
      <c r="D21" s="458">
        <f>ROUND(+'6K'!E26,4)</f>
        <v>0.99919999999999998</v>
      </c>
      <c r="E21" s="458">
        <f>ROUND(+'4MI'!E26,4)</f>
        <v>0.99880000000000002</v>
      </c>
      <c r="F21" s="458">
        <f>ROUND(+'8K'!$E26,4)</f>
        <v>0.99780000000000002</v>
      </c>
      <c r="G21" s="458">
        <f>ROUND(+'5MI'!E26,4)</f>
        <v>0.99780000000000002</v>
      </c>
      <c r="H21" s="458">
        <f>ROUND(+'10K'!$E26,4)</f>
        <v>0.99680000000000002</v>
      </c>
      <c r="I21" s="458">
        <f>ROUND(+'12K'!$E26,4)</f>
        <v>0.99760000000000004</v>
      </c>
      <c r="J21" s="458">
        <f>ROUND(+'15K'!$E26,4)</f>
        <v>0.99850000000000005</v>
      </c>
      <c r="K21" s="458">
        <f>ROUND(+'10MI'!$E26,4)</f>
        <v>0.99880000000000002</v>
      </c>
      <c r="L21" s="458">
        <f>ROUND(+'20K'!$E26,4)</f>
        <v>0.99980000000000002</v>
      </c>
      <c r="M21" s="458">
        <f>ROUND(+H.Marathon!$E26,4)</f>
        <v>1</v>
      </c>
      <c r="N21" s="458">
        <f>ROUND(+'25K'!$E26,4)</f>
        <v>0.998</v>
      </c>
      <c r="O21" s="458">
        <f>ROUND(+'30K'!$E26,4)</f>
        <v>0.99590000000000001</v>
      </c>
      <c r="P21" s="458">
        <f>ROUND(+Marathon!$E26,4)</f>
        <v>0.99199999999999999</v>
      </c>
      <c r="Q21" s="458">
        <f>ROUND(+Marathon!$E26,4)</f>
        <v>0.99199999999999999</v>
      </c>
      <c r="R21" s="458">
        <f>ROUND(+Marathon!$E26,4)</f>
        <v>0.99199999999999999</v>
      </c>
      <c r="S21" s="458">
        <f>ROUND(+Marathon!$E26,4)</f>
        <v>0.99199999999999999</v>
      </c>
      <c r="T21" s="458">
        <f>ROUND(+Marathon!$E26,4)</f>
        <v>0.99199999999999999</v>
      </c>
      <c r="U21" s="458">
        <f>ROUND(+Marathon!$E26,4)</f>
        <v>0.99199999999999999</v>
      </c>
      <c r="V21" s="458">
        <f>ROUND(+Marathon!$E26,4)</f>
        <v>0.99199999999999999</v>
      </c>
      <c r="W21" s="47"/>
    </row>
    <row r="22" spans="1:23">
      <c r="A22" s="449">
        <v>21</v>
      </c>
      <c r="B22" s="455">
        <f>ROUND(+Mile!E27,4)</f>
        <v>1</v>
      </c>
      <c r="C22" s="455">
        <f>ROUND(+'5K'!E27,4)</f>
        <v>1</v>
      </c>
      <c r="D22" s="455">
        <f>ROUND(+'6K'!E27,4)</f>
        <v>1</v>
      </c>
      <c r="E22" s="455">
        <f>ROUND(+'4MI'!E27,4)</f>
        <v>1</v>
      </c>
      <c r="F22" s="455">
        <f>ROUND(+'8K'!$E27,4)</f>
        <v>1</v>
      </c>
      <c r="G22" s="455">
        <f>ROUND(+'5MI'!E27,4)</f>
        <v>1</v>
      </c>
      <c r="H22" s="455">
        <f>ROUND(+'10K'!$E27,4)</f>
        <v>1</v>
      </c>
      <c r="I22" s="456">
        <f>ROUND(+'12K'!$E27,4)</f>
        <v>1</v>
      </c>
      <c r="J22" s="455">
        <f>ROUND(+'15K'!$E27,4)</f>
        <v>1</v>
      </c>
      <c r="K22" s="455">
        <f>ROUND(+'10MI'!$E27,4)</f>
        <v>1</v>
      </c>
      <c r="L22" s="455">
        <f>ROUND(+'20K'!$E27,4)</f>
        <v>1</v>
      </c>
      <c r="M22" s="455">
        <f>ROUND(+H.Marathon!$E27,4)</f>
        <v>1</v>
      </c>
      <c r="N22" s="455">
        <f>ROUND(+'25K'!$E27,4)</f>
        <v>0.99950000000000006</v>
      </c>
      <c r="O22" s="455">
        <f>ROUND(+'30K'!$E27,4)</f>
        <v>0.999</v>
      </c>
      <c r="P22" s="455">
        <f>ROUND(+Marathon!$E27,4)</f>
        <v>0.998</v>
      </c>
      <c r="Q22" s="455">
        <f>ROUND(+Marathon!$E27,4)</f>
        <v>0.998</v>
      </c>
      <c r="R22" s="455">
        <f>ROUND(+Marathon!$E27,4)</f>
        <v>0.998</v>
      </c>
      <c r="S22" s="455">
        <f>ROUND(+Marathon!$E27,4)</f>
        <v>0.998</v>
      </c>
      <c r="T22" s="455">
        <f>ROUND(+Marathon!$E27,4)</f>
        <v>0.998</v>
      </c>
      <c r="U22" s="455">
        <f>ROUND(+Marathon!$E27,4)</f>
        <v>0.998</v>
      </c>
      <c r="V22" s="455">
        <f>ROUND(+Marathon!$E27,4)</f>
        <v>0.998</v>
      </c>
      <c r="W22" s="47"/>
    </row>
    <row r="23" spans="1:23">
      <c r="A23" s="449">
        <v>22</v>
      </c>
      <c r="B23" s="455">
        <f>ROUND(+Mile!E28,4)</f>
        <v>1</v>
      </c>
      <c r="C23" s="455">
        <f>ROUND(+'5K'!E28,4)</f>
        <v>1</v>
      </c>
      <c r="D23" s="455">
        <f>ROUND(+'6K'!E28,4)</f>
        <v>1</v>
      </c>
      <c r="E23" s="455">
        <f>ROUND(+'4MI'!E28,4)</f>
        <v>1</v>
      </c>
      <c r="F23" s="455">
        <f>ROUND(+'8K'!$E28,4)</f>
        <v>1</v>
      </c>
      <c r="G23" s="455">
        <f>ROUND(+'5MI'!E28,4)</f>
        <v>1</v>
      </c>
      <c r="H23" s="455">
        <f>ROUND(+'10K'!$E28,4)</f>
        <v>1</v>
      </c>
      <c r="I23" s="456">
        <f>ROUND(+'12K'!$E28,4)</f>
        <v>1</v>
      </c>
      <c r="J23" s="455">
        <f>ROUND(+'15K'!$E28,4)</f>
        <v>1</v>
      </c>
      <c r="K23" s="455">
        <f>ROUND(+'10MI'!$E28,4)</f>
        <v>1</v>
      </c>
      <c r="L23" s="455">
        <f>ROUND(+'20K'!$E28,4)</f>
        <v>1</v>
      </c>
      <c r="M23" s="455">
        <f>ROUND(+H.Marathon!$E28,4)</f>
        <v>1</v>
      </c>
      <c r="N23" s="455">
        <f>ROUND(+'25K'!$E28,4)</f>
        <v>1</v>
      </c>
      <c r="O23" s="455">
        <f>ROUND(+'30K'!$E28,4)</f>
        <v>1</v>
      </c>
      <c r="P23" s="455">
        <f>ROUND(+Marathon!$E28,4)</f>
        <v>1</v>
      </c>
      <c r="Q23" s="455">
        <f>ROUND(+Marathon!$E28,4)</f>
        <v>1</v>
      </c>
      <c r="R23" s="455">
        <f>ROUND(+Marathon!$E28,4)</f>
        <v>1</v>
      </c>
      <c r="S23" s="455">
        <f>ROUND(+Marathon!$E28,4)</f>
        <v>1</v>
      </c>
      <c r="T23" s="455">
        <f>ROUND(+Marathon!$E28,4)</f>
        <v>1</v>
      </c>
      <c r="U23" s="455">
        <f>ROUND(+Marathon!$E28,4)</f>
        <v>1</v>
      </c>
      <c r="V23" s="455">
        <f>ROUND(+Marathon!$E28,4)</f>
        <v>1</v>
      </c>
      <c r="W23" s="47"/>
    </row>
    <row r="24" spans="1:23">
      <c r="A24" s="449">
        <v>23</v>
      </c>
      <c r="B24" s="455">
        <f>ROUND(+Mile!E29,4)</f>
        <v>1</v>
      </c>
      <c r="C24" s="455">
        <f>ROUND(+'5K'!E29,4)</f>
        <v>1</v>
      </c>
      <c r="D24" s="455">
        <f>ROUND(+'6K'!E29,4)</f>
        <v>1</v>
      </c>
      <c r="E24" s="455">
        <f>ROUND(+'4MI'!E29,4)</f>
        <v>1</v>
      </c>
      <c r="F24" s="455">
        <f>ROUND(+'8K'!$E29,4)</f>
        <v>1</v>
      </c>
      <c r="G24" s="455">
        <f>ROUND(+'5MI'!E29,4)</f>
        <v>1</v>
      </c>
      <c r="H24" s="455">
        <f>ROUND(+'10K'!$E29,4)</f>
        <v>1</v>
      </c>
      <c r="I24" s="456">
        <f>ROUND(+'12K'!$E29,4)</f>
        <v>1</v>
      </c>
      <c r="J24" s="455">
        <f>ROUND(+'15K'!$E29,4)</f>
        <v>1</v>
      </c>
      <c r="K24" s="455">
        <f>ROUND(+'10MI'!$E29,4)</f>
        <v>1</v>
      </c>
      <c r="L24" s="455">
        <f>ROUND(+'20K'!$E29,4)</f>
        <v>1</v>
      </c>
      <c r="M24" s="455">
        <f>ROUND(+H.Marathon!$E29,4)</f>
        <v>1</v>
      </c>
      <c r="N24" s="455">
        <f>ROUND(+'25K'!$E29,4)</f>
        <v>1</v>
      </c>
      <c r="O24" s="455">
        <f>ROUND(+'30K'!$E29,4)</f>
        <v>1</v>
      </c>
      <c r="P24" s="455">
        <f>ROUND(+Marathon!$E29,4)</f>
        <v>1</v>
      </c>
      <c r="Q24" s="455">
        <f>ROUND(+Marathon!$E29,4)</f>
        <v>1</v>
      </c>
      <c r="R24" s="455">
        <f>ROUND(+Marathon!$E29,4)</f>
        <v>1</v>
      </c>
      <c r="S24" s="455">
        <f>ROUND(+Marathon!$E29,4)</f>
        <v>1</v>
      </c>
      <c r="T24" s="455">
        <f>ROUND(+Marathon!$E29,4)</f>
        <v>1</v>
      </c>
      <c r="U24" s="455">
        <f>ROUND(+Marathon!$E29,4)</f>
        <v>1</v>
      </c>
      <c r="V24" s="455">
        <f>ROUND(+Marathon!$E29,4)</f>
        <v>1</v>
      </c>
      <c r="W24" s="47"/>
    </row>
    <row r="25" spans="1:23">
      <c r="A25" s="449">
        <v>24</v>
      </c>
      <c r="B25" s="455">
        <f>ROUND(+Mile!E30,4)</f>
        <v>1</v>
      </c>
      <c r="C25" s="455">
        <f>ROUND(+'5K'!E30,4)</f>
        <v>1</v>
      </c>
      <c r="D25" s="455">
        <f>ROUND(+'6K'!E30,4)</f>
        <v>1</v>
      </c>
      <c r="E25" s="455">
        <f>ROUND(+'4MI'!E30,4)</f>
        <v>1</v>
      </c>
      <c r="F25" s="455">
        <f>ROUND(+'8K'!$E30,4)</f>
        <v>1</v>
      </c>
      <c r="G25" s="455">
        <f>ROUND(+'5MI'!E30,4)</f>
        <v>1</v>
      </c>
      <c r="H25" s="455">
        <f>ROUND(+'10K'!$E30,4)</f>
        <v>1</v>
      </c>
      <c r="I25" s="456">
        <f>ROUND(+'12K'!$E30,4)</f>
        <v>1</v>
      </c>
      <c r="J25" s="455">
        <f>ROUND(+'15K'!$E30,4)</f>
        <v>1</v>
      </c>
      <c r="K25" s="455">
        <f>ROUND(+'10MI'!$E30,4)</f>
        <v>1</v>
      </c>
      <c r="L25" s="455">
        <f>ROUND(+'20K'!$E30,4)</f>
        <v>1</v>
      </c>
      <c r="M25" s="455">
        <f>ROUND(+H.Marathon!$E30,4)</f>
        <v>1</v>
      </c>
      <c r="N25" s="455">
        <f>ROUND(+'25K'!$E30,4)</f>
        <v>1</v>
      </c>
      <c r="O25" s="455">
        <f>ROUND(+'30K'!$E30,4)</f>
        <v>1</v>
      </c>
      <c r="P25" s="455">
        <f>ROUND(+Marathon!$E30,4)</f>
        <v>1</v>
      </c>
      <c r="Q25" s="455">
        <f>ROUND(+Marathon!$E30,4)</f>
        <v>1</v>
      </c>
      <c r="R25" s="455">
        <f>ROUND(+Marathon!$E30,4)</f>
        <v>1</v>
      </c>
      <c r="S25" s="455">
        <f>ROUND(+Marathon!$E30,4)</f>
        <v>1</v>
      </c>
      <c r="T25" s="455">
        <f>ROUND(+Marathon!$E30,4)</f>
        <v>1</v>
      </c>
      <c r="U25" s="455">
        <f>ROUND(+Marathon!$E30,4)</f>
        <v>1</v>
      </c>
      <c r="V25" s="455">
        <f>ROUND(+Marathon!$E30,4)</f>
        <v>1</v>
      </c>
      <c r="W25" s="47"/>
    </row>
    <row r="26" spans="1:23">
      <c r="A26" s="457">
        <v>25</v>
      </c>
      <c r="B26" s="458">
        <f>ROUND(+Mile!E31,4)</f>
        <v>1</v>
      </c>
      <c r="C26" s="458">
        <f>ROUND(+'5K'!E31,4)</f>
        <v>1</v>
      </c>
      <c r="D26" s="458">
        <f>ROUND(+'6K'!E31,4)</f>
        <v>1</v>
      </c>
      <c r="E26" s="458">
        <f>ROUND(+'4MI'!E31,4)</f>
        <v>1</v>
      </c>
      <c r="F26" s="458">
        <f>ROUND(+'8K'!$E31,4)</f>
        <v>1</v>
      </c>
      <c r="G26" s="458">
        <f>ROUND(+'5MI'!E31,4)</f>
        <v>1</v>
      </c>
      <c r="H26" s="458">
        <f>ROUND(+'10K'!$E31,4)</f>
        <v>1</v>
      </c>
      <c r="I26" s="458">
        <f>ROUND(+'12K'!$E31,4)</f>
        <v>1</v>
      </c>
      <c r="J26" s="458">
        <f>ROUND(+'15K'!$E31,4)</f>
        <v>1</v>
      </c>
      <c r="K26" s="458">
        <f>ROUND(+'10MI'!$E31,4)</f>
        <v>1</v>
      </c>
      <c r="L26" s="458">
        <f>ROUND(+'20K'!$E31,4)</f>
        <v>1</v>
      </c>
      <c r="M26" s="458">
        <f>ROUND(+H.Marathon!$E31,4)</f>
        <v>1</v>
      </c>
      <c r="N26" s="458">
        <f>ROUND(+'25K'!$E31,4)</f>
        <v>1</v>
      </c>
      <c r="O26" s="458">
        <f>ROUND(+'30K'!$E31,4)</f>
        <v>1</v>
      </c>
      <c r="P26" s="458">
        <f>ROUND(+Marathon!$E31,4)</f>
        <v>1</v>
      </c>
      <c r="Q26" s="458">
        <f>ROUND(+Marathon!$E31,4)</f>
        <v>1</v>
      </c>
      <c r="R26" s="458">
        <f>ROUND(+Marathon!$E31,4)</f>
        <v>1</v>
      </c>
      <c r="S26" s="458">
        <f>ROUND(+Marathon!$E31,4)</f>
        <v>1</v>
      </c>
      <c r="T26" s="458">
        <f>ROUND(+Marathon!$E31,4)</f>
        <v>1</v>
      </c>
      <c r="U26" s="458">
        <f>ROUND(+Marathon!$E31,4)</f>
        <v>1</v>
      </c>
      <c r="V26" s="458">
        <f>ROUND(+Marathon!$E31,4)</f>
        <v>1</v>
      </c>
      <c r="W26" s="47"/>
    </row>
    <row r="27" spans="1:23">
      <c r="A27" s="449">
        <v>26</v>
      </c>
      <c r="B27" s="455">
        <f>ROUND(+Mile!E32,4)</f>
        <v>1</v>
      </c>
      <c r="C27" s="455">
        <f>ROUND(+'5K'!E32,4)</f>
        <v>1</v>
      </c>
      <c r="D27" s="455">
        <f>ROUND(+'6K'!E32,4)</f>
        <v>1</v>
      </c>
      <c r="E27" s="455">
        <f>ROUND(+'4MI'!E32,4)</f>
        <v>1</v>
      </c>
      <c r="F27" s="455">
        <f>ROUND(+'8K'!$E32,4)</f>
        <v>1</v>
      </c>
      <c r="G27" s="455">
        <f>ROUND(+'5MI'!E32,4)</f>
        <v>1</v>
      </c>
      <c r="H27" s="455">
        <f>ROUND(+'10K'!$E32,4)</f>
        <v>1</v>
      </c>
      <c r="I27" s="456">
        <f>ROUND(+'12K'!$E32,4)</f>
        <v>1</v>
      </c>
      <c r="J27" s="455">
        <f>ROUND(+'15K'!$E32,4)</f>
        <v>1</v>
      </c>
      <c r="K27" s="455">
        <f>ROUND(+'10MI'!$E32,4)</f>
        <v>1</v>
      </c>
      <c r="L27" s="455">
        <f>ROUND(+'20K'!$E32,4)</f>
        <v>1</v>
      </c>
      <c r="M27" s="455">
        <f>ROUND(+H.Marathon!$E32,4)</f>
        <v>1</v>
      </c>
      <c r="N27" s="455">
        <f>ROUND(+'25K'!$E32,4)</f>
        <v>1</v>
      </c>
      <c r="O27" s="455">
        <f>ROUND(+'30K'!$E32,4)</f>
        <v>1</v>
      </c>
      <c r="P27" s="455">
        <f>ROUND(+Marathon!$E32,4)</f>
        <v>1</v>
      </c>
      <c r="Q27" s="455">
        <f>ROUND(+Marathon!$E32,4)</f>
        <v>1</v>
      </c>
      <c r="R27" s="455">
        <f>ROUND(+Marathon!$E32,4)</f>
        <v>1</v>
      </c>
      <c r="S27" s="455">
        <f>ROUND(+Marathon!$E32,4)</f>
        <v>1</v>
      </c>
      <c r="T27" s="455">
        <f>ROUND(+Marathon!$E32,4)</f>
        <v>1</v>
      </c>
      <c r="U27" s="455">
        <f>ROUND(+Marathon!$E32,4)</f>
        <v>1</v>
      </c>
      <c r="V27" s="455">
        <f>ROUND(+Marathon!$E32,4)</f>
        <v>1</v>
      </c>
      <c r="W27" s="47"/>
    </row>
    <row r="28" spans="1:23">
      <c r="A28" s="449">
        <v>27</v>
      </c>
      <c r="B28" s="455">
        <f>ROUND(+Mile!E33,4)</f>
        <v>1</v>
      </c>
      <c r="C28" s="455">
        <f>ROUND(+'5K'!E33,4)</f>
        <v>1</v>
      </c>
      <c r="D28" s="455">
        <f>ROUND(+'6K'!E33,4)</f>
        <v>1</v>
      </c>
      <c r="E28" s="455">
        <f>ROUND(+'4MI'!E33,4)</f>
        <v>1</v>
      </c>
      <c r="F28" s="455">
        <f>ROUND(+'8K'!$E33,4)</f>
        <v>1</v>
      </c>
      <c r="G28" s="455">
        <f>ROUND(+'5MI'!E33,4)</f>
        <v>1</v>
      </c>
      <c r="H28" s="455">
        <f>ROUND(+'10K'!$E33,4)</f>
        <v>1</v>
      </c>
      <c r="I28" s="456">
        <f>ROUND(+'12K'!$E33,4)</f>
        <v>1</v>
      </c>
      <c r="J28" s="455">
        <f>ROUND(+'15K'!$E33,4)</f>
        <v>1</v>
      </c>
      <c r="K28" s="455">
        <f>ROUND(+'10MI'!$E33,4)</f>
        <v>1</v>
      </c>
      <c r="L28" s="455">
        <f>ROUND(+'20K'!$E33,4)</f>
        <v>1</v>
      </c>
      <c r="M28" s="455">
        <f>ROUND(+H.Marathon!$E33,4)</f>
        <v>1</v>
      </c>
      <c r="N28" s="455">
        <f>ROUND(+'25K'!$E33,4)</f>
        <v>1</v>
      </c>
      <c r="O28" s="455">
        <f>ROUND(+'30K'!$E33,4)</f>
        <v>1</v>
      </c>
      <c r="P28" s="455">
        <f>ROUND(+Marathon!$E33,4)</f>
        <v>1</v>
      </c>
      <c r="Q28" s="455">
        <f>ROUND(+Marathon!$E33,4)</f>
        <v>1</v>
      </c>
      <c r="R28" s="455">
        <f>ROUND(+Marathon!$E33,4)</f>
        <v>1</v>
      </c>
      <c r="S28" s="455">
        <f>ROUND(+Marathon!$E33,4)</f>
        <v>1</v>
      </c>
      <c r="T28" s="455">
        <f>ROUND(+Marathon!$E33,4)</f>
        <v>1</v>
      </c>
      <c r="U28" s="455">
        <f>ROUND(+Marathon!$E33,4)</f>
        <v>1</v>
      </c>
      <c r="V28" s="455">
        <f>ROUND(+Marathon!$E33,4)</f>
        <v>1</v>
      </c>
      <c r="W28" s="47"/>
    </row>
    <row r="29" spans="1:23">
      <c r="A29" s="449">
        <v>28</v>
      </c>
      <c r="B29" s="455">
        <f>ROUND(+Mile!E34,4)</f>
        <v>1</v>
      </c>
      <c r="C29" s="455">
        <f>ROUND(+'5K'!E34,4)</f>
        <v>1</v>
      </c>
      <c r="D29" s="455">
        <f>ROUND(+'6K'!E34,4)</f>
        <v>0.99990000000000001</v>
      </c>
      <c r="E29" s="455">
        <f>ROUND(+'4MI'!E34,4)</f>
        <v>0.99990000000000001</v>
      </c>
      <c r="F29" s="455">
        <f>ROUND(+'8K'!$E34,4)</f>
        <v>0.99990000000000001</v>
      </c>
      <c r="G29" s="455">
        <f>ROUND(+'5MI'!E34,4)</f>
        <v>0.99990000000000001</v>
      </c>
      <c r="H29" s="455">
        <f>ROUND(+'10K'!$E34,4)</f>
        <v>0.99980000000000002</v>
      </c>
      <c r="I29" s="456">
        <f>ROUND(+'12K'!$E34,4)</f>
        <v>0.99980000000000002</v>
      </c>
      <c r="J29" s="455">
        <f>ROUND(+'15K'!$E34,4)</f>
        <v>0.99990000000000001</v>
      </c>
      <c r="K29" s="455">
        <f>ROUND(+'10MI'!$E34,4)</f>
        <v>0.99990000000000001</v>
      </c>
      <c r="L29" s="455">
        <f>ROUND(+'20K'!$E34,4)</f>
        <v>1</v>
      </c>
      <c r="M29" s="455">
        <f>ROUND(+H.Marathon!$E34,4)</f>
        <v>1</v>
      </c>
      <c r="N29" s="455">
        <f>ROUND(+'25K'!$E34,4)</f>
        <v>1</v>
      </c>
      <c r="O29" s="455">
        <f>ROUND(+'30K'!$E34,4)</f>
        <v>1</v>
      </c>
      <c r="P29" s="455">
        <f>ROUND(+Marathon!$E34,4)</f>
        <v>1</v>
      </c>
      <c r="Q29" s="455">
        <f>ROUND(+Marathon!$E34,4)</f>
        <v>1</v>
      </c>
      <c r="R29" s="455">
        <f>ROUND(+Marathon!$E34,4)</f>
        <v>1</v>
      </c>
      <c r="S29" s="455">
        <f>ROUND(+Marathon!$E34,4)</f>
        <v>1</v>
      </c>
      <c r="T29" s="455">
        <f>ROUND(+Marathon!$E34,4)</f>
        <v>1</v>
      </c>
      <c r="U29" s="455">
        <f>ROUND(+Marathon!$E34,4)</f>
        <v>1</v>
      </c>
      <c r="V29" s="455">
        <f>ROUND(+Marathon!$E34,4)</f>
        <v>1</v>
      </c>
      <c r="W29" s="47"/>
    </row>
    <row r="30" spans="1:23">
      <c r="A30" s="449">
        <v>29</v>
      </c>
      <c r="B30" s="455">
        <f>ROUND(+Mile!E35,4)</f>
        <v>1</v>
      </c>
      <c r="C30" s="455">
        <f>ROUND(+'5K'!E35,4)</f>
        <v>1</v>
      </c>
      <c r="D30" s="455">
        <f>ROUND(+'6K'!E35,4)</f>
        <v>0.99970000000000003</v>
      </c>
      <c r="E30" s="455">
        <f>ROUND(+'4MI'!E35,4)</f>
        <v>0.99960000000000004</v>
      </c>
      <c r="F30" s="455">
        <f>ROUND(+'8K'!$E35,4)</f>
        <v>0.99929999999999997</v>
      </c>
      <c r="G30" s="455">
        <f>ROUND(+'5MI'!E35,4)</f>
        <v>0.99929999999999997</v>
      </c>
      <c r="H30" s="455">
        <f>ROUND(+'10K'!$E35,4)</f>
        <v>0.999</v>
      </c>
      <c r="I30" s="456">
        <f>ROUND(+'12K'!$E35,4)</f>
        <v>0.99919999999999998</v>
      </c>
      <c r="J30" s="455">
        <f>ROUND(+'15K'!$E35,4)</f>
        <v>0.99950000000000006</v>
      </c>
      <c r="K30" s="455">
        <f>ROUND(+'10MI'!$E35,4)</f>
        <v>0.99960000000000004</v>
      </c>
      <c r="L30" s="455">
        <f>ROUND(+'20K'!$E35,4)</f>
        <v>0.99990000000000001</v>
      </c>
      <c r="M30" s="455">
        <f>ROUND(+H.Marathon!$E35,4)</f>
        <v>1</v>
      </c>
      <c r="N30" s="455">
        <f>ROUND(+'25K'!$E35,4)</f>
        <v>1</v>
      </c>
      <c r="O30" s="455">
        <f>ROUND(+'30K'!$E35,4)</f>
        <v>1</v>
      </c>
      <c r="P30" s="455">
        <f>ROUND(+Marathon!$E35,4)</f>
        <v>1</v>
      </c>
      <c r="Q30" s="455">
        <f>ROUND(+Marathon!$E35,4)</f>
        <v>1</v>
      </c>
      <c r="R30" s="455">
        <f>ROUND(+Marathon!$E35,4)</f>
        <v>1</v>
      </c>
      <c r="S30" s="455">
        <f>ROUND(+Marathon!$E35,4)</f>
        <v>1</v>
      </c>
      <c r="T30" s="455">
        <f>ROUND(+Marathon!$E35,4)</f>
        <v>1</v>
      </c>
      <c r="U30" s="455">
        <f>ROUND(+Marathon!$E35,4)</f>
        <v>1</v>
      </c>
      <c r="V30" s="455">
        <f>ROUND(+Marathon!$E35,4)</f>
        <v>1</v>
      </c>
      <c r="W30" s="47"/>
    </row>
    <row r="31" spans="1:23">
      <c r="A31" s="457">
        <v>30</v>
      </c>
      <c r="B31" s="458">
        <f>ROUND(+Mile!E36,4)</f>
        <v>1</v>
      </c>
      <c r="C31" s="458">
        <f>ROUND(+'5K'!E36,4)</f>
        <v>0.99990000000000001</v>
      </c>
      <c r="D31" s="458">
        <f>ROUND(+'6K'!E36,4)</f>
        <v>0.99929999999999997</v>
      </c>
      <c r="E31" s="458">
        <f>ROUND(+'4MI'!E36,4)</f>
        <v>0.99909999999999999</v>
      </c>
      <c r="F31" s="458">
        <f>ROUND(+'8K'!$E36,4)</f>
        <v>0.99850000000000005</v>
      </c>
      <c r="G31" s="458">
        <f>ROUND(+'5MI'!E36,4)</f>
        <v>0.99850000000000005</v>
      </c>
      <c r="H31" s="458">
        <f>ROUND(+'10K'!$E36,4)</f>
        <v>0.99780000000000002</v>
      </c>
      <c r="I31" s="458">
        <f>ROUND(+'12K'!$E36,4)</f>
        <v>0.99829999999999997</v>
      </c>
      <c r="J31" s="458">
        <f>ROUND(+'15K'!$E36,4)</f>
        <v>0.999</v>
      </c>
      <c r="K31" s="458">
        <f>ROUND(+'10MI'!$E36,4)</f>
        <v>0.99919999999999998</v>
      </c>
      <c r="L31" s="458">
        <f>ROUND(+'20K'!$E36,4)</f>
        <v>0.99980000000000002</v>
      </c>
      <c r="M31" s="458">
        <f>ROUND(+H.Marathon!$E36,4)</f>
        <v>1</v>
      </c>
      <c r="N31" s="458">
        <f>ROUND(+'25K'!$E36,4)</f>
        <v>1</v>
      </c>
      <c r="O31" s="458">
        <f>ROUND(+'30K'!$E36,4)</f>
        <v>1</v>
      </c>
      <c r="P31" s="458">
        <f>ROUND(+Marathon!$E36,4)</f>
        <v>1</v>
      </c>
      <c r="Q31" s="458">
        <f>ROUND(+Marathon!$E36,4)</f>
        <v>1</v>
      </c>
      <c r="R31" s="458">
        <f>ROUND(+Marathon!$E36,4)</f>
        <v>1</v>
      </c>
      <c r="S31" s="458">
        <f>ROUND(+Marathon!$E36,4)</f>
        <v>1</v>
      </c>
      <c r="T31" s="458">
        <f>ROUND(+Marathon!$E36,4)</f>
        <v>1</v>
      </c>
      <c r="U31" s="458">
        <f>ROUND(+Marathon!$E36,4)</f>
        <v>1</v>
      </c>
      <c r="V31" s="458">
        <f>ROUND(+Marathon!$E36,4)</f>
        <v>1</v>
      </c>
      <c r="W31" s="47"/>
    </row>
    <row r="32" spans="1:23">
      <c r="A32" s="449">
        <v>31</v>
      </c>
      <c r="B32" s="455">
        <f>ROUND(+Mile!E37,4)</f>
        <v>0.99960000000000004</v>
      </c>
      <c r="C32" s="455">
        <f>ROUND(+'5K'!E37,4)</f>
        <v>0.99870000000000003</v>
      </c>
      <c r="D32" s="455">
        <f>ROUND(+'6K'!E37,4)</f>
        <v>0.998</v>
      </c>
      <c r="E32" s="455">
        <f>ROUND(+'4MI'!E37,4)</f>
        <v>0.99770000000000003</v>
      </c>
      <c r="F32" s="455">
        <f>ROUND(+'8K'!$E37,4)</f>
        <v>0.99690000000000001</v>
      </c>
      <c r="G32" s="455">
        <f>ROUND(+'5MI'!E37,4)</f>
        <v>0.99680000000000002</v>
      </c>
      <c r="H32" s="455">
        <f>ROUND(+'10K'!$E37,4)</f>
        <v>0.996</v>
      </c>
      <c r="I32" s="456">
        <f>ROUND(+'12K'!$E37,4)</f>
        <v>0.997</v>
      </c>
      <c r="J32" s="455">
        <f>ROUND(+'15K'!$E37,4)</f>
        <v>0.99819999999999998</v>
      </c>
      <c r="K32" s="455">
        <f>ROUND(+'10MI'!$E37,4)</f>
        <v>0.99850000000000005</v>
      </c>
      <c r="L32" s="455">
        <f>ROUND(+'20K'!$E37,4)</f>
        <v>0.99970000000000003</v>
      </c>
      <c r="M32" s="455">
        <f>ROUND(+H.Marathon!$E37,4)</f>
        <v>1</v>
      </c>
      <c r="N32" s="455">
        <f>ROUND(+'25K'!$E37,4)</f>
        <v>1</v>
      </c>
      <c r="O32" s="455">
        <f>ROUND(+'30K'!$E37,4)</f>
        <v>1</v>
      </c>
      <c r="P32" s="455">
        <f>ROUND(+Marathon!$E37,4)</f>
        <v>1</v>
      </c>
      <c r="Q32" s="455">
        <f>ROUND(+Marathon!$E37,4)</f>
        <v>1</v>
      </c>
      <c r="R32" s="455">
        <f>ROUND(+Marathon!$E37,4)</f>
        <v>1</v>
      </c>
      <c r="S32" s="455">
        <f>ROUND(+Marathon!$E37,4)</f>
        <v>1</v>
      </c>
      <c r="T32" s="455">
        <f>ROUND(+Marathon!$E37,4)</f>
        <v>1</v>
      </c>
      <c r="U32" s="455">
        <f>ROUND(+Marathon!$E37,4)</f>
        <v>1</v>
      </c>
      <c r="V32" s="455">
        <f>ROUND(+Marathon!$E37,4)</f>
        <v>1</v>
      </c>
      <c r="W32" s="47"/>
    </row>
    <row r="33" spans="1:23">
      <c r="A33" s="449">
        <v>32</v>
      </c>
      <c r="B33" s="455">
        <f>ROUND(+Mile!E38,4)</f>
        <v>0.99850000000000005</v>
      </c>
      <c r="C33" s="455">
        <f>ROUND(+'5K'!E38,4)</f>
        <v>0.99629999999999996</v>
      </c>
      <c r="D33" s="455">
        <f>ROUND(+'6K'!E38,4)</f>
        <v>0.99560000000000004</v>
      </c>
      <c r="E33" s="455">
        <f>ROUND(+'4MI'!E38,4)</f>
        <v>0.99539999999999995</v>
      </c>
      <c r="F33" s="455">
        <f>ROUND(+'8K'!$E38,4)</f>
        <v>0.99460000000000004</v>
      </c>
      <c r="G33" s="455">
        <f>ROUND(+'5MI'!E38,4)</f>
        <v>0.99460000000000004</v>
      </c>
      <c r="H33" s="455">
        <f>ROUND(+'10K'!$E38,4)</f>
        <v>0.99380000000000002</v>
      </c>
      <c r="I33" s="456">
        <f>ROUND(+'12K'!$E38,4)</f>
        <v>0.99529999999999996</v>
      </c>
      <c r="J33" s="455">
        <f>ROUND(+'15K'!$E38,4)</f>
        <v>0.99709999999999999</v>
      </c>
      <c r="K33" s="455">
        <f>ROUND(+'10MI'!$E38,4)</f>
        <v>0.99760000000000004</v>
      </c>
      <c r="L33" s="455">
        <f>ROUND(+'20K'!$E38,4)</f>
        <v>0.99939999999999996</v>
      </c>
      <c r="M33" s="455">
        <f>ROUND(+H.Marathon!$E38,4)</f>
        <v>0.99980000000000002</v>
      </c>
      <c r="N33" s="455">
        <f>ROUND(+'25K'!$E38,4)</f>
        <v>0.99980000000000002</v>
      </c>
      <c r="O33" s="455">
        <f>ROUND(+'30K'!$E38,4)</f>
        <v>0.99990000000000001</v>
      </c>
      <c r="P33" s="455">
        <f>ROUND(+Marathon!$E38,4)</f>
        <v>1</v>
      </c>
      <c r="Q33" s="455">
        <f>ROUND(+Marathon!$E38,4)</f>
        <v>1</v>
      </c>
      <c r="R33" s="455">
        <f>ROUND(+Marathon!$E38,4)</f>
        <v>1</v>
      </c>
      <c r="S33" s="455">
        <f>ROUND(+Marathon!$E38,4)</f>
        <v>1</v>
      </c>
      <c r="T33" s="455">
        <f>ROUND(+Marathon!$E38,4)</f>
        <v>1</v>
      </c>
      <c r="U33" s="455">
        <f>ROUND(+Marathon!$E38,4)</f>
        <v>1</v>
      </c>
      <c r="V33" s="455">
        <f>ROUND(+Marathon!$E38,4)</f>
        <v>1</v>
      </c>
      <c r="W33" s="47"/>
    </row>
    <row r="34" spans="1:23">
      <c r="A34" s="449">
        <v>33</v>
      </c>
      <c r="B34" s="455">
        <f>ROUND(+Mile!E39,4)</f>
        <v>0.99660000000000004</v>
      </c>
      <c r="C34" s="455">
        <f>ROUND(+'5K'!E39,4)</f>
        <v>0.99250000000000005</v>
      </c>
      <c r="D34" s="455">
        <f>ROUND(+'6K'!E39,4)</f>
        <v>0.99209999999999998</v>
      </c>
      <c r="E34" s="455">
        <f>ROUND(+'4MI'!E39,4)</f>
        <v>0.99199999999999999</v>
      </c>
      <c r="F34" s="455">
        <f>ROUND(+'8K'!$E39,4)</f>
        <v>0.99150000000000005</v>
      </c>
      <c r="G34" s="455">
        <f>ROUND(+'5MI'!E39,4)</f>
        <v>0.99150000000000005</v>
      </c>
      <c r="H34" s="455">
        <f>ROUND(+'10K'!$E39,4)</f>
        <v>0.99099999999999999</v>
      </c>
      <c r="I34" s="456">
        <f>ROUND(+'12K'!$E39,4)</f>
        <v>0.9929</v>
      </c>
      <c r="J34" s="455">
        <f>ROUND(+'15K'!$E39,4)</f>
        <v>0.99509999999999998</v>
      </c>
      <c r="K34" s="455">
        <f>ROUND(+'10MI'!$E39,4)</f>
        <v>0.99580000000000002</v>
      </c>
      <c r="L34" s="455">
        <f>ROUND(+'20K'!$E39,4)</f>
        <v>0.99809999999999999</v>
      </c>
      <c r="M34" s="455">
        <f>ROUND(+H.Marathon!$E39,4)</f>
        <v>0.99860000000000004</v>
      </c>
      <c r="N34" s="455">
        <f>ROUND(+'25K'!$E39,4)</f>
        <v>0.99890000000000001</v>
      </c>
      <c r="O34" s="455">
        <f>ROUND(+'30K'!$E39,4)</f>
        <v>0.99929999999999997</v>
      </c>
      <c r="P34" s="455">
        <f>ROUND(+Marathon!$E39,4)</f>
        <v>1</v>
      </c>
      <c r="Q34" s="455">
        <f>ROUND(+Marathon!$E39,4)</f>
        <v>1</v>
      </c>
      <c r="R34" s="455">
        <f>ROUND(+Marathon!$E39,4)</f>
        <v>1</v>
      </c>
      <c r="S34" s="455">
        <f>ROUND(+Marathon!$E39,4)</f>
        <v>1</v>
      </c>
      <c r="T34" s="455">
        <f>ROUND(+Marathon!$E39,4)</f>
        <v>1</v>
      </c>
      <c r="U34" s="455">
        <f>ROUND(+Marathon!$E39,4)</f>
        <v>1</v>
      </c>
      <c r="V34" s="455">
        <f>ROUND(+Marathon!$E39,4)</f>
        <v>1</v>
      </c>
      <c r="W34" s="47"/>
    </row>
    <row r="35" spans="1:23">
      <c r="A35" s="449">
        <v>34</v>
      </c>
      <c r="B35" s="455">
        <f>ROUND(+Mile!E40,4)</f>
        <v>0.99399999999999999</v>
      </c>
      <c r="C35" s="455">
        <f>ROUND(+'5K'!E40,4)</f>
        <v>0.98750000000000004</v>
      </c>
      <c r="D35" s="455">
        <f>ROUND(+'6K'!E40,4)</f>
        <v>0.98760000000000003</v>
      </c>
      <c r="E35" s="455">
        <f>ROUND(+'4MI'!E40,4)</f>
        <v>0.98760000000000003</v>
      </c>
      <c r="F35" s="455">
        <f>ROUND(+'8K'!$E40,4)</f>
        <v>0.98770000000000002</v>
      </c>
      <c r="G35" s="455">
        <f>ROUND(+'5MI'!E40,4)</f>
        <v>0.98770000000000002</v>
      </c>
      <c r="H35" s="455">
        <f>ROUND(+'10K'!$E40,4)</f>
        <v>0.98780000000000001</v>
      </c>
      <c r="I35" s="456">
        <f>ROUND(+'12K'!$E40,4)</f>
        <v>0.9899</v>
      </c>
      <c r="J35" s="455">
        <f>ROUND(+'15K'!$E40,4)</f>
        <v>0.99250000000000005</v>
      </c>
      <c r="K35" s="455">
        <f>ROUND(+'10MI'!$E40,4)</f>
        <v>0.99329999999999996</v>
      </c>
      <c r="L35" s="455">
        <f>ROUND(+'20K'!$E40,4)</f>
        <v>0.99590000000000001</v>
      </c>
      <c r="M35" s="455">
        <f>ROUND(+H.Marathon!$E40,4)</f>
        <v>0.99650000000000005</v>
      </c>
      <c r="N35" s="455">
        <f>ROUND(+'25K'!$E40,4)</f>
        <v>0.99739999999999995</v>
      </c>
      <c r="O35" s="455">
        <f>ROUND(+'30K'!$E40,4)</f>
        <v>0.99829999999999997</v>
      </c>
      <c r="P35" s="455">
        <f>ROUND(+Marathon!$E40,4)</f>
        <v>1</v>
      </c>
      <c r="Q35" s="455">
        <f>ROUND(+Marathon!$E40,4)</f>
        <v>1</v>
      </c>
      <c r="R35" s="455">
        <f>ROUND(+Marathon!$E40,4)</f>
        <v>1</v>
      </c>
      <c r="S35" s="455">
        <f>ROUND(+Marathon!$E40,4)</f>
        <v>1</v>
      </c>
      <c r="T35" s="455">
        <f>ROUND(+Marathon!$E40,4)</f>
        <v>1</v>
      </c>
      <c r="U35" s="455">
        <f>ROUND(+Marathon!$E40,4)</f>
        <v>1</v>
      </c>
      <c r="V35" s="455">
        <f>ROUND(+Marathon!$E40,4)</f>
        <v>1</v>
      </c>
      <c r="W35" s="47"/>
    </row>
    <row r="36" spans="1:23">
      <c r="A36" s="457">
        <v>35</v>
      </c>
      <c r="B36" s="458">
        <f>ROUND(+Mile!E41,4)</f>
        <v>0.99060000000000004</v>
      </c>
      <c r="C36" s="458">
        <f>ROUND(+'5K'!E41,4)</f>
        <v>0.98109999999999997</v>
      </c>
      <c r="D36" s="458">
        <f>ROUND(+'6K'!E41,4)</f>
        <v>0.9819</v>
      </c>
      <c r="E36" s="458">
        <f>ROUND(+'4MI'!E41,4)</f>
        <v>0.98219999999999996</v>
      </c>
      <c r="F36" s="458">
        <f>ROUND(+'8K'!$E41,4)</f>
        <v>0.98309999999999997</v>
      </c>
      <c r="G36" s="458">
        <f>ROUND(+'5MI'!E41,4)</f>
        <v>0.98309999999999997</v>
      </c>
      <c r="H36" s="458">
        <f>ROUND(+'10K'!$E41,4)</f>
        <v>0.98399999999999999</v>
      </c>
      <c r="I36" s="458">
        <f>ROUND(+'12K'!$E41,4)</f>
        <v>0.98629999999999995</v>
      </c>
      <c r="J36" s="458">
        <f>ROUND(+'15K'!$E41,4)</f>
        <v>0.98919999999999997</v>
      </c>
      <c r="K36" s="458">
        <f>ROUND(+'10MI'!$E41,4)</f>
        <v>0.99009999999999998</v>
      </c>
      <c r="L36" s="458">
        <f>ROUND(+'20K'!$E41,4)</f>
        <v>0.99280000000000002</v>
      </c>
      <c r="M36" s="458">
        <f>ROUND(+H.Marathon!$E41,4)</f>
        <v>0.99350000000000005</v>
      </c>
      <c r="N36" s="458">
        <f>ROUND(+'25K'!$E41,4)</f>
        <v>0.99509999999999998</v>
      </c>
      <c r="O36" s="458">
        <f>ROUND(+'30K'!$E41,4)</f>
        <v>0.99680000000000002</v>
      </c>
      <c r="P36" s="458">
        <f>ROUND(+Marathon!$E41,4)</f>
        <v>1</v>
      </c>
      <c r="Q36" s="458">
        <f>ROUND(+Marathon!$E41,4)</f>
        <v>1</v>
      </c>
      <c r="R36" s="458">
        <f>ROUND(+Marathon!$E41,4)</f>
        <v>1</v>
      </c>
      <c r="S36" s="458">
        <f>ROUND(+Marathon!$E41,4)</f>
        <v>1</v>
      </c>
      <c r="T36" s="458">
        <f>ROUND(+Marathon!$E41,4)</f>
        <v>1</v>
      </c>
      <c r="U36" s="458">
        <f>ROUND(+Marathon!$E41,4)</f>
        <v>1</v>
      </c>
      <c r="V36" s="458">
        <f>ROUND(+Marathon!$E41,4)</f>
        <v>1</v>
      </c>
      <c r="W36" s="47"/>
    </row>
    <row r="37" spans="1:23">
      <c r="A37" s="449">
        <v>36</v>
      </c>
      <c r="B37" s="455">
        <f>ROUND(+Mile!E42,4)</f>
        <v>0.98640000000000005</v>
      </c>
      <c r="C37" s="455">
        <f>ROUND(+'5K'!E42,4)</f>
        <v>0.97409999999999997</v>
      </c>
      <c r="D37" s="455">
        <f>ROUND(+'6K'!E42,4)</f>
        <v>0.97560000000000002</v>
      </c>
      <c r="E37" s="455">
        <f>ROUND(+'4MI'!E42,4)</f>
        <v>0.97619999999999996</v>
      </c>
      <c r="F37" s="455">
        <f>ROUND(+'8K'!$E42,4)</f>
        <v>0.97799999999999998</v>
      </c>
      <c r="G37" s="455">
        <f>ROUND(+'5MI'!E42,4)</f>
        <v>0.97799999999999998</v>
      </c>
      <c r="H37" s="455">
        <f>ROUND(+'10K'!$E42,4)</f>
        <v>0.9798</v>
      </c>
      <c r="I37" s="456">
        <f>ROUND(+'12K'!$E42,4)</f>
        <v>0.98219999999999996</v>
      </c>
      <c r="J37" s="455">
        <f>ROUND(+'15K'!$E42,4)</f>
        <v>0.98509999999999998</v>
      </c>
      <c r="K37" s="455">
        <f>ROUND(+'10MI'!$E42,4)</f>
        <v>0.98599999999999999</v>
      </c>
      <c r="L37" s="455">
        <f>ROUND(+'20K'!$E42,4)</f>
        <v>0.98880000000000001</v>
      </c>
      <c r="M37" s="455">
        <f>ROUND(+H.Marathon!$E42,4)</f>
        <v>0.98950000000000005</v>
      </c>
      <c r="N37" s="455">
        <f>ROUND(+'25K'!$E42,4)</f>
        <v>0.9919</v>
      </c>
      <c r="O37" s="455">
        <f>ROUND(+'30K'!$E42,4)</f>
        <v>0.99439999999999995</v>
      </c>
      <c r="P37" s="455">
        <f>ROUND(+Marathon!$E42,4)</f>
        <v>0.99909999999999999</v>
      </c>
      <c r="Q37" s="455">
        <f>ROUND(+Marathon!$E42,4)</f>
        <v>0.99909999999999999</v>
      </c>
      <c r="R37" s="455">
        <f>ROUND(+Marathon!$E42,4)</f>
        <v>0.99909999999999999</v>
      </c>
      <c r="S37" s="455">
        <f>ROUND(+Marathon!$E42,4)</f>
        <v>0.99909999999999999</v>
      </c>
      <c r="T37" s="455">
        <f>ROUND(+Marathon!$E42,4)</f>
        <v>0.99909999999999999</v>
      </c>
      <c r="U37" s="455">
        <f>ROUND(+Marathon!$E42,4)</f>
        <v>0.99909999999999999</v>
      </c>
      <c r="V37" s="455">
        <f>ROUND(+Marathon!$E42,4)</f>
        <v>0.99909999999999999</v>
      </c>
      <c r="W37" s="47"/>
    </row>
    <row r="38" spans="1:23">
      <c r="A38" s="449">
        <v>37</v>
      </c>
      <c r="B38" s="455">
        <f>ROUND(+Mile!E43,4)</f>
        <v>0.98150000000000004</v>
      </c>
      <c r="C38" s="455">
        <f>ROUND(+'5K'!E43,4)</f>
        <v>0.96709999999999996</v>
      </c>
      <c r="D38" s="455">
        <f>ROUND(+'6K'!E43,4)</f>
        <v>0.96919999999999995</v>
      </c>
      <c r="E38" s="455">
        <f>ROUND(+'4MI'!E43,4)</f>
        <v>0.97</v>
      </c>
      <c r="F38" s="455">
        <f>ROUND(+'8K'!$E43,4)</f>
        <v>0.97250000000000003</v>
      </c>
      <c r="G38" s="455">
        <f>ROUND(+'5MI'!E43,4)</f>
        <v>0.97250000000000003</v>
      </c>
      <c r="H38" s="455">
        <f>ROUND(+'10K'!$E43,4)</f>
        <v>0.97499999999999998</v>
      </c>
      <c r="I38" s="456">
        <f>ROUND(+'12K'!$E43,4)</f>
        <v>0.97729999999999995</v>
      </c>
      <c r="J38" s="455">
        <f>ROUND(+'15K'!$E43,4)</f>
        <v>0.98019999999999996</v>
      </c>
      <c r="K38" s="455">
        <f>ROUND(+'10MI'!$E43,4)</f>
        <v>0.98109999999999997</v>
      </c>
      <c r="L38" s="455">
        <f>ROUND(+'20K'!$E43,4)</f>
        <v>0.9839</v>
      </c>
      <c r="M38" s="455">
        <f>ROUND(+H.Marathon!$E43,4)</f>
        <v>0.98460000000000003</v>
      </c>
      <c r="N38" s="455">
        <f>ROUND(+'25K'!$E43,4)</f>
        <v>0.98750000000000004</v>
      </c>
      <c r="O38" s="455">
        <f>ROUND(+'30K'!$E43,4)</f>
        <v>0.99060000000000004</v>
      </c>
      <c r="P38" s="455">
        <f>ROUND(+Marathon!$E43,4)</f>
        <v>0.99650000000000005</v>
      </c>
      <c r="Q38" s="455">
        <f>ROUND(+Marathon!$E43,4)</f>
        <v>0.99650000000000005</v>
      </c>
      <c r="R38" s="455">
        <f>ROUND(+Marathon!$E43,4)</f>
        <v>0.99650000000000005</v>
      </c>
      <c r="S38" s="455">
        <f>ROUND(+Marathon!$E43,4)</f>
        <v>0.99650000000000005</v>
      </c>
      <c r="T38" s="455">
        <f>ROUND(+Marathon!$E43,4)</f>
        <v>0.99650000000000005</v>
      </c>
      <c r="U38" s="455">
        <f>ROUND(+Marathon!$E43,4)</f>
        <v>0.99650000000000005</v>
      </c>
      <c r="V38" s="455">
        <f>ROUND(+Marathon!$E43,4)</f>
        <v>0.99650000000000005</v>
      </c>
      <c r="W38" s="47"/>
    </row>
    <row r="39" spans="1:23">
      <c r="A39" s="449">
        <v>38</v>
      </c>
      <c r="B39" s="455">
        <f>ROUND(+Mile!E44,4)</f>
        <v>0.9758</v>
      </c>
      <c r="C39" s="455">
        <f>ROUND(+'5K'!E44,4)</f>
        <v>0.96009999999999995</v>
      </c>
      <c r="D39" s="455">
        <f>ROUND(+'6K'!E44,4)</f>
        <v>0.9627</v>
      </c>
      <c r="E39" s="455">
        <f>ROUND(+'4MI'!E44,4)</f>
        <v>0.96360000000000001</v>
      </c>
      <c r="F39" s="455">
        <f>ROUND(+'8K'!$E44,4)</f>
        <v>0.9667</v>
      </c>
      <c r="G39" s="455">
        <f>ROUND(+'5MI'!E44,4)</f>
        <v>0.96679999999999999</v>
      </c>
      <c r="H39" s="455">
        <f>ROUND(+'10K'!$E44,4)</f>
        <v>0.9698</v>
      </c>
      <c r="I39" s="456">
        <f>ROUND(+'12K'!$E44,4)</f>
        <v>0.97199999999999998</v>
      </c>
      <c r="J39" s="455">
        <f>ROUND(+'15K'!$E44,4)</f>
        <v>0.97460000000000002</v>
      </c>
      <c r="K39" s="455">
        <f>ROUND(+'10MI'!$E44,4)</f>
        <v>0.97550000000000003</v>
      </c>
      <c r="L39" s="455">
        <f>ROUND(+'20K'!$E44,4)</f>
        <v>0.97809999999999997</v>
      </c>
      <c r="M39" s="455">
        <f>ROUND(+H.Marathon!$E44,4)</f>
        <v>0.97870000000000001</v>
      </c>
      <c r="N39" s="455">
        <f>ROUND(+'25K'!$E44,4)</f>
        <v>0.98199999999999998</v>
      </c>
      <c r="O39" s="455">
        <f>ROUND(+'30K'!$E44,4)</f>
        <v>0.98550000000000004</v>
      </c>
      <c r="P39" s="455">
        <f>ROUND(+Marathon!$E44,4)</f>
        <v>0.99209999999999998</v>
      </c>
      <c r="Q39" s="455">
        <f>ROUND(+Marathon!$E44,4)</f>
        <v>0.99209999999999998</v>
      </c>
      <c r="R39" s="455">
        <f>ROUND(+Marathon!$E44,4)</f>
        <v>0.99209999999999998</v>
      </c>
      <c r="S39" s="455">
        <f>ROUND(+Marathon!$E44,4)</f>
        <v>0.99209999999999998</v>
      </c>
      <c r="T39" s="455">
        <f>ROUND(+Marathon!$E44,4)</f>
        <v>0.99209999999999998</v>
      </c>
      <c r="U39" s="455">
        <f>ROUND(+Marathon!$E44,4)</f>
        <v>0.99209999999999998</v>
      </c>
      <c r="V39" s="455">
        <f>ROUND(+Marathon!$E44,4)</f>
        <v>0.99209999999999998</v>
      </c>
      <c r="W39" s="47"/>
    </row>
    <row r="40" spans="1:23">
      <c r="A40" s="449">
        <v>39</v>
      </c>
      <c r="B40" s="455">
        <f>ROUND(+Mile!E45,4)</f>
        <v>0.96940000000000004</v>
      </c>
      <c r="C40" s="455">
        <f>ROUND(+'5K'!E45,4)</f>
        <v>0.95309999999999995</v>
      </c>
      <c r="D40" s="455">
        <f>ROUND(+'6K'!E45,4)</f>
        <v>0.95599999999999996</v>
      </c>
      <c r="E40" s="455">
        <f>ROUND(+'4MI'!E45,4)</f>
        <v>0.95709999999999995</v>
      </c>
      <c r="F40" s="455">
        <f>ROUND(+'8K'!$E45,4)</f>
        <v>0.96050000000000002</v>
      </c>
      <c r="G40" s="455">
        <f>ROUND(+'5MI'!E45,4)</f>
        <v>0.96060000000000001</v>
      </c>
      <c r="H40" s="455">
        <f>ROUND(+'10K'!$E45,4)</f>
        <v>0.96399999999999997</v>
      </c>
      <c r="I40" s="456">
        <f>ROUND(+'12K'!$E45,4)</f>
        <v>0.96589999999999998</v>
      </c>
      <c r="J40" s="455">
        <f>ROUND(+'15K'!$E45,4)</f>
        <v>0.96830000000000005</v>
      </c>
      <c r="K40" s="455">
        <f>ROUND(+'10MI'!$E45,4)</f>
        <v>0.96899999999999997</v>
      </c>
      <c r="L40" s="455">
        <f>ROUND(+'20K'!$E45,4)</f>
        <v>0.97130000000000005</v>
      </c>
      <c r="M40" s="455">
        <f>ROUND(+H.Marathon!$E45,4)</f>
        <v>0.97189999999999999</v>
      </c>
      <c r="N40" s="455">
        <f>ROUND(+'25K'!$E45,4)</f>
        <v>0.97540000000000004</v>
      </c>
      <c r="O40" s="455">
        <f>ROUND(+'30K'!$E45,4)</f>
        <v>0.97909999999999997</v>
      </c>
      <c r="P40" s="455">
        <f>ROUND(+Marathon!$E45,4)</f>
        <v>0.98599999999999999</v>
      </c>
      <c r="Q40" s="455">
        <f>ROUND(+Marathon!$E45,4)</f>
        <v>0.98599999999999999</v>
      </c>
      <c r="R40" s="455">
        <f>ROUND(+Marathon!$E45,4)</f>
        <v>0.98599999999999999</v>
      </c>
      <c r="S40" s="455">
        <f>ROUND(+Marathon!$E45,4)</f>
        <v>0.98599999999999999</v>
      </c>
      <c r="T40" s="455">
        <f>ROUND(+Marathon!$E45,4)</f>
        <v>0.98599999999999999</v>
      </c>
      <c r="U40" s="455">
        <f>ROUND(+Marathon!$E45,4)</f>
        <v>0.98599999999999999</v>
      </c>
      <c r="V40" s="455">
        <f>ROUND(+Marathon!$E45,4)</f>
        <v>0.98599999999999999</v>
      </c>
      <c r="W40" s="47"/>
    </row>
    <row r="41" spans="1:23">
      <c r="A41" s="457">
        <v>40</v>
      </c>
      <c r="B41" s="458">
        <f>ROUND(+Mile!E46,4)</f>
        <v>0.96230000000000004</v>
      </c>
      <c r="C41" s="458">
        <f>ROUND(+'5K'!E46,4)</f>
        <v>0.94610000000000005</v>
      </c>
      <c r="D41" s="458">
        <f>ROUND(+'6K'!E46,4)</f>
        <v>0.94920000000000004</v>
      </c>
      <c r="E41" s="458">
        <f>ROUND(+'4MI'!E46,4)</f>
        <v>0.95040000000000002</v>
      </c>
      <c r="F41" s="458">
        <f>ROUND(+'8K'!$E46,4)</f>
        <v>0.95399999999999996</v>
      </c>
      <c r="G41" s="458">
        <f>ROUND(+'5MI'!E46,4)</f>
        <v>0.95409999999999995</v>
      </c>
      <c r="H41" s="458">
        <f>ROUND(+'10K'!$E46,4)</f>
        <v>0.95779999999999998</v>
      </c>
      <c r="I41" s="458">
        <f>ROUND(+'12K'!$E46,4)</f>
        <v>0.95940000000000003</v>
      </c>
      <c r="J41" s="458">
        <f>ROUND(+'15K'!$E46,4)</f>
        <v>0.96130000000000004</v>
      </c>
      <c r="K41" s="458">
        <f>ROUND(+'10MI'!$E46,4)</f>
        <v>0.96189999999999998</v>
      </c>
      <c r="L41" s="458">
        <f>ROUND(+'20K'!$E46,4)</f>
        <v>0.9637</v>
      </c>
      <c r="M41" s="458">
        <f>ROUND(+H.Marathon!$E46,4)</f>
        <v>0.96419999999999995</v>
      </c>
      <c r="N41" s="458">
        <f>ROUND(+'25K'!$E46,4)</f>
        <v>0.9677</v>
      </c>
      <c r="O41" s="458">
        <f>ROUND(+'30K'!$E46,4)</f>
        <v>0.97140000000000004</v>
      </c>
      <c r="P41" s="458">
        <f>ROUND(+Marathon!$E46,4)</f>
        <v>0.97829999999999995</v>
      </c>
      <c r="Q41" s="458">
        <f>ROUND(+Marathon!$E46,4)</f>
        <v>0.97829999999999995</v>
      </c>
      <c r="R41" s="458">
        <f>ROUND(+Marathon!$E46,4)</f>
        <v>0.97829999999999995</v>
      </c>
      <c r="S41" s="458">
        <f>ROUND(+Marathon!$E46,4)</f>
        <v>0.97829999999999995</v>
      </c>
      <c r="T41" s="458">
        <f>ROUND(+Marathon!$E46,4)</f>
        <v>0.97829999999999995</v>
      </c>
      <c r="U41" s="458">
        <f>ROUND(+Marathon!$E46,4)</f>
        <v>0.97829999999999995</v>
      </c>
      <c r="V41" s="458">
        <f>ROUND(+Marathon!$E46,4)</f>
        <v>0.97829999999999995</v>
      </c>
      <c r="W41" s="47"/>
    </row>
    <row r="42" spans="1:23">
      <c r="A42" s="449">
        <v>41</v>
      </c>
      <c r="B42" s="455">
        <f>ROUND(+Mile!E47,4)</f>
        <v>0.95440000000000003</v>
      </c>
      <c r="C42" s="455">
        <f>ROUND(+'5K'!E47,4)</f>
        <v>0.93910000000000005</v>
      </c>
      <c r="D42" s="455">
        <f>ROUND(+'6K'!E47,4)</f>
        <v>0.94220000000000004</v>
      </c>
      <c r="E42" s="455">
        <f>ROUND(+'4MI'!E47,4)</f>
        <v>0.94340000000000002</v>
      </c>
      <c r="F42" s="455">
        <f>ROUND(+'8K'!$E47,4)</f>
        <v>0.94720000000000004</v>
      </c>
      <c r="G42" s="455">
        <f>ROUND(+'5MI'!E47,4)</f>
        <v>0.94730000000000003</v>
      </c>
      <c r="H42" s="455">
        <f>ROUND(+'10K'!$E47,4)</f>
        <v>0.95099999999999996</v>
      </c>
      <c r="I42" s="456">
        <f>ROUND(+'12K'!$E47,4)</f>
        <v>0.95230000000000004</v>
      </c>
      <c r="J42" s="455">
        <f>ROUND(+'15K'!$E47,4)</f>
        <v>0.95389999999999997</v>
      </c>
      <c r="K42" s="455">
        <f>ROUND(+'10MI'!$E47,4)</f>
        <v>0.95440000000000003</v>
      </c>
      <c r="L42" s="455">
        <f>ROUND(+'20K'!$E47,4)</f>
        <v>0.95599999999999996</v>
      </c>
      <c r="M42" s="455">
        <f>ROUND(+H.Marathon!$E47,4)</f>
        <v>0.95640000000000003</v>
      </c>
      <c r="N42" s="455">
        <f>ROUND(+'25K'!$E47,4)</f>
        <v>0.95979999999999999</v>
      </c>
      <c r="O42" s="455">
        <f>ROUND(+'30K'!$E47,4)</f>
        <v>0.96340000000000003</v>
      </c>
      <c r="P42" s="455">
        <f>ROUND(+Marathon!$E47,4)</f>
        <v>0.97009999999999996</v>
      </c>
      <c r="Q42" s="455">
        <f>ROUND(+Marathon!$E47,4)</f>
        <v>0.97009999999999996</v>
      </c>
      <c r="R42" s="455">
        <f>ROUND(+Marathon!$E47,4)</f>
        <v>0.97009999999999996</v>
      </c>
      <c r="S42" s="455">
        <f>ROUND(+Marathon!$E47,4)</f>
        <v>0.97009999999999996</v>
      </c>
      <c r="T42" s="455">
        <f>ROUND(+Marathon!$E47,4)</f>
        <v>0.97009999999999996</v>
      </c>
      <c r="U42" s="455">
        <f>ROUND(+Marathon!$E47,4)</f>
        <v>0.97009999999999996</v>
      </c>
      <c r="V42" s="455">
        <f>ROUND(+Marathon!$E47,4)</f>
        <v>0.97009999999999996</v>
      </c>
      <c r="W42" s="47"/>
    </row>
    <row r="43" spans="1:23">
      <c r="A43" s="449">
        <v>42</v>
      </c>
      <c r="B43" s="455">
        <f>ROUND(+Mile!E48,4)</f>
        <v>0.94640000000000002</v>
      </c>
      <c r="C43" s="455">
        <f>ROUND(+'5K'!E48,4)</f>
        <v>0.93210000000000004</v>
      </c>
      <c r="D43" s="455">
        <f>ROUND(+'6K'!E48,4)</f>
        <v>0.93520000000000003</v>
      </c>
      <c r="E43" s="455">
        <f>ROUND(+'4MI'!E48,4)</f>
        <v>0.93640000000000001</v>
      </c>
      <c r="F43" s="455">
        <f>ROUND(+'8K'!$E48,4)</f>
        <v>0.94</v>
      </c>
      <c r="G43" s="455">
        <f>ROUND(+'5MI'!E48,4)</f>
        <v>0.94010000000000005</v>
      </c>
      <c r="H43" s="455">
        <f>ROUND(+'10K'!$E48,4)</f>
        <v>0.94379999999999997</v>
      </c>
      <c r="I43" s="456">
        <f>ROUND(+'12K'!$E48,4)</f>
        <v>0.94499999999999995</v>
      </c>
      <c r="J43" s="455">
        <f>ROUND(+'15K'!$E48,4)</f>
        <v>0.94650000000000001</v>
      </c>
      <c r="K43" s="455">
        <f>ROUND(+'10MI'!$E48,4)</f>
        <v>0.94689999999999996</v>
      </c>
      <c r="L43" s="455">
        <f>ROUND(+'20K'!$E48,4)</f>
        <v>0.94830000000000003</v>
      </c>
      <c r="M43" s="455">
        <f>ROUND(+H.Marathon!$E48,4)</f>
        <v>0.94869999999999999</v>
      </c>
      <c r="N43" s="455">
        <f>ROUND(+'25K'!$E48,4)</f>
        <v>0.95189999999999997</v>
      </c>
      <c r="O43" s="455">
        <f>ROUND(+'30K'!$E48,4)</f>
        <v>0.95540000000000003</v>
      </c>
      <c r="P43" s="455">
        <f>ROUND(+Marathon!$E48,4)</f>
        <v>0.96189999999999998</v>
      </c>
      <c r="Q43" s="455">
        <f>ROUND(+Marathon!$E48,4)</f>
        <v>0.96189999999999998</v>
      </c>
      <c r="R43" s="455">
        <f>ROUND(+Marathon!$E48,4)</f>
        <v>0.96189999999999998</v>
      </c>
      <c r="S43" s="455">
        <f>ROUND(+Marathon!$E48,4)</f>
        <v>0.96189999999999998</v>
      </c>
      <c r="T43" s="455">
        <f>ROUND(+Marathon!$E48,4)</f>
        <v>0.96189999999999998</v>
      </c>
      <c r="U43" s="455">
        <f>ROUND(+Marathon!$E48,4)</f>
        <v>0.96189999999999998</v>
      </c>
      <c r="V43" s="455">
        <f>ROUND(+Marathon!$E48,4)</f>
        <v>0.96189999999999998</v>
      </c>
      <c r="W43" s="47"/>
    </row>
    <row r="44" spans="1:23">
      <c r="A44" s="449">
        <v>43</v>
      </c>
      <c r="B44" s="455">
        <f>ROUND(+Mile!E49,4)</f>
        <v>0.93840000000000001</v>
      </c>
      <c r="C44" s="455">
        <f>ROUND(+'5K'!E49,4)</f>
        <v>0.92510000000000003</v>
      </c>
      <c r="D44" s="455">
        <f>ROUND(+'6K'!E49,4)</f>
        <v>0.92800000000000005</v>
      </c>
      <c r="E44" s="455">
        <f>ROUND(+'4MI'!E49,4)</f>
        <v>0.92920000000000003</v>
      </c>
      <c r="F44" s="455">
        <f>ROUND(+'8K'!$E49,4)</f>
        <v>0.93269999999999997</v>
      </c>
      <c r="G44" s="455">
        <f>ROUND(+'5MI'!E49,4)</f>
        <v>0.93279999999999996</v>
      </c>
      <c r="H44" s="455">
        <f>ROUND(+'10K'!$E49,4)</f>
        <v>0.93630000000000002</v>
      </c>
      <c r="I44" s="456">
        <f>ROUND(+'12K'!$E49,4)</f>
        <v>0.93740000000000001</v>
      </c>
      <c r="J44" s="455">
        <f>ROUND(+'15K'!$E49,4)</f>
        <v>0.93879999999999997</v>
      </c>
      <c r="K44" s="455">
        <f>ROUND(+'10MI'!$E49,4)</f>
        <v>0.93920000000000003</v>
      </c>
      <c r="L44" s="455">
        <f>ROUND(+'20K'!$E49,4)</f>
        <v>0.94059999999999999</v>
      </c>
      <c r="M44" s="455">
        <f>ROUND(+H.Marathon!$E49,4)</f>
        <v>0.94089999999999996</v>
      </c>
      <c r="N44" s="455">
        <f>ROUND(+'25K'!$E49,4)</f>
        <v>0.94399999999999995</v>
      </c>
      <c r="O44" s="455">
        <f>ROUND(+'30K'!$E49,4)</f>
        <v>0.94740000000000002</v>
      </c>
      <c r="P44" s="455">
        <f>ROUND(+Marathon!$E49,4)</f>
        <v>0.95369999999999999</v>
      </c>
      <c r="Q44" s="455">
        <f>ROUND(+Marathon!$E49,4)</f>
        <v>0.95369999999999999</v>
      </c>
      <c r="R44" s="455">
        <f>ROUND(+Marathon!$E49,4)</f>
        <v>0.95369999999999999</v>
      </c>
      <c r="S44" s="455">
        <f>ROUND(+Marathon!$E49,4)</f>
        <v>0.95369999999999999</v>
      </c>
      <c r="T44" s="455">
        <f>ROUND(+Marathon!$E49,4)</f>
        <v>0.95369999999999999</v>
      </c>
      <c r="U44" s="455">
        <f>ROUND(+Marathon!$E49,4)</f>
        <v>0.95369999999999999</v>
      </c>
      <c r="V44" s="455">
        <f>ROUND(+Marathon!$E49,4)</f>
        <v>0.95369999999999999</v>
      </c>
      <c r="W44" s="47"/>
    </row>
    <row r="45" spans="1:23">
      <c r="A45" s="449">
        <v>44</v>
      </c>
      <c r="B45" s="455">
        <f>ROUND(+Mile!E50,4)</f>
        <v>0.9304</v>
      </c>
      <c r="C45" s="455">
        <f>ROUND(+'5K'!E50,4)</f>
        <v>0.91810000000000003</v>
      </c>
      <c r="D45" s="455">
        <f>ROUND(+'6K'!E50,4)</f>
        <v>0.92090000000000005</v>
      </c>
      <c r="E45" s="455">
        <f>ROUND(+'4MI'!E50,4)</f>
        <v>0.92200000000000004</v>
      </c>
      <c r="F45" s="455">
        <f>ROUND(+'8K'!$E50,4)</f>
        <v>0.9254</v>
      </c>
      <c r="G45" s="455">
        <f>ROUND(+'5MI'!E50,4)</f>
        <v>0.9254</v>
      </c>
      <c r="H45" s="455">
        <f>ROUND(+'10K'!$E50,4)</f>
        <v>0.92879999999999996</v>
      </c>
      <c r="I45" s="456">
        <f>ROUND(+'12K'!$E50,4)</f>
        <v>0.92989999999999995</v>
      </c>
      <c r="J45" s="455">
        <f>ROUND(+'15K'!$E50,4)</f>
        <v>0.93110000000000004</v>
      </c>
      <c r="K45" s="455">
        <f>ROUND(+'10MI'!$E50,4)</f>
        <v>0.93149999999999999</v>
      </c>
      <c r="L45" s="455">
        <f>ROUND(+'20K'!$E50,4)</f>
        <v>0.93279999999999996</v>
      </c>
      <c r="M45" s="455">
        <f>ROUND(+H.Marathon!$E50,4)</f>
        <v>0.93310000000000004</v>
      </c>
      <c r="N45" s="455">
        <f>ROUND(+'25K'!$E50,4)</f>
        <v>0.93610000000000004</v>
      </c>
      <c r="O45" s="455">
        <f>ROUND(+'30K'!$E50,4)</f>
        <v>0.93940000000000001</v>
      </c>
      <c r="P45" s="455">
        <f>ROUND(+Marathon!$E50,4)</f>
        <v>0.94550000000000001</v>
      </c>
      <c r="Q45" s="455">
        <f>ROUND(+Marathon!$E50,4)</f>
        <v>0.94550000000000001</v>
      </c>
      <c r="R45" s="455">
        <f>ROUND(+Marathon!$E50,4)</f>
        <v>0.94550000000000001</v>
      </c>
      <c r="S45" s="455">
        <f>ROUND(+Marathon!$E50,4)</f>
        <v>0.94550000000000001</v>
      </c>
      <c r="T45" s="455">
        <f>ROUND(+Marathon!$E50,4)</f>
        <v>0.94550000000000001</v>
      </c>
      <c r="U45" s="455">
        <f>ROUND(+Marathon!$E50,4)</f>
        <v>0.94550000000000001</v>
      </c>
      <c r="V45" s="455">
        <f>ROUND(+Marathon!$E50,4)</f>
        <v>0.94550000000000001</v>
      </c>
      <c r="W45" s="47"/>
    </row>
    <row r="46" spans="1:23">
      <c r="A46" s="457">
        <v>45</v>
      </c>
      <c r="B46" s="458">
        <f>ROUND(+Mile!E51,4)</f>
        <v>0.9224</v>
      </c>
      <c r="C46" s="458">
        <f>ROUND(+'5K'!E51,4)</f>
        <v>0.91110000000000002</v>
      </c>
      <c r="D46" s="458">
        <f>ROUND(+'6K'!E51,4)</f>
        <v>0.91379999999999995</v>
      </c>
      <c r="E46" s="458">
        <f>ROUND(+'4MI'!E51,4)</f>
        <v>0.91479999999999995</v>
      </c>
      <c r="F46" s="458">
        <f>ROUND(+'8K'!$E51,4)</f>
        <v>0.91800000000000004</v>
      </c>
      <c r="G46" s="458">
        <f>ROUND(+'5MI'!E51,4)</f>
        <v>0.91810000000000003</v>
      </c>
      <c r="H46" s="458">
        <f>ROUND(+'10K'!$E51,4)</f>
        <v>0.92130000000000001</v>
      </c>
      <c r="I46" s="458">
        <f>ROUND(+'12K'!$E51,4)</f>
        <v>0.92230000000000001</v>
      </c>
      <c r="J46" s="458">
        <f>ROUND(+'15K'!$E51,4)</f>
        <v>0.92349999999999999</v>
      </c>
      <c r="K46" s="458">
        <f>ROUND(+'10MI'!$E51,4)</f>
        <v>0.92379999999999995</v>
      </c>
      <c r="L46" s="458">
        <f>ROUND(+'20K'!$E51,4)</f>
        <v>0.92500000000000004</v>
      </c>
      <c r="M46" s="458">
        <f>ROUND(+H.Marathon!$E51,4)</f>
        <v>0.92530000000000001</v>
      </c>
      <c r="N46" s="458">
        <f>ROUND(+'25K'!$E51,4)</f>
        <v>0.92820000000000003</v>
      </c>
      <c r="O46" s="458">
        <f>ROUND(+'30K'!$E51,4)</f>
        <v>0.93140000000000001</v>
      </c>
      <c r="P46" s="458">
        <f>ROUND(+Marathon!$E51,4)</f>
        <v>0.93730000000000002</v>
      </c>
      <c r="Q46" s="458">
        <f>ROUND(+Marathon!$E51,4)</f>
        <v>0.93730000000000002</v>
      </c>
      <c r="R46" s="458">
        <f>ROUND(+Marathon!$E51,4)</f>
        <v>0.93730000000000002</v>
      </c>
      <c r="S46" s="458">
        <f>ROUND(+Marathon!$E51,4)</f>
        <v>0.93730000000000002</v>
      </c>
      <c r="T46" s="458">
        <f>ROUND(+Marathon!$E51,4)</f>
        <v>0.93730000000000002</v>
      </c>
      <c r="U46" s="458">
        <f>ROUND(+Marathon!$E51,4)</f>
        <v>0.93730000000000002</v>
      </c>
      <c r="V46" s="458">
        <f>ROUND(+Marathon!$E51,4)</f>
        <v>0.93730000000000002</v>
      </c>
      <c r="W46" s="47"/>
    </row>
    <row r="47" spans="1:23">
      <c r="A47" s="449">
        <v>46</v>
      </c>
      <c r="B47" s="455">
        <f>ROUND(+Mile!E52,4)</f>
        <v>0.91439999999999999</v>
      </c>
      <c r="C47" s="455">
        <f>ROUND(+'5K'!E52,4)</f>
        <v>0.90410000000000001</v>
      </c>
      <c r="D47" s="455">
        <f>ROUND(+'6K'!E52,4)</f>
        <v>0.90669999999999995</v>
      </c>
      <c r="E47" s="455">
        <f>ROUND(+'4MI'!E52,4)</f>
        <v>0.90759999999999996</v>
      </c>
      <c r="F47" s="455">
        <f>ROUND(+'8K'!$E52,4)</f>
        <v>0.91069999999999995</v>
      </c>
      <c r="G47" s="455">
        <f>ROUND(+'5MI'!E52,4)</f>
        <v>0.91080000000000005</v>
      </c>
      <c r="H47" s="455">
        <f>ROUND(+'10K'!$E52,4)</f>
        <v>0.91379999999999995</v>
      </c>
      <c r="I47" s="456">
        <f>ROUND(+'12K'!$E52,4)</f>
        <v>0.91469999999999996</v>
      </c>
      <c r="J47" s="455">
        <f>ROUND(+'15K'!$E52,4)</f>
        <v>0.91579999999999995</v>
      </c>
      <c r="K47" s="455">
        <f>ROUND(+'10MI'!$E52,4)</f>
        <v>0.91620000000000001</v>
      </c>
      <c r="L47" s="455">
        <f>ROUND(+'20K'!$E52,4)</f>
        <v>0.91720000000000002</v>
      </c>
      <c r="M47" s="455">
        <f>ROUND(+H.Marathon!$E52,4)</f>
        <v>0.91749999999999998</v>
      </c>
      <c r="N47" s="455">
        <f>ROUND(+'25K'!$E52,4)</f>
        <v>0.92030000000000001</v>
      </c>
      <c r="O47" s="455">
        <f>ROUND(+'30K'!$E52,4)</f>
        <v>0.9234</v>
      </c>
      <c r="P47" s="455">
        <f>ROUND(+Marathon!$E52,4)</f>
        <v>0.92910000000000004</v>
      </c>
      <c r="Q47" s="455">
        <f>ROUND(+Marathon!$E52,4)</f>
        <v>0.92910000000000004</v>
      </c>
      <c r="R47" s="455">
        <f>ROUND(+Marathon!$E52,4)</f>
        <v>0.92910000000000004</v>
      </c>
      <c r="S47" s="455">
        <f>ROUND(+Marathon!$E52,4)</f>
        <v>0.92910000000000004</v>
      </c>
      <c r="T47" s="455">
        <f>ROUND(+Marathon!$E52,4)</f>
        <v>0.92910000000000004</v>
      </c>
      <c r="U47" s="455">
        <f>ROUND(+Marathon!$E52,4)</f>
        <v>0.92910000000000004</v>
      </c>
      <c r="V47" s="455">
        <f>ROUND(+Marathon!$E52,4)</f>
        <v>0.92910000000000004</v>
      </c>
      <c r="W47" s="47"/>
    </row>
    <row r="48" spans="1:23">
      <c r="A48" s="449">
        <v>47</v>
      </c>
      <c r="B48" s="455">
        <f>ROUND(+Mile!E53,4)</f>
        <v>0.90639999999999998</v>
      </c>
      <c r="C48" s="455">
        <f>ROUND(+'5K'!E53,4)</f>
        <v>0.89710000000000001</v>
      </c>
      <c r="D48" s="455">
        <f>ROUND(+'6K'!E53,4)</f>
        <v>0.89949999999999997</v>
      </c>
      <c r="E48" s="455">
        <f>ROUND(+'4MI'!E53,4)</f>
        <v>0.90049999999999997</v>
      </c>
      <c r="F48" s="455">
        <f>ROUND(+'8K'!$E53,4)</f>
        <v>0.90329999999999999</v>
      </c>
      <c r="G48" s="455">
        <f>ROUND(+'5MI'!E53,4)</f>
        <v>0.90339999999999998</v>
      </c>
      <c r="H48" s="455">
        <f>ROUND(+'10K'!$E53,4)</f>
        <v>0.90629999999999999</v>
      </c>
      <c r="I48" s="456">
        <f>ROUND(+'12K'!$E53,4)</f>
        <v>0.90720000000000001</v>
      </c>
      <c r="J48" s="455">
        <f>ROUND(+'15K'!$E53,4)</f>
        <v>0.90820000000000001</v>
      </c>
      <c r="K48" s="455">
        <f>ROUND(+'10MI'!$E53,4)</f>
        <v>0.90849999999999997</v>
      </c>
      <c r="L48" s="455">
        <f>ROUND(+'20K'!$E53,4)</f>
        <v>0.90949999999999998</v>
      </c>
      <c r="M48" s="455">
        <f>ROUND(+H.Marathon!$E53,4)</f>
        <v>0.90980000000000005</v>
      </c>
      <c r="N48" s="455">
        <f>ROUND(+'25K'!$E53,4)</f>
        <v>0.91249999999999998</v>
      </c>
      <c r="O48" s="455">
        <f>ROUND(+'30K'!$E53,4)</f>
        <v>0.91539999999999999</v>
      </c>
      <c r="P48" s="455">
        <f>ROUND(+Marathon!$E53,4)</f>
        <v>0.92090000000000005</v>
      </c>
      <c r="Q48" s="455">
        <f>ROUND(+Marathon!$E53,4)</f>
        <v>0.92090000000000005</v>
      </c>
      <c r="R48" s="455">
        <f>ROUND(+Marathon!$E53,4)</f>
        <v>0.92090000000000005</v>
      </c>
      <c r="S48" s="455">
        <f>ROUND(+Marathon!$E53,4)</f>
        <v>0.92090000000000005</v>
      </c>
      <c r="T48" s="455">
        <f>ROUND(+Marathon!$E53,4)</f>
        <v>0.92090000000000005</v>
      </c>
      <c r="U48" s="455">
        <f>ROUND(+Marathon!$E53,4)</f>
        <v>0.92090000000000005</v>
      </c>
      <c r="V48" s="455">
        <f>ROUND(+Marathon!$E53,4)</f>
        <v>0.92090000000000005</v>
      </c>
      <c r="W48" s="47"/>
    </row>
    <row r="49" spans="1:23">
      <c r="A49" s="449">
        <v>48</v>
      </c>
      <c r="B49" s="455">
        <f>ROUND(+Mile!E54,4)</f>
        <v>0.89839999999999998</v>
      </c>
      <c r="C49" s="455">
        <f>ROUND(+'5K'!E54,4)</f>
        <v>0.8901</v>
      </c>
      <c r="D49" s="455">
        <f>ROUND(+'6K'!E54,4)</f>
        <v>0.89239999999999997</v>
      </c>
      <c r="E49" s="455">
        <f>ROUND(+'4MI'!E54,4)</f>
        <v>0.89329999999999998</v>
      </c>
      <c r="F49" s="455">
        <f>ROUND(+'8K'!$E54,4)</f>
        <v>0.89600000000000002</v>
      </c>
      <c r="G49" s="455">
        <f>ROUND(+'5MI'!E54,4)</f>
        <v>0.89610000000000001</v>
      </c>
      <c r="H49" s="455">
        <f>ROUND(+'10K'!$E54,4)</f>
        <v>0.89880000000000004</v>
      </c>
      <c r="I49" s="456">
        <f>ROUND(+'12K'!$E54,4)</f>
        <v>0.89959999999999996</v>
      </c>
      <c r="J49" s="455">
        <f>ROUND(+'15K'!$E54,4)</f>
        <v>0.90049999999999997</v>
      </c>
      <c r="K49" s="455">
        <f>ROUND(+'10MI'!$E54,4)</f>
        <v>0.90080000000000005</v>
      </c>
      <c r="L49" s="455">
        <f>ROUND(+'20K'!$E54,4)</f>
        <v>0.90180000000000005</v>
      </c>
      <c r="M49" s="455">
        <f>ROUND(+H.Marathon!$E54,4)</f>
        <v>0.90200000000000002</v>
      </c>
      <c r="N49" s="455">
        <f>ROUND(+'25K'!$E54,4)</f>
        <v>0.90459999999999996</v>
      </c>
      <c r="O49" s="455">
        <f>ROUND(+'30K'!$E54,4)</f>
        <v>0.90739999999999998</v>
      </c>
      <c r="P49" s="455">
        <f>ROUND(+Marathon!$E54,4)</f>
        <v>0.91269999999999996</v>
      </c>
      <c r="Q49" s="455">
        <f>ROUND(+Marathon!$E54,4)</f>
        <v>0.91269999999999996</v>
      </c>
      <c r="R49" s="455">
        <f>ROUND(+Marathon!$E54,4)</f>
        <v>0.91269999999999996</v>
      </c>
      <c r="S49" s="455">
        <f>ROUND(+Marathon!$E54,4)</f>
        <v>0.91269999999999996</v>
      </c>
      <c r="T49" s="455">
        <f>ROUND(+Marathon!$E54,4)</f>
        <v>0.91269999999999996</v>
      </c>
      <c r="U49" s="455">
        <f>ROUND(+Marathon!$E54,4)</f>
        <v>0.91269999999999996</v>
      </c>
      <c r="V49" s="455">
        <f>ROUND(+Marathon!$E54,4)</f>
        <v>0.91269999999999996</v>
      </c>
      <c r="W49" s="47"/>
    </row>
    <row r="50" spans="1:23">
      <c r="A50" s="449">
        <v>49</v>
      </c>
      <c r="B50" s="455">
        <f>ROUND(+Mile!E55,4)</f>
        <v>0.89039999999999997</v>
      </c>
      <c r="C50" s="455">
        <f>ROUND(+'5K'!E55,4)</f>
        <v>0.8831</v>
      </c>
      <c r="D50" s="455">
        <f>ROUND(+'6K'!E55,4)</f>
        <v>0.88529999999999998</v>
      </c>
      <c r="E50" s="455">
        <f>ROUND(+'4MI'!E55,4)</f>
        <v>0.8861</v>
      </c>
      <c r="F50" s="455">
        <f>ROUND(+'8K'!$E55,4)</f>
        <v>0.88870000000000005</v>
      </c>
      <c r="G50" s="455">
        <f>ROUND(+'5MI'!E55,4)</f>
        <v>0.88870000000000005</v>
      </c>
      <c r="H50" s="455">
        <f>ROUND(+'10K'!$E55,4)</f>
        <v>0.89129999999999998</v>
      </c>
      <c r="I50" s="456">
        <f>ROUND(+'12K'!$E55,4)</f>
        <v>0.89200000000000002</v>
      </c>
      <c r="J50" s="455">
        <f>ROUND(+'15K'!$E55,4)</f>
        <v>0.89290000000000003</v>
      </c>
      <c r="K50" s="455">
        <f>ROUND(+'10MI'!$E55,4)</f>
        <v>0.8931</v>
      </c>
      <c r="L50" s="455">
        <f>ROUND(+'20K'!$E55,4)</f>
        <v>0.89400000000000002</v>
      </c>
      <c r="M50" s="455">
        <f>ROUND(+H.Marathon!$E55,4)</f>
        <v>0.89419999999999999</v>
      </c>
      <c r="N50" s="455">
        <f>ROUND(+'25K'!$E55,4)</f>
        <v>0.89670000000000005</v>
      </c>
      <c r="O50" s="455">
        <f>ROUND(+'30K'!$E55,4)</f>
        <v>0.89939999999999998</v>
      </c>
      <c r="P50" s="455">
        <f>ROUND(+Marathon!$E55,4)</f>
        <v>0.90449999999999997</v>
      </c>
      <c r="Q50" s="455">
        <f>ROUND(+Marathon!$E55,4)</f>
        <v>0.90449999999999997</v>
      </c>
      <c r="R50" s="455">
        <f>ROUND(+Marathon!$E55,4)</f>
        <v>0.90449999999999997</v>
      </c>
      <c r="S50" s="455">
        <f>ROUND(+Marathon!$E55,4)</f>
        <v>0.90449999999999997</v>
      </c>
      <c r="T50" s="455">
        <f>ROUND(+Marathon!$E55,4)</f>
        <v>0.90449999999999997</v>
      </c>
      <c r="U50" s="455">
        <f>ROUND(+Marathon!$E55,4)</f>
        <v>0.90449999999999997</v>
      </c>
      <c r="V50" s="455">
        <f>ROUND(+Marathon!$E55,4)</f>
        <v>0.90449999999999997</v>
      </c>
      <c r="W50" s="47"/>
    </row>
    <row r="51" spans="1:23">
      <c r="A51" s="457">
        <v>50</v>
      </c>
      <c r="B51" s="458">
        <f>ROUND(+Mile!E56,4)</f>
        <v>0.88239999999999996</v>
      </c>
      <c r="C51" s="458">
        <f>ROUND(+'5K'!E56,4)</f>
        <v>0.87609999999999999</v>
      </c>
      <c r="D51" s="458">
        <f>ROUND(+'6K'!E56,4)</f>
        <v>0.87809999999999999</v>
      </c>
      <c r="E51" s="458">
        <f>ROUND(+'4MI'!E56,4)</f>
        <v>0.87890000000000001</v>
      </c>
      <c r="F51" s="458">
        <f>ROUND(+'8K'!$E56,4)</f>
        <v>0.88129999999999997</v>
      </c>
      <c r="G51" s="458">
        <f>ROUND(+'5MI'!E56,4)</f>
        <v>0.88139999999999996</v>
      </c>
      <c r="H51" s="458">
        <f>ROUND(+'10K'!$E56,4)</f>
        <v>0.88380000000000003</v>
      </c>
      <c r="I51" s="458">
        <f>ROUND(+'12K'!$E56,4)</f>
        <v>0.88439999999999996</v>
      </c>
      <c r="J51" s="458">
        <f>ROUND(+'15K'!$E56,4)</f>
        <v>0.88519999999999999</v>
      </c>
      <c r="K51" s="458">
        <f>ROUND(+'10MI'!$E56,4)</f>
        <v>0.88549999999999995</v>
      </c>
      <c r="L51" s="458">
        <f>ROUND(+'20K'!$E56,4)</f>
        <v>0.88619999999999999</v>
      </c>
      <c r="M51" s="458">
        <f>ROUND(+H.Marathon!$E56,4)</f>
        <v>0.88639999999999997</v>
      </c>
      <c r="N51" s="458">
        <f>ROUND(+'25K'!$E56,4)</f>
        <v>0.88880000000000003</v>
      </c>
      <c r="O51" s="458">
        <f>ROUND(+'30K'!$E56,4)</f>
        <v>0.89139999999999997</v>
      </c>
      <c r="P51" s="458">
        <f>ROUND(+Marathon!$E56,4)</f>
        <v>0.89629999999999999</v>
      </c>
      <c r="Q51" s="458">
        <f>ROUND(+Marathon!$E56,4)</f>
        <v>0.89629999999999999</v>
      </c>
      <c r="R51" s="458">
        <f>ROUND(+Marathon!$E56,4)</f>
        <v>0.89629999999999999</v>
      </c>
      <c r="S51" s="458">
        <f>ROUND(+Marathon!$E56,4)</f>
        <v>0.89629999999999999</v>
      </c>
      <c r="T51" s="458">
        <f>ROUND(+Marathon!$E56,4)</f>
        <v>0.89629999999999999</v>
      </c>
      <c r="U51" s="458">
        <f>ROUND(+Marathon!$E56,4)</f>
        <v>0.89629999999999999</v>
      </c>
      <c r="V51" s="458">
        <f>ROUND(+Marathon!$E56,4)</f>
        <v>0.89629999999999999</v>
      </c>
      <c r="W51" s="47"/>
    </row>
    <row r="52" spans="1:23">
      <c r="A52" s="449">
        <v>51</v>
      </c>
      <c r="B52" s="455">
        <f>ROUND(+Mile!E57,4)</f>
        <v>0.87439999999999996</v>
      </c>
      <c r="C52" s="455">
        <f>ROUND(+'5K'!E57,4)</f>
        <v>0.86909999999999998</v>
      </c>
      <c r="D52" s="455">
        <f>ROUND(+'6K'!E57,4)</f>
        <v>0.871</v>
      </c>
      <c r="E52" s="455">
        <f>ROUND(+'4MI'!E57,4)</f>
        <v>0.87170000000000003</v>
      </c>
      <c r="F52" s="455">
        <f>ROUND(+'8K'!$E57,4)</f>
        <v>0.874</v>
      </c>
      <c r="G52" s="455">
        <f>ROUND(+'5MI'!E57,4)</f>
        <v>0.874</v>
      </c>
      <c r="H52" s="455">
        <f>ROUND(+'10K'!$E57,4)</f>
        <v>0.87629999999999997</v>
      </c>
      <c r="I52" s="456">
        <f>ROUND(+'12K'!$E57,4)</f>
        <v>0.87690000000000001</v>
      </c>
      <c r="J52" s="455">
        <f>ROUND(+'15K'!$E57,4)</f>
        <v>0.87749999999999995</v>
      </c>
      <c r="K52" s="455">
        <f>ROUND(+'10MI'!$E57,4)</f>
        <v>0.87780000000000002</v>
      </c>
      <c r="L52" s="455">
        <f>ROUND(+'20K'!$E57,4)</f>
        <v>0.87839999999999996</v>
      </c>
      <c r="M52" s="455">
        <f>ROUND(+H.Marathon!$E57,4)</f>
        <v>0.87860000000000005</v>
      </c>
      <c r="N52" s="455">
        <f>ROUND(+'25K'!$E57,4)</f>
        <v>0.88090000000000002</v>
      </c>
      <c r="O52" s="455">
        <f>ROUND(+'30K'!$E57,4)</f>
        <v>0.88339999999999996</v>
      </c>
      <c r="P52" s="455">
        <f>ROUND(+Marathon!$E57,4)</f>
        <v>0.8881</v>
      </c>
      <c r="Q52" s="455">
        <f>ROUND(+Marathon!$E57,4)</f>
        <v>0.8881</v>
      </c>
      <c r="R52" s="455">
        <f>ROUND(+Marathon!$E57,4)</f>
        <v>0.8881</v>
      </c>
      <c r="S52" s="455">
        <f>ROUND(+Marathon!$E57,4)</f>
        <v>0.8881</v>
      </c>
      <c r="T52" s="455">
        <f>ROUND(+Marathon!$E57,4)</f>
        <v>0.8881</v>
      </c>
      <c r="U52" s="455">
        <f>ROUND(+Marathon!$E57,4)</f>
        <v>0.8881</v>
      </c>
      <c r="V52" s="455">
        <f>ROUND(+Marathon!$E57,4)</f>
        <v>0.8881</v>
      </c>
      <c r="W52" s="47"/>
    </row>
    <row r="53" spans="1:23">
      <c r="A53" s="449">
        <v>52</v>
      </c>
      <c r="B53" s="455">
        <f>ROUND(+Mile!E58,4)</f>
        <v>0.86639999999999995</v>
      </c>
      <c r="C53" s="455">
        <f>ROUND(+'5K'!E58,4)</f>
        <v>0.86209999999999998</v>
      </c>
      <c r="D53" s="455">
        <f>ROUND(+'6K'!E58,4)</f>
        <v>0.8639</v>
      </c>
      <c r="E53" s="455">
        <f>ROUND(+'4MI'!E58,4)</f>
        <v>0.86450000000000005</v>
      </c>
      <c r="F53" s="455">
        <f>ROUND(+'8K'!$E58,4)</f>
        <v>0.86660000000000004</v>
      </c>
      <c r="G53" s="455">
        <f>ROUND(+'5MI'!E58,4)</f>
        <v>0.86670000000000003</v>
      </c>
      <c r="H53" s="455">
        <f>ROUND(+'10K'!$E58,4)</f>
        <v>0.86880000000000002</v>
      </c>
      <c r="I53" s="456">
        <f>ROUND(+'12K'!$E58,4)</f>
        <v>0.86929999999999996</v>
      </c>
      <c r="J53" s="455">
        <f>ROUND(+'15K'!$E58,4)</f>
        <v>0.86990000000000001</v>
      </c>
      <c r="K53" s="455">
        <f>ROUND(+'10MI'!$E58,4)</f>
        <v>0.87009999999999998</v>
      </c>
      <c r="L53" s="455">
        <f>ROUND(+'20K'!$E58,4)</f>
        <v>0.87070000000000003</v>
      </c>
      <c r="M53" s="455">
        <f>ROUND(+H.Marathon!$E58,4)</f>
        <v>0.87090000000000001</v>
      </c>
      <c r="N53" s="455">
        <f>ROUND(+'25K'!$E58,4)</f>
        <v>0.87309999999999999</v>
      </c>
      <c r="O53" s="455">
        <f>ROUND(+'30K'!$E58,4)</f>
        <v>0.87549999999999994</v>
      </c>
      <c r="P53" s="455">
        <f>ROUND(+Marathon!$E58,4)</f>
        <v>0.87990000000000002</v>
      </c>
      <c r="Q53" s="455">
        <f>ROUND(+Marathon!$E58,4)</f>
        <v>0.87990000000000002</v>
      </c>
      <c r="R53" s="455">
        <f>ROUND(+Marathon!$E58,4)</f>
        <v>0.87990000000000002</v>
      </c>
      <c r="S53" s="455">
        <f>ROUND(+Marathon!$E58,4)</f>
        <v>0.87990000000000002</v>
      </c>
      <c r="T53" s="455">
        <f>ROUND(+Marathon!$E58,4)</f>
        <v>0.87990000000000002</v>
      </c>
      <c r="U53" s="455">
        <f>ROUND(+Marathon!$E58,4)</f>
        <v>0.87990000000000002</v>
      </c>
      <c r="V53" s="455">
        <f>ROUND(+Marathon!$E58,4)</f>
        <v>0.87990000000000002</v>
      </c>
      <c r="W53" s="47"/>
    </row>
    <row r="54" spans="1:23">
      <c r="A54" s="449">
        <v>53</v>
      </c>
      <c r="B54" s="455">
        <f>ROUND(+Mile!E59,4)</f>
        <v>0.85840000000000005</v>
      </c>
      <c r="C54" s="455">
        <f>ROUND(+'5K'!E59,4)</f>
        <v>0.85509999999999997</v>
      </c>
      <c r="D54" s="455">
        <f>ROUND(+'6K'!E59,4)</f>
        <v>0.85670000000000002</v>
      </c>
      <c r="E54" s="455">
        <f>ROUND(+'4MI'!E59,4)</f>
        <v>0.85740000000000005</v>
      </c>
      <c r="F54" s="455">
        <f>ROUND(+'8K'!$E59,4)</f>
        <v>0.85929999999999995</v>
      </c>
      <c r="G54" s="455">
        <f>ROUND(+'5MI'!E59,4)</f>
        <v>0.85940000000000005</v>
      </c>
      <c r="H54" s="455">
        <f>ROUND(+'10K'!$E59,4)</f>
        <v>0.86129999999999995</v>
      </c>
      <c r="I54" s="456">
        <f>ROUND(+'12K'!$E59,4)</f>
        <v>0.86170000000000002</v>
      </c>
      <c r="J54" s="455">
        <f>ROUND(+'15K'!$E59,4)</f>
        <v>0.86229999999999996</v>
      </c>
      <c r="K54" s="455">
        <f>ROUND(+'10MI'!$E59,4)</f>
        <v>0.86240000000000006</v>
      </c>
      <c r="L54" s="455">
        <f>ROUND(+'20K'!$E59,4)</f>
        <v>0.86299999999999999</v>
      </c>
      <c r="M54" s="455">
        <f>ROUND(+H.Marathon!$E59,4)</f>
        <v>0.86309999999999998</v>
      </c>
      <c r="N54" s="455">
        <f>ROUND(+'25K'!$E59,4)</f>
        <v>0.86519999999999997</v>
      </c>
      <c r="O54" s="455">
        <f>ROUND(+'30K'!$E59,4)</f>
        <v>0.86750000000000005</v>
      </c>
      <c r="P54" s="455">
        <f>ROUND(+Marathon!$E59,4)</f>
        <v>0.87170000000000003</v>
      </c>
      <c r="Q54" s="455">
        <f>ROUND(+Marathon!$E59,4)</f>
        <v>0.87170000000000003</v>
      </c>
      <c r="R54" s="455">
        <f>ROUND(+Marathon!$E59,4)</f>
        <v>0.87170000000000003</v>
      </c>
      <c r="S54" s="455">
        <f>ROUND(+Marathon!$E59,4)</f>
        <v>0.87170000000000003</v>
      </c>
      <c r="T54" s="455">
        <f>ROUND(+Marathon!$E59,4)</f>
        <v>0.87170000000000003</v>
      </c>
      <c r="U54" s="455">
        <f>ROUND(+Marathon!$E59,4)</f>
        <v>0.87170000000000003</v>
      </c>
      <c r="V54" s="455">
        <f>ROUND(+Marathon!$E59,4)</f>
        <v>0.87170000000000003</v>
      </c>
      <c r="W54" s="47"/>
    </row>
    <row r="55" spans="1:23">
      <c r="A55" s="449">
        <v>54</v>
      </c>
      <c r="B55" s="455">
        <f>ROUND(+Mile!E60,4)</f>
        <v>0.85040000000000004</v>
      </c>
      <c r="C55" s="455">
        <f>ROUND(+'5K'!E60,4)</f>
        <v>0.84809999999999997</v>
      </c>
      <c r="D55" s="455">
        <f>ROUND(+'6K'!E60,4)</f>
        <v>0.84960000000000002</v>
      </c>
      <c r="E55" s="455">
        <f>ROUND(+'4MI'!E60,4)</f>
        <v>0.85019999999999996</v>
      </c>
      <c r="F55" s="455">
        <f>ROUND(+'8K'!$E60,4)</f>
        <v>0.85199999999999998</v>
      </c>
      <c r="G55" s="455">
        <f>ROUND(+'5MI'!E60,4)</f>
        <v>0.85199999999999998</v>
      </c>
      <c r="H55" s="455">
        <f>ROUND(+'10K'!$E60,4)</f>
        <v>0.8538</v>
      </c>
      <c r="I55" s="456">
        <f>ROUND(+'12K'!$E60,4)</f>
        <v>0.85419999999999996</v>
      </c>
      <c r="J55" s="455">
        <f>ROUND(+'15K'!$E60,4)</f>
        <v>0.85460000000000003</v>
      </c>
      <c r="K55" s="455">
        <f>ROUND(+'10MI'!$E60,4)</f>
        <v>0.8548</v>
      </c>
      <c r="L55" s="455">
        <f>ROUND(+'20K'!$E60,4)</f>
        <v>0.85519999999999996</v>
      </c>
      <c r="M55" s="455">
        <f>ROUND(+H.Marathon!$E60,4)</f>
        <v>0.85529999999999995</v>
      </c>
      <c r="N55" s="455">
        <f>ROUND(+'25K'!$E60,4)</f>
        <v>0.85729999999999995</v>
      </c>
      <c r="O55" s="455">
        <f>ROUND(+'30K'!$E60,4)</f>
        <v>0.85950000000000004</v>
      </c>
      <c r="P55" s="455">
        <f>ROUND(+Marathon!$E60,4)</f>
        <v>0.86350000000000005</v>
      </c>
      <c r="Q55" s="455">
        <f>ROUND(+Marathon!$E60,4)</f>
        <v>0.86350000000000005</v>
      </c>
      <c r="R55" s="455">
        <f>ROUND(+Marathon!$E60,4)</f>
        <v>0.86350000000000005</v>
      </c>
      <c r="S55" s="455">
        <f>ROUND(+Marathon!$E60,4)</f>
        <v>0.86350000000000005</v>
      </c>
      <c r="T55" s="455">
        <f>ROUND(+Marathon!$E60,4)</f>
        <v>0.86350000000000005</v>
      </c>
      <c r="U55" s="455">
        <f>ROUND(+Marathon!$E60,4)</f>
        <v>0.86350000000000005</v>
      </c>
      <c r="V55" s="455">
        <f>ROUND(+Marathon!$E60,4)</f>
        <v>0.86350000000000005</v>
      </c>
      <c r="W55" s="47"/>
    </row>
    <row r="56" spans="1:23">
      <c r="A56" s="457">
        <v>55</v>
      </c>
      <c r="B56" s="458">
        <f>ROUND(+Mile!E61,4)</f>
        <v>0.84240000000000004</v>
      </c>
      <c r="C56" s="458">
        <f>ROUND(+'5K'!E61,4)</f>
        <v>0.84109999999999996</v>
      </c>
      <c r="D56" s="458">
        <f>ROUND(+'6K'!E61,4)</f>
        <v>0.84250000000000003</v>
      </c>
      <c r="E56" s="458">
        <f>ROUND(+'4MI'!E61,4)</f>
        <v>0.84299999999999997</v>
      </c>
      <c r="F56" s="458">
        <f>ROUND(+'8K'!$E61,4)</f>
        <v>0.84460000000000002</v>
      </c>
      <c r="G56" s="458">
        <f>ROUND(+'5MI'!E61,4)</f>
        <v>0.84470000000000001</v>
      </c>
      <c r="H56" s="458">
        <f>ROUND(+'10K'!$E61,4)</f>
        <v>0.84630000000000005</v>
      </c>
      <c r="I56" s="458">
        <f>ROUND(+'12K'!$E61,4)</f>
        <v>0.84660000000000002</v>
      </c>
      <c r="J56" s="458">
        <f>ROUND(+'15K'!$E61,4)</f>
        <v>0.84699999999999998</v>
      </c>
      <c r="K56" s="458">
        <f>ROUND(+'10MI'!$E61,4)</f>
        <v>0.84709999999999996</v>
      </c>
      <c r="L56" s="458">
        <f>ROUND(+'20K'!$E61,4)</f>
        <v>0.84740000000000004</v>
      </c>
      <c r="M56" s="458">
        <f>ROUND(+H.Marathon!$E61,4)</f>
        <v>0.84750000000000003</v>
      </c>
      <c r="N56" s="458">
        <f>ROUND(+'25K'!$E61,4)</f>
        <v>0.84940000000000004</v>
      </c>
      <c r="O56" s="458">
        <f>ROUND(+'30K'!$E61,4)</f>
        <v>0.85150000000000003</v>
      </c>
      <c r="P56" s="458">
        <f>ROUND(+Marathon!$E61,4)</f>
        <v>0.85529999999999995</v>
      </c>
      <c r="Q56" s="458">
        <f>ROUND(+Marathon!$E61,4)</f>
        <v>0.85529999999999995</v>
      </c>
      <c r="R56" s="458">
        <f>ROUND(+Marathon!$E61,4)</f>
        <v>0.85529999999999995</v>
      </c>
      <c r="S56" s="458">
        <f>ROUND(+Marathon!$E61,4)</f>
        <v>0.85529999999999995</v>
      </c>
      <c r="T56" s="458">
        <f>ROUND(+Marathon!$E61,4)</f>
        <v>0.85529999999999995</v>
      </c>
      <c r="U56" s="458">
        <f>ROUND(+Marathon!$E61,4)</f>
        <v>0.85529999999999995</v>
      </c>
      <c r="V56" s="458">
        <f>ROUND(+Marathon!$E61,4)</f>
        <v>0.85529999999999995</v>
      </c>
      <c r="W56" s="47"/>
    </row>
    <row r="57" spans="1:23">
      <c r="A57" s="449">
        <v>56</v>
      </c>
      <c r="B57" s="455">
        <f>ROUND(+Mile!E62,4)</f>
        <v>0.83440000000000003</v>
      </c>
      <c r="C57" s="455">
        <f>ROUND(+'5K'!E62,4)</f>
        <v>0.83409999999999995</v>
      </c>
      <c r="D57" s="455">
        <f>ROUND(+'6K'!E62,4)</f>
        <v>0.83530000000000004</v>
      </c>
      <c r="E57" s="455">
        <f>ROUND(+'4MI'!E62,4)</f>
        <v>0.83579999999999999</v>
      </c>
      <c r="F57" s="455">
        <f>ROUND(+'8K'!$E62,4)</f>
        <v>0.83730000000000004</v>
      </c>
      <c r="G57" s="455">
        <f>ROUND(+'5MI'!E62,4)</f>
        <v>0.83730000000000004</v>
      </c>
      <c r="H57" s="455">
        <f>ROUND(+'10K'!$E62,4)</f>
        <v>0.83879999999999999</v>
      </c>
      <c r="I57" s="456">
        <f>ROUND(+'12K'!$E62,4)</f>
        <v>0.83899999999999997</v>
      </c>
      <c r="J57" s="455">
        <f>ROUND(+'15K'!$E62,4)</f>
        <v>0.83930000000000005</v>
      </c>
      <c r="K57" s="455">
        <f>ROUND(+'10MI'!$E62,4)</f>
        <v>0.83940000000000003</v>
      </c>
      <c r="L57" s="455">
        <f>ROUND(+'20K'!$E62,4)</f>
        <v>0.83960000000000001</v>
      </c>
      <c r="M57" s="455">
        <f>ROUND(+H.Marathon!$E62,4)</f>
        <v>0.8397</v>
      </c>
      <c r="N57" s="455">
        <f>ROUND(+'25K'!$E62,4)</f>
        <v>0.84150000000000003</v>
      </c>
      <c r="O57" s="455">
        <f>ROUND(+'30K'!$E62,4)</f>
        <v>0.84350000000000003</v>
      </c>
      <c r="P57" s="455">
        <f>ROUND(+Marathon!$E62,4)</f>
        <v>0.84709999999999996</v>
      </c>
      <c r="Q57" s="455">
        <f>ROUND(+Marathon!$E62,4)</f>
        <v>0.84709999999999996</v>
      </c>
      <c r="R57" s="455">
        <f>ROUND(+Marathon!$E62,4)</f>
        <v>0.84709999999999996</v>
      </c>
      <c r="S57" s="455">
        <f>ROUND(+Marathon!$E62,4)</f>
        <v>0.84709999999999996</v>
      </c>
      <c r="T57" s="455">
        <f>ROUND(+Marathon!$E62,4)</f>
        <v>0.84709999999999996</v>
      </c>
      <c r="U57" s="455">
        <f>ROUND(+Marathon!$E62,4)</f>
        <v>0.84709999999999996</v>
      </c>
      <c r="V57" s="455">
        <f>ROUND(+Marathon!$E62,4)</f>
        <v>0.84709999999999996</v>
      </c>
      <c r="W57" s="47"/>
    </row>
    <row r="58" spans="1:23">
      <c r="A58" s="449">
        <v>57</v>
      </c>
      <c r="B58" s="455">
        <f>ROUND(+Mile!E63,4)</f>
        <v>0.82640000000000002</v>
      </c>
      <c r="C58" s="455">
        <f>ROUND(+'5K'!E63,4)</f>
        <v>0.82709999999999995</v>
      </c>
      <c r="D58" s="455">
        <f>ROUND(+'6K'!E63,4)</f>
        <v>0.82820000000000005</v>
      </c>
      <c r="E58" s="455">
        <f>ROUND(+'4MI'!E63,4)</f>
        <v>0.8286</v>
      </c>
      <c r="F58" s="455">
        <f>ROUND(+'8K'!$E63,4)</f>
        <v>0.82989999999999997</v>
      </c>
      <c r="G58" s="455">
        <f>ROUND(+'5MI'!E63,4)</f>
        <v>0.83</v>
      </c>
      <c r="H58" s="455">
        <f>ROUND(+'10K'!$E63,4)</f>
        <v>0.83130000000000004</v>
      </c>
      <c r="I58" s="456">
        <f>ROUND(+'12K'!$E63,4)</f>
        <v>0.83150000000000002</v>
      </c>
      <c r="J58" s="455">
        <f>ROUND(+'15K'!$E63,4)</f>
        <v>0.83169999999999999</v>
      </c>
      <c r="K58" s="455">
        <f>ROUND(+'10MI'!$E63,4)</f>
        <v>0.83169999999999999</v>
      </c>
      <c r="L58" s="455">
        <f>ROUND(+'20K'!$E63,4)</f>
        <v>0.83189999999999997</v>
      </c>
      <c r="M58" s="455">
        <f>ROUND(+H.Marathon!$E63,4)</f>
        <v>0.83199999999999996</v>
      </c>
      <c r="N58" s="455">
        <f>ROUND(+'25K'!$E63,4)</f>
        <v>0.8337</v>
      </c>
      <c r="O58" s="455">
        <f>ROUND(+'30K'!$E63,4)</f>
        <v>0.83550000000000002</v>
      </c>
      <c r="P58" s="455">
        <f>ROUND(+Marathon!$E63,4)</f>
        <v>0.83889999999999998</v>
      </c>
      <c r="Q58" s="455">
        <f>ROUND(+Marathon!$E63,4)</f>
        <v>0.83889999999999998</v>
      </c>
      <c r="R58" s="455">
        <f>ROUND(+Marathon!$E63,4)</f>
        <v>0.83889999999999998</v>
      </c>
      <c r="S58" s="455">
        <f>ROUND(+Marathon!$E63,4)</f>
        <v>0.83889999999999998</v>
      </c>
      <c r="T58" s="455">
        <f>ROUND(+Marathon!$E63,4)</f>
        <v>0.83889999999999998</v>
      </c>
      <c r="U58" s="455">
        <f>ROUND(+Marathon!$E63,4)</f>
        <v>0.83889999999999998</v>
      </c>
      <c r="V58" s="455">
        <f>ROUND(+Marathon!$E63,4)</f>
        <v>0.83889999999999998</v>
      </c>
      <c r="W58" s="47"/>
    </row>
    <row r="59" spans="1:23">
      <c r="A59" s="449">
        <v>58</v>
      </c>
      <c r="B59" s="455">
        <f>ROUND(+Mile!E64,4)</f>
        <v>0.81840000000000002</v>
      </c>
      <c r="C59" s="455">
        <f>ROUND(+'5K'!E64,4)</f>
        <v>0.82010000000000005</v>
      </c>
      <c r="D59" s="455">
        <f>ROUND(+'6K'!E64,4)</f>
        <v>0.82110000000000005</v>
      </c>
      <c r="E59" s="455">
        <f>ROUND(+'4MI'!E64,4)</f>
        <v>0.82140000000000002</v>
      </c>
      <c r="F59" s="455">
        <f>ROUND(+'8K'!$E64,4)</f>
        <v>0.8226</v>
      </c>
      <c r="G59" s="455">
        <f>ROUND(+'5MI'!E64,4)</f>
        <v>0.8226</v>
      </c>
      <c r="H59" s="455">
        <f>ROUND(+'10K'!$E64,4)</f>
        <v>0.82379999999999998</v>
      </c>
      <c r="I59" s="456">
        <f>ROUND(+'12K'!$E64,4)</f>
        <v>0.82389999999999997</v>
      </c>
      <c r="J59" s="455">
        <f>ROUND(+'15K'!$E64,4)</f>
        <v>0.82399999999999995</v>
      </c>
      <c r="K59" s="455">
        <f>ROUND(+'10MI'!$E64,4)</f>
        <v>0.82410000000000005</v>
      </c>
      <c r="L59" s="455">
        <f>ROUND(+'20K'!$E64,4)</f>
        <v>0.82420000000000004</v>
      </c>
      <c r="M59" s="455">
        <f>ROUND(+H.Marathon!$E64,4)</f>
        <v>0.82420000000000004</v>
      </c>
      <c r="N59" s="455">
        <f>ROUND(+'25K'!$E64,4)</f>
        <v>0.82579999999999998</v>
      </c>
      <c r="O59" s="455">
        <f>ROUND(+'30K'!$E64,4)</f>
        <v>0.82750000000000001</v>
      </c>
      <c r="P59" s="455">
        <f>ROUND(+Marathon!$E64,4)</f>
        <v>0.83069999999999999</v>
      </c>
      <c r="Q59" s="455">
        <f>ROUND(+Marathon!$E64,4)</f>
        <v>0.83069999999999999</v>
      </c>
      <c r="R59" s="455">
        <f>ROUND(+Marathon!$E64,4)</f>
        <v>0.83069999999999999</v>
      </c>
      <c r="S59" s="455">
        <f>ROUND(+Marathon!$E64,4)</f>
        <v>0.83069999999999999</v>
      </c>
      <c r="T59" s="455">
        <f>ROUND(+Marathon!$E64,4)</f>
        <v>0.83069999999999999</v>
      </c>
      <c r="U59" s="455">
        <f>ROUND(+Marathon!$E64,4)</f>
        <v>0.83069999999999999</v>
      </c>
      <c r="V59" s="455">
        <f>ROUND(+Marathon!$E64,4)</f>
        <v>0.83069999999999999</v>
      </c>
      <c r="W59" s="47"/>
    </row>
    <row r="60" spans="1:23">
      <c r="A60" s="449">
        <v>59</v>
      </c>
      <c r="B60" s="455">
        <f>ROUND(+Mile!E65,4)</f>
        <v>0.81040000000000001</v>
      </c>
      <c r="C60" s="455">
        <f>ROUND(+'5K'!E65,4)</f>
        <v>0.81310000000000004</v>
      </c>
      <c r="D60" s="455">
        <f>ROUND(+'6K'!E65,4)</f>
        <v>0.81389999999999996</v>
      </c>
      <c r="E60" s="455">
        <f>ROUND(+'4MI'!E65,4)</f>
        <v>0.81430000000000002</v>
      </c>
      <c r="F60" s="455">
        <f>ROUND(+'8K'!$E65,4)</f>
        <v>0.81530000000000002</v>
      </c>
      <c r="G60" s="455">
        <f>ROUND(+'5MI'!E65,4)</f>
        <v>0.81530000000000002</v>
      </c>
      <c r="H60" s="455">
        <f>ROUND(+'10K'!$E65,4)</f>
        <v>0.81630000000000003</v>
      </c>
      <c r="I60" s="456">
        <f>ROUND(+'12K'!$E65,4)</f>
        <v>0.81630000000000003</v>
      </c>
      <c r="J60" s="455">
        <f>ROUND(+'15K'!$E65,4)</f>
        <v>0.81640000000000001</v>
      </c>
      <c r="K60" s="455">
        <f>ROUND(+'10MI'!$E65,4)</f>
        <v>0.81640000000000001</v>
      </c>
      <c r="L60" s="455">
        <f>ROUND(+'20K'!$E65,4)</f>
        <v>0.81640000000000001</v>
      </c>
      <c r="M60" s="455">
        <f>ROUND(+H.Marathon!$E65,4)</f>
        <v>0.81640000000000001</v>
      </c>
      <c r="N60" s="455">
        <f>ROUND(+'25K'!$E65,4)</f>
        <v>0.81789999999999996</v>
      </c>
      <c r="O60" s="455">
        <f>ROUND(+'30K'!$E65,4)</f>
        <v>0.81950000000000001</v>
      </c>
      <c r="P60" s="455">
        <f>ROUND(+Marathon!$E65,4)</f>
        <v>0.82250000000000001</v>
      </c>
      <c r="Q60" s="455">
        <f>ROUND(+Marathon!$E65,4)</f>
        <v>0.82250000000000001</v>
      </c>
      <c r="R60" s="455">
        <f>ROUND(+Marathon!$E65,4)</f>
        <v>0.82250000000000001</v>
      </c>
      <c r="S60" s="455">
        <f>ROUND(+Marathon!$E65,4)</f>
        <v>0.82250000000000001</v>
      </c>
      <c r="T60" s="455">
        <f>ROUND(+Marathon!$E65,4)</f>
        <v>0.82250000000000001</v>
      </c>
      <c r="U60" s="455">
        <f>ROUND(+Marathon!$E65,4)</f>
        <v>0.82250000000000001</v>
      </c>
      <c r="V60" s="455">
        <f>ROUND(+Marathon!$E65,4)</f>
        <v>0.82250000000000001</v>
      </c>
      <c r="W60" s="47"/>
    </row>
    <row r="61" spans="1:23">
      <c r="A61" s="457">
        <v>60</v>
      </c>
      <c r="B61" s="458">
        <f>ROUND(+Mile!E66,4)</f>
        <v>0.8024</v>
      </c>
      <c r="C61" s="458">
        <f>ROUND(+'5K'!E66,4)</f>
        <v>0.80610000000000004</v>
      </c>
      <c r="D61" s="458">
        <f>ROUND(+'6K'!E66,4)</f>
        <v>0.80679999999999996</v>
      </c>
      <c r="E61" s="458">
        <f>ROUND(+'4MI'!E66,4)</f>
        <v>0.80710000000000004</v>
      </c>
      <c r="F61" s="458">
        <f>ROUND(+'8K'!$E66,4)</f>
        <v>0.80789999999999995</v>
      </c>
      <c r="G61" s="458">
        <f>ROUND(+'5MI'!E66,4)</f>
        <v>0.80800000000000005</v>
      </c>
      <c r="H61" s="458">
        <f>ROUND(+'10K'!$E66,4)</f>
        <v>0.80879999999999996</v>
      </c>
      <c r="I61" s="458">
        <f>ROUND(+'12K'!$E66,4)</f>
        <v>0.80879999999999996</v>
      </c>
      <c r="J61" s="458">
        <f>ROUND(+'15K'!$E66,4)</f>
        <v>0.80869999999999997</v>
      </c>
      <c r="K61" s="458">
        <f>ROUND(+'10MI'!$E66,4)</f>
        <v>0.80869999999999997</v>
      </c>
      <c r="L61" s="458">
        <f>ROUND(+'20K'!$E66,4)</f>
        <v>0.80859999999999999</v>
      </c>
      <c r="M61" s="458">
        <f>ROUND(+H.Marathon!$E66,4)</f>
        <v>0.80859999999999999</v>
      </c>
      <c r="N61" s="458">
        <f>ROUND(+'25K'!$E66,4)</f>
        <v>0.81</v>
      </c>
      <c r="O61" s="458">
        <f>ROUND(+'30K'!$E66,4)</f>
        <v>0.8115</v>
      </c>
      <c r="P61" s="458">
        <f>ROUND(+Marathon!$E66,4)</f>
        <v>0.81430000000000002</v>
      </c>
      <c r="Q61" s="458">
        <f>ROUND(+Marathon!$E66,4)</f>
        <v>0.81430000000000002</v>
      </c>
      <c r="R61" s="458">
        <f>ROUND(+Marathon!$E66,4)</f>
        <v>0.81430000000000002</v>
      </c>
      <c r="S61" s="458">
        <f>ROUND(+Marathon!$E66,4)</f>
        <v>0.81430000000000002</v>
      </c>
      <c r="T61" s="458">
        <f>ROUND(+Marathon!$E66,4)</f>
        <v>0.81430000000000002</v>
      </c>
      <c r="U61" s="458">
        <f>ROUND(+Marathon!$E66,4)</f>
        <v>0.81430000000000002</v>
      </c>
      <c r="V61" s="458">
        <f>ROUND(+Marathon!$E66,4)</f>
        <v>0.81430000000000002</v>
      </c>
      <c r="W61" s="47"/>
    </row>
    <row r="62" spans="1:23">
      <c r="A62" s="449">
        <v>61</v>
      </c>
      <c r="B62" s="455">
        <f>ROUND(+Mile!E67,4)</f>
        <v>0.7944</v>
      </c>
      <c r="C62" s="455">
        <f>ROUND(+'5K'!E67,4)</f>
        <v>0.79910000000000003</v>
      </c>
      <c r="D62" s="455">
        <f>ROUND(+'6K'!E67,4)</f>
        <v>0.79969999999999997</v>
      </c>
      <c r="E62" s="455">
        <f>ROUND(+'4MI'!E67,4)</f>
        <v>0.79990000000000006</v>
      </c>
      <c r="F62" s="455">
        <f>ROUND(+'8K'!$E67,4)</f>
        <v>0.80059999999999998</v>
      </c>
      <c r="G62" s="455">
        <f>ROUND(+'5MI'!E67,4)</f>
        <v>0.80059999999999998</v>
      </c>
      <c r="H62" s="455">
        <f>ROUND(+'10K'!$E67,4)</f>
        <v>0.80130000000000001</v>
      </c>
      <c r="I62" s="456">
        <f>ROUND(+'12K'!$E67,4)</f>
        <v>0.80120000000000002</v>
      </c>
      <c r="J62" s="455">
        <f>ROUND(+'15K'!$E67,4)</f>
        <v>0.80100000000000005</v>
      </c>
      <c r="K62" s="455">
        <f>ROUND(+'10MI'!$E67,4)</f>
        <v>0.80100000000000005</v>
      </c>
      <c r="L62" s="455">
        <f>ROUND(+'20K'!$E67,4)</f>
        <v>0.80079999999999996</v>
      </c>
      <c r="M62" s="455">
        <f>ROUND(+H.Marathon!$E67,4)</f>
        <v>0.80079999999999996</v>
      </c>
      <c r="N62" s="455">
        <f>ROUND(+'25K'!$E67,4)</f>
        <v>0.80210000000000004</v>
      </c>
      <c r="O62" s="455">
        <f>ROUND(+'30K'!$E67,4)</f>
        <v>0.80349999999999999</v>
      </c>
      <c r="P62" s="455">
        <f>ROUND(+Marathon!$E67,4)</f>
        <v>0.80610000000000004</v>
      </c>
      <c r="Q62" s="455">
        <f>ROUND(+Marathon!$E67,4)</f>
        <v>0.80610000000000004</v>
      </c>
      <c r="R62" s="455">
        <f>ROUND(+Marathon!$E67,4)</f>
        <v>0.80610000000000004</v>
      </c>
      <c r="S62" s="455">
        <f>ROUND(+Marathon!$E67,4)</f>
        <v>0.80610000000000004</v>
      </c>
      <c r="T62" s="455">
        <f>ROUND(+Marathon!$E67,4)</f>
        <v>0.80610000000000004</v>
      </c>
      <c r="U62" s="455">
        <f>ROUND(+Marathon!$E67,4)</f>
        <v>0.80610000000000004</v>
      </c>
      <c r="V62" s="455">
        <f>ROUND(+Marathon!$E67,4)</f>
        <v>0.80610000000000004</v>
      </c>
      <c r="W62" s="47"/>
    </row>
    <row r="63" spans="1:23">
      <c r="A63" s="449">
        <v>62</v>
      </c>
      <c r="B63" s="455">
        <f>ROUND(+Mile!E68,4)</f>
        <v>0.78639999999999999</v>
      </c>
      <c r="C63" s="455">
        <f>ROUND(+'5K'!E68,4)</f>
        <v>0.79210000000000003</v>
      </c>
      <c r="D63" s="455">
        <f>ROUND(+'6K'!E68,4)</f>
        <v>0.79249999999999998</v>
      </c>
      <c r="E63" s="455">
        <f>ROUND(+'4MI'!E68,4)</f>
        <v>0.79269999999999996</v>
      </c>
      <c r="F63" s="455">
        <f>ROUND(+'8K'!$E68,4)</f>
        <v>0.79330000000000001</v>
      </c>
      <c r="G63" s="455">
        <f>ROUND(+'5MI'!E68,4)</f>
        <v>0.79330000000000001</v>
      </c>
      <c r="H63" s="455">
        <f>ROUND(+'10K'!$E68,4)</f>
        <v>0.79379999999999995</v>
      </c>
      <c r="I63" s="456">
        <f>ROUND(+'12K'!$E68,4)</f>
        <v>0.79359999999999997</v>
      </c>
      <c r="J63" s="455">
        <f>ROUND(+'15K'!$E68,4)</f>
        <v>0.79339999999999999</v>
      </c>
      <c r="K63" s="455">
        <f>ROUND(+'10MI'!$E68,4)</f>
        <v>0.79339999999999999</v>
      </c>
      <c r="L63" s="455">
        <f>ROUND(+'20K'!$E68,4)</f>
        <v>0.79320000000000002</v>
      </c>
      <c r="M63" s="455">
        <f>ROUND(+H.Marathon!$E68,4)</f>
        <v>0.79310000000000003</v>
      </c>
      <c r="N63" s="455">
        <f>ROUND(+'25K'!$E68,4)</f>
        <v>0.79430000000000001</v>
      </c>
      <c r="O63" s="455">
        <f>ROUND(+'30K'!$E68,4)</f>
        <v>0.79549999999999998</v>
      </c>
      <c r="P63" s="455">
        <f>ROUND(+Marathon!$E68,4)</f>
        <v>0.79790000000000005</v>
      </c>
      <c r="Q63" s="455">
        <f>ROUND(+Marathon!$E68,4)</f>
        <v>0.79790000000000005</v>
      </c>
      <c r="R63" s="455">
        <f>ROUND(+Marathon!$E68,4)</f>
        <v>0.79790000000000005</v>
      </c>
      <c r="S63" s="455">
        <f>ROUND(+Marathon!$E68,4)</f>
        <v>0.79790000000000005</v>
      </c>
      <c r="T63" s="455">
        <f>ROUND(+Marathon!$E68,4)</f>
        <v>0.79790000000000005</v>
      </c>
      <c r="U63" s="455">
        <f>ROUND(+Marathon!$E68,4)</f>
        <v>0.79790000000000005</v>
      </c>
      <c r="V63" s="455">
        <f>ROUND(+Marathon!$E68,4)</f>
        <v>0.79790000000000005</v>
      </c>
      <c r="W63" s="47"/>
    </row>
    <row r="64" spans="1:23">
      <c r="A64" s="449">
        <v>63</v>
      </c>
      <c r="B64" s="455">
        <f>ROUND(+Mile!E69,4)</f>
        <v>0.77839999999999998</v>
      </c>
      <c r="C64" s="455">
        <f>ROUND(+'5K'!E69,4)</f>
        <v>0.78510000000000002</v>
      </c>
      <c r="D64" s="455">
        <f>ROUND(+'6K'!E69,4)</f>
        <v>0.78539999999999999</v>
      </c>
      <c r="E64" s="455">
        <f>ROUND(+'4MI'!E69,4)</f>
        <v>0.78549999999999998</v>
      </c>
      <c r="F64" s="455">
        <f>ROUND(+'8K'!$E69,4)</f>
        <v>0.78590000000000004</v>
      </c>
      <c r="G64" s="455">
        <f>ROUND(+'5MI'!E69,4)</f>
        <v>0.78590000000000004</v>
      </c>
      <c r="H64" s="455">
        <f>ROUND(+'10K'!$E69,4)</f>
        <v>0.7863</v>
      </c>
      <c r="I64" s="456">
        <f>ROUND(+'12K'!$E69,4)</f>
        <v>0.78610000000000002</v>
      </c>
      <c r="J64" s="455">
        <f>ROUND(+'15K'!$E69,4)</f>
        <v>0.78580000000000005</v>
      </c>
      <c r="K64" s="455">
        <f>ROUND(+'10MI'!$E69,4)</f>
        <v>0.78569999999999995</v>
      </c>
      <c r="L64" s="455">
        <f>ROUND(+'20K'!$E69,4)</f>
        <v>0.78539999999999999</v>
      </c>
      <c r="M64" s="455">
        <f>ROUND(+H.Marathon!$E69,4)</f>
        <v>0.7853</v>
      </c>
      <c r="N64" s="455">
        <f>ROUND(+'25K'!$E69,4)</f>
        <v>0.78639999999999999</v>
      </c>
      <c r="O64" s="455">
        <f>ROUND(+'30K'!$E69,4)</f>
        <v>0.78749999999999998</v>
      </c>
      <c r="P64" s="455">
        <f>ROUND(+Marathon!$E69,4)</f>
        <v>0.78969999999999996</v>
      </c>
      <c r="Q64" s="455">
        <f>ROUND(+Marathon!$E69,4)</f>
        <v>0.78969999999999996</v>
      </c>
      <c r="R64" s="455">
        <f>ROUND(+Marathon!$E69,4)</f>
        <v>0.78969999999999996</v>
      </c>
      <c r="S64" s="455">
        <f>ROUND(+Marathon!$E69,4)</f>
        <v>0.78969999999999996</v>
      </c>
      <c r="T64" s="455">
        <f>ROUND(+Marathon!$E69,4)</f>
        <v>0.78969999999999996</v>
      </c>
      <c r="U64" s="455">
        <f>ROUND(+Marathon!$E69,4)</f>
        <v>0.78969999999999996</v>
      </c>
      <c r="V64" s="455">
        <f>ROUND(+Marathon!$E69,4)</f>
        <v>0.78969999999999996</v>
      </c>
      <c r="W64" s="47"/>
    </row>
    <row r="65" spans="1:23">
      <c r="A65" s="449">
        <v>64</v>
      </c>
      <c r="B65" s="455">
        <f>ROUND(+Mile!E70,4)</f>
        <v>0.77039999999999997</v>
      </c>
      <c r="C65" s="455">
        <f>ROUND(+'5K'!E70,4)</f>
        <v>0.77810000000000001</v>
      </c>
      <c r="D65" s="455">
        <f>ROUND(+'6K'!E70,4)</f>
        <v>0.77829999999999999</v>
      </c>
      <c r="E65" s="455">
        <f>ROUND(+'4MI'!E70,4)</f>
        <v>0.77839999999999998</v>
      </c>
      <c r="F65" s="455">
        <f>ROUND(+'8K'!$E70,4)</f>
        <v>0.77859999999999996</v>
      </c>
      <c r="G65" s="455">
        <f>ROUND(+'5MI'!E70,4)</f>
        <v>0.77859999999999996</v>
      </c>
      <c r="H65" s="455">
        <f>ROUND(+'10K'!$E70,4)</f>
        <v>0.77880000000000005</v>
      </c>
      <c r="I65" s="456">
        <f>ROUND(+'12K'!$E70,4)</f>
        <v>0.77849999999999997</v>
      </c>
      <c r="J65" s="455">
        <f>ROUND(+'15K'!$E70,4)</f>
        <v>0.77810000000000001</v>
      </c>
      <c r="K65" s="455">
        <f>ROUND(+'10MI'!$E70,4)</f>
        <v>0.77800000000000002</v>
      </c>
      <c r="L65" s="455">
        <f>ROUND(+'20K'!$E70,4)</f>
        <v>0.77759999999999996</v>
      </c>
      <c r="M65" s="455">
        <f>ROUND(+H.Marathon!$E70,4)</f>
        <v>0.77749999999999997</v>
      </c>
      <c r="N65" s="455">
        <f>ROUND(+'25K'!$E70,4)</f>
        <v>0.77849999999999997</v>
      </c>
      <c r="O65" s="455">
        <f>ROUND(+'30K'!$E70,4)</f>
        <v>0.77949999999999997</v>
      </c>
      <c r="P65" s="455">
        <f>ROUND(+Marathon!$E70,4)</f>
        <v>0.78149999999999997</v>
      </c>
      <c r="Q65" s="455">
        <f>ROUND(+Marathon!$E70,4)</f>
        <v>0.78149999999999997</v>
      </c>
      <c r="R65" s="455">
        <f>ROUND(+Marathon!$E70,4)</f>
        <v>0.78149999999999997</v>
      </c>
      <c r="S65" s="455">
        <f>ROUND(+Marathon!$E70,4)</f>
        <v>0.78149999999999997</v>
      </c>
      <c r="T65" s="455">
        <f>ROUND(+Marathon!$E70,4)</f>
        <v>0.78149999999999997</v>
      </c>
      <c r="U65" s="455">
        <f>ROUND(+Marathon!$E70,4)</f>
        <v>0.78149999999999997</v>
      </c>
      <c r="V65" s="455">
        <f>ROUND(+Marathon!$E70,4)</f>
        <v>0.78149999999999997</v>
      </c>
      <c r="W65" s="47"/>
    </row>
    <row r="66" spans="1:23">
      <c r="A66" s="457">
        <v>65</v>
      </c>
      <c r="B66" s="458">
        <f>ROUND(+Mile!E71,4)</f>
        <v>0.76239999999999997</v>
      </c>
      <c r="C66" s="458">
        <f>ROUND(+'5K'!E71,4)</f>
        <v>0.77110000000000001</v>
      </c>
      <c r="D66" s="458">
        <f>ROUND(+'6K'!E71,4)</f>
        <v>0.7712</v>
      </c>
      <c r="E66" s="458">
        <f>ROUND(+'4MI'!E71,4)</f>
        <v>0.7712</v>
      </c>
      <c r="F66" s="458">
        <f>ROUND(+'8K'!$E71,4)</f>
        <v>0.7712</v>
      </c>
      <c r="G66" s="458">
        <f>ROUND(+'5MI'!E71,4)</f>
        <v>0.7712</v>
      </c>
      <c r="H66" s="458">
        <f>ROUND(+'10K'!$E71,4)</f>
        <v>0.77129999999999999</v>
      </c>
      <c r="I66" s="458">
        <f>ROUND(+'12K'!$E71,4)</f>
        <v>0.77090000000000003</v>
      </c>
      <c r="J66" s="458">
        <f>ROUND(+'15K'!$E71,4)</f>
        <v>0.77039999999999997</v>
      </c>
      <c r="K66" s="458">
        <f>ROUND(+'10MI'!$E71,4)</f>
        <v>0.77029999999999998</v>
      </c>
      <c r="L66" s="458">
        <f>ROUND(+'20K'!$E71,4)</f>
        <v>0.76980000000000004</v>
      </c>
      <c r="M66" s="458">
        <f>ROUND(+H.Marathon!$E71,4)</f>
        <v>0.76970000000000005</v>
      </c>
      <c r="N66" s="458">
        <f>ROUND(+'25K'!$E71,4)</f>
        <v>0.77059999999999995</v>
      </c>
      <c r="O66" s="458">
        <f>ROUND(+'30K'!$E71,4)</f>
        <v>0.77149999999999996</v>
      </c>
      <c r="P66" s="458">
        <f>ROUND(+Marathon!$E71,4)</f>
        <v>0.77329999999999999</v>
      </c>
      <c r="Q66" s="458">
        <f>ROUND(+Marathon!$E71,4)</f>
        <v>0.77329999999999999</v>
      </c>
      <c r="R66" s="458">
        <f>ROUND(+Marathon!$E71,4)</f>
        <v>0.77329999999999999</v>
      </c>
      <c r="S66" s="458">
        <f>ROUND(+Marathon!$E71,4)</f>
        <v>0.77329999999999999</v>
      </c>
      <c r="T66" s="458">
        <f>ROUND(+Marathon!$E71,4)</f>
        <v>0.77329999999999999</v>
      </c>
      <c r="U66" s="458">
        <f>ROUND(+Marathon!$E71,4)</f>
        <v>0.77329999999999999</v>
      </c>
      <c r="V66" s="458">
        <f>ROUND(+Marathon!$E71,4)</f>
        <v>0.77329999999999999</v>
      </c>
      <c r="W66" s="47"/>
    </row>
    <row r="67" spans="1:23">
      <c r="A67" s="449">
        <v>66</v>
      </c>
      <c r="B67" s="455">
        <f>ROUND(+Mile!E72,4)</f>
        <v>0.75439999999999996</v>
      </c>
      <c r="C67" s="455">
        <f>ROUND(+'5K'!E72,4)</f>
        <v>0.7641</v>
      </c>
      <c r="D67" s="455">
        <f>ROUND(+'6K'!E72,4)</f>
        <v>0.76400000000000001</v>
      </c>
      <c r="E67" s="455">
        <f>ROUND(+'4MI'!E72,4)</f>
        <v>0.76400000000000001</v>
      </c>
      <c r="F67" s="455">
        <f>ROUND(+'8K'!$E72,4)</f>
        <v>0.76390000000000002</v>
      </c>
      <c r="G67" s="455">
        <f>ROUND(+'5MI'!E72,4)</f>
        <v>0.76390000000000002</v>
      </c>
      <c r="H67" s="455">
        <f>ROUND(+'10K'!$E72,4)</f>
        <v>0.76380000000000003</v>
      </c>
      <c r="I67" s="456">
        <f>ROUND(+'12K'!$E72,4)</f>
        <v>0.76329999999999998</v>
      </c>
      <c r="J67" s="455">
        <f>ROUND(+'15K'!$E72,4)</f>
        <v>0.76280000000000003</v>
      </c>
      <c r="K67" s="455">
        <f>ROUND(+'10MI'!$E72,4)</f>
        <v>0.76259999999999994</v>
      </c>
      <c r="L67" s="455">
        <f>ROUND(+'20K'!$E72,4)</f>
        <v>0.76200000000000001</v>
      </c>
      <c r="M67" s="455">
        <f>ROUND(+H.Marathon!$E72,4)</f>
        <v>0.76190000000000002</v>
      </c>
      <c r="N67" s="455">
        <f>ROUND(+'25K'!$E72,4)</f>
        <v>0.76270000000000004</v>
      </c>
      <c r="O67" s="455">
        <f>ROUND(+'30K'!$E72,4)</f>
        <v>0.76349999999999996</v>
      </c>
      <c r="P67" s="455">
        <f>ROUND(+Marathon!$E72,4)</f>
        <v>0.7651</v>
      </c>
      <c r="Q67" s="455">
        <f>ROUND(+Marathon!$E72,4)</f>
        <v>0.7651</v>
      </c>
      <c r="R67" s="455">
        <f>ROUND(+Marathon!$E72,4)</f>
        <v>0.7651</v>
      </c>
      <c r="S67" s="455">
        <f>ROUND(+Marathon!$E72,4)</f>
        <v>0.7651</v>
      </c>
      <c r="T67" s="455">
        <f>ROUND(+Marathon!$E72,4)</f>
        <v>0.7651</v>
      </c>
      <c r="U67" s="455">
        <f>ROUND(+Marathon!$E72,4)</f>
        <v>0.7651</v>
      </c>
      <c r="V67" s="455">
        <f>ROUND(+Marathon!$E72,4)</f>
        <v>0.7651</v>
      </c>
      <c r="W67" s="47"/>
    </row>
    <row r="68" spans="1:23">
      <c r="A68" s="449">
        <v>67</v>
      </c>
      <c r="B68" s="455">
        <f>ROUND(+Mile!E73,4)</f>
        <v>0.74609999999999999</v>
      </c>
      <c r="C68" s="455">
        <f>ROUND(+'5K'!E73,4)</f>
        <v>0.7571</v>
      </c>
      <c r="D68" s="455">
        <f>ROUND(+'6K'!E73,4)</f>
        <v>0.75690000000000002</v>
      </c>
      <c r="E68" s="455">
        <f>ROUND(+'4MI'!E73,4)</f>
        <v>0.75680000000000003</v>
      </c>
      <c r="F68" s="455">
        <f>ROUND(+'8K'!$E73,4)</f>
        <v>0.75660000000000005</v>
      </c>
      <c r="G68" s="455">
        <f>ROUND(+'5MI'!E73,4)</f>
        <v>0.75660000000000005</v>
      </c>
      <c r="H68" s="455">
        <f>ROUND(+'10K'!$E73,4)</f>
        <v>0.75629999999999997</v>
      </c>
      <c r="I68" s="456">
        <f>ROUND(+'12K'!$E73,4)</f>
        <v>0.75580000000000003</v>
      </c>
      <c r="J68" s="455">
        <f>ROUND(+'15K'!$E73,4)</f>
        <v>0.75519999999999998</v>
      </c>
      <c r="K68" s="455">
        <f>ROUND(+'10MI'!$E73,4)</f>
        <v>0.755</v>
      </c>
      <c r="L68" s="455">
        <f>ROUND(+'20K'!$E73,4)</f>
        <v>0.75439999999999996</v>
      </c>
      <c r="M68" s="455">
        <f>ROUND(+H.Marathon!$E73,4)</f>
        <v>0.75419999999999998</v>
      </c>
      <c r="N68" s="455">
        <f>ROUND(+'25K'!$E73,4)</f>
        <v>0.75490000000000002</v>
      </c>
      <c r="O68" s="455">
        <f>ROUND(+'30K'!$E73,4)</f>
        <v>0.75560000000000005</v>
      </c>
      <c r="P68" s="455">
        <f>ROUND(+Marathon!$E73,4)</f>
        <v>0.75690000000000002</v>
      </c>
      <c r="Q68" s="455">
        <f>ROUND(+Marathon!$E73,4)</f>
        <v>0.75690000000000002</v>
      </c>
      <c r="R68" s="455">
        <f>ROUND(+Marathon!$E73,4)</f>
        <v>0.75690000000000002</v>
      </c>
      <c r="S68" s="455">
        <f>ROUND(+Marathon!$E73,4)</f>
        <v>0.75690000000000002</v>
      </c>
      <c r="T68" s="455">
        <f>ROUND(+Marathon!$E73,4)</f>
        <v>0.75690000000000002</v>
      </c>
      <c r="U68" s="455">
        <f>ROUND(+Marathon!$E73,4)</f>
        <v>0.75690000000000002</v>
      </c>
      <c r="V68" s="455">
        <f>ROUND(+Marathon!$E73,4)</f>
        <v>0.75690000000000002</v>
      </c>
      <c r="W68" s="47"/>
    </row>
    <row r="69" spans="1:23">
      <c r="A69" s="449">
        <v>68</v>
      </c>
      <c r="B69" s="455">
        <f>ROUND(+Mile!E74,4)</f>
        <v>0.73709999999999998</v>
      </c>
      <c r="C69" s="455">
        <f>ROUND(+'5K'!E74,4)</f>
        <v>0.75</v>
      </c>
      <c r="D69" s="455">
        <f>ROUND(+'6K'!E74,4)</f>
        <v>0.74970000000000003</v>
      </c>
      <c r="E69" s="455">
        <f>ROUND(+'4MI'!E74,4)</f>
        <v>0.74960000000000004</v>
      </c>
      <c r="F69" s="455">
        <f>ROUND(+'8K'!$E74,4)</f>
        <v>0.74919999999999998</v>
      </c>
      <c r="G69" s="455">
        <f>ROUND(+'5MI'!E74,4)</f>
        <v>0.74919999999999998</v>
      </c>
      <c r="H69" s="455">
        <f>ROUND(+'10K'!$E74,4)</f>
        <v>0.74880000000000002</v>
      </c>
      <c r="I69" s="456">
        <f>ROUND(+'12K'!$E74,4)</f>
        <v>0.74819999999999998</v>
      </c>
      <c r="J69" s="455">
        <f>ROUND(+'15K'!$E74,4)</f>
        <v>0.74750000000000005</v>
      </c>
      <c r="K69" s="455">
        <f>ROUND(+'10MI'!$E74,4)</f>
        <v>0.74729999999999996</v>
      </c>
      <c r="L69" s="455">
        <f>ROUND(+'20K'!$E74,4)</f>
        <v>0.74660000000000004</v>
      </c>
      <c r="M69" s="455">
        <f>ROUND(+H.Marathon!$E74,4)</f>
        <v>0.74639999999999995</v>
      </c>
      <c r="N69" s="455">
        <f>ROUND(+'25K'!$E74,4)</f>
        <v>0.747</v>
      </c>
      <c r="O69" s="455">
        <f>ROUND(+'30K'!$E74,4)</f>
        <v>0.74760000000000004</v>
      </c>
      <c r="P69" s="455">
        <f>ROUND(+Marathon!$E74,4)</f>
        <v>0.74870000000000003</v>
      </c>
      <c r="Q69" s="455">
        <f>ROUND(+Marathon!$E74,4)</f>
        <v>0.74870000000000003</v>
      </c>
      <c r="R69" s="455">
        <f>ROUND(+Marathon!$E74,4)</f>
        <v>0.74870000000000003</v>
      </c>
      <c r="S69" s="455">
        <f>ROUND(+Marathon!$E74,4)</f>
        <v>0.74870000000000003</v>
      </c>
      <c r="T69" s="455">
        <f>ROUND(+Marathon!$E74,4)</f>
        <v>0.74870000000000003</v>
      </c>
      <c r="U69" s="455">
        <f>ROUND(+Marathon!$E74,4)</f>
        <v>0.74870000000000003</v>
      </c>
      <c r="V69" s="455">
        <f>ROUND(+Marathon!$E74,4)</f>
        <v>0.74870000000000003</v>
      </c>
      <c r="W69" s="47"/>
    </row>
    <row r="70" spans="1:23">
      <c r="A70" s="449">
        <v>69</v>
      </c>
      <c r="B70" s="455">
        <f>ROUND(+Mile!E75,4)</f>
        <v>0.72729999999999995</v>
      </c>
      <c r="C70" s="455">
        <f>ROUND(+'5K'!E75,4)</f>
        <v>0.74219999999999997</v>
      </c>
      <c r="D70" s="455">
        <f>ROUND(+'6K'!E75,4)</f>
        <v>0.74199999999999999</v>
      </c>
      <c r="E70" s="455">
        <f>ROUND(+'4MI'!E75,4)</f>
        <v>0.7419</v>
      </c>
      <c r="F70" s="455">
        <f>ROUND(+'8K'!$E75,4)</f>
        <v>0.74160000000000004</v>
      </c>
      <c r="G70" s="455">
        <f>ROUND(+'5MI'!E75,4)</f>
        <v>0.74160000000000004</v>
      </c>
      <c r="H70" s="455">
        <f>ROUND(+'10K'!$E75,4)</f>
        <v>0.74129999999999996</v>
      </c>
      <c r="I70" s="456">
        <f>ROUND(+'12K'!$E75,4)</f>
        <v>0.74060000000000004</v>
      </c>
      <c r="J70" s="455">
        <f>ROUND(+'15K'!$E75,4)</f>
        <v>0.73970000000000002</v>
      </c>
      <c r="K70" s="455">
        <f>ROUND(+'10MI'!$E75,4)</f>
        <v>0.73950000000000005</v>
      </c>
      <c r="L70" s="455">
        <f>ROUND(+'20K'!$E75,4)</f>
        <v>0.73860000000000003</v>
      </c>
      <c r="M70" s="455">
        <f>ROUND(+H.Marathon!$E75,4)</f>
        <v>0.73839999999999995</v>
      </c>
      <c r="N70" s="455">
        <f>ROUND(+'25K'!$E75,4)</f>
        <v>0.7389</v>
      </c>
      <c r="O70" s="455">
        <f>ROUND(+'30K'!$E75,4)</f>
        <v>0.73950000000000005</v>
      </c>
      <c r="P70" s="455">
        <f>ROUND(+Marathon!$E75,4)</f>
        <v>0.74050000000000005</v>
      </c>
      <c r="Q70" s="455">
        <f>ROUND(+Marathon!$E75,4)</f>
        <v>0.74050000000000005</v>
      </c>
      <c r="R70" s="455">
        <f>ROUND(+Marathon!$E75,4)</f>
        <v>0.74050000000000005</v>
      </c>
      <c r="S70" s="455">
        <f>ROUND(+Marathon!$E75,4)</f>
        <v>0.74050000000000005</v>
      </c>
      <c r="T70" s="455">
        <f>ROUND(+Marathon!$E75,4)</f>
        <v>0.74050000000000005</v>
      </c>
      <c r="U70" s="455">
        <f>ROUND(+Marathon!$E75,4)</f>
        <v>0.74050000000000005</v>
      </c>
      <c r="V70" s="455">
        <f>ROUND(+Marathon!$E75,4)</f>
        <v>0.74050000000000005</v>
      </c>
      <c r="W70" s="47"/>
    </row>
    <row r="71" spans="1:23">
      <c r="A71" s="457">
        <v>70</v>
      </c>
      <c r="B71" s="458">
        <f>ROUND(+Mile!E76,4)</f>
        <v>0.71660000000000001</v>
      </c>
      <c r="C71" s="458">
        <f>ROUND(+'5K'!E76,4)</f>
        <v>0.7339</v>
      </c>
      <c r="D71" s="458">
        <f>ROUND(+'6K'!E76,4)</f>
        <v>0.73380000000000001</v>
      </c>
      <c r="E71" s="458">
        <f>ROUND(+'4MI'!E76,4)</f>
        <v>0.73380000000000001</v>
      </c>
      <c r="F71" s="458">
        <f>ROUND(+'8K'!$E76,4)</f>
        <v>0.73380000000000001</v>
      </c>
      <c r="G71" s="458">
        <f>ROUND(+'5MI'!E76,4)</f>
        <v>0.73380000000000001</v>
      </c>
      <c r="H71" s="458">
        <f>ROUND(+'10K'!$E76,4)</f>
        <v>0.73370000000000002</v>
      </c>
      <c r="I71" s="458">
        <f>ROUND(+'12K'!$E76,4)</f>
        <v>0.73270000000000002</v>
      </c>
      <c r="J71" s="458">
        <f>ROUND(+'15K'!$E76,4)</f>
        <v>0.73160000000000003</v>
      </c>
      <c r="K71" s="458">
        <f>ROUND(+'10MI'!$E76,4)</f>
        <v>0.73119999999999996</v>
      </c>
      <c r="L71" s="458">
        <f>ROUND(+'20K'!$E76,4)</f>
        <v>0.73009999999999997</v>
      </c>
      <c r="M71" s="458">
        <f>ROUND(+H.Marathon!$E76,4)</f>
        <v>0.7298</v>
      </c>
      <c r="N71" s="458">
        <f>ROUND(+'25K'!$E76,4)</f>
        <v>0.73040000000000005</v>
      </c>
      <c r="O71" s="458">
        <f>ROUND(+'30K'!$E76,4)</f>
        <v>0.73109999999999997</v>
      </c>
      <c r="P71" s="458">
        <f>ROUND(+Marathon!$E76,4)</f>
        <v>0.73229999999999995</v>
      </c>
      <c r="Q71" s="458">
        <f>ROUND(+Marathon!$E76,4)</f>
        <v>0.73229999999999995</v>
      </c>
      <c r="R71" s="458">
        <f>ROUND(+Marathon!$E76,4)</f>
        <v>0.73229999999999995</v>
      </c>
      <c r="S71" s="458">
        <f>ROUND(+Marathon!$E76,4)</f>
        <v>0.73229999999999995</v>
      </c>
      <c r="T71" s="458">
        <f>ROUND(+Marathon!$E76,4)</f>
        <v>0.73229999999999995</v>
      </c>
      <c r="U71" s="458">
        <f>ROUND(+Marathon!$E76,4)</f>
        <v>0.73229999999999995</v>
      </c>
      <c r="V71" s="458">
        <f>ROUND(+Marathon!$E76,4)</f>
        <v>0.73229999999999995</v>
      </c>
      <c r="W71" s="47"/>
    </row>
    <row r="72" spans="1:23">
      <c r="A72" s="449">
        <v>71</v>
      </c>
      <c r="B72" s="455">
        <f>ROUND(+Mile!E77,4)</f>
        <v>0.70520000000000005</v>
      </c>
      <c r="C72" s="455">
        <f>ROUND(+'5K'!E77,4)</f>
        <v>0.72499999999999998</v>
      </c>
      <c r="D72" s="455">
        <f>ROUND(+'6K'!E77,4)</f>
        <v>0.72519999999999996</v>
      </c>
      <c r="E72" s="455">
        <f>ROUND(+'4MI'!E77,4)</f>
        <v>0.72529999999999994</v>
      </c>
      <c r="F72" s="455">
        <f>ROUND(+'8K'!$E77,4)</f>
        <v>0.72560000000000002</v>
      </c>
      <c r="G72" s="455">
        <f>ROUND(+'5MI'!E77,4)</f>
        <v>0.72560000000000002</v>
      </c>
      <c r="H72" s="455">
        <f>ROUND(+'10K'!$E77,4)</f>
        <v>0.72589999999999999</v>
      </c>
      <c r="I72" s="456">
        <f>ROUND(+'12K'!$E77,4)</f>
        <v>0.72460000000000002</v>
      </c>
      <c r="J72" s="455">
        <f>ROUND(+'15K'!$E77,4)</f>
        <v>0.72299999999999998</v>
      </c>
      <c r="K72" s="455">
        <f>ROUND(+'10MI'!$E77,4)</f>
        <v>0.72250000000000003</v>
      </c>
      <c r="L72" s="455">
        <f>ROUND(+'20K'!$E77,4)</f>
        <v>0.72089999999999999</v>
      </c>
      <c r="M72" s="455">
        <f>ROUND(+H.Marathon!$E77,4)</f>
        <v>0.72050000000000003</v>
      </c>
      <c r="N72" s="455">
        <f>ROUND(+'25K'!$E77,4)</f>
        <v>0.72140000000000004</v>
      </c>
      <c r="O72" s="455">
        <f>ROUND(+'30K'!$E77,4)</f>
        <v>0.72230000000000005</v>
      </c>
      <c r="P72" s="455">
        <f>ROUND(+Marathon!$E77,4)</f>
        <v>0.72409999999999997</v>
      </c>
      <c r="Q72" s="455">
        <f>ROUND(+Marathon!$E77,4)</f>
        <v>0.72409999999999997</v>
      </c>
      <c r="R72" s="455">
        <f>ROUND(+Marathon!$E77,4)</f>
        <v>0.72409999999999997</v>
      </c>
      <c r="S72" s="455">
        <f>ROUND(+Marathon!$E77,4)</f>
        <v>0.72409999999999997</v>
      </c>
      <c r="T72" s="455">
        <f>ROUND(+Marathon!$E77,4)</f>
        <v>0.72409999999999997</v>
      </c>
      <c r="U72" s="455">
        <f>ROUND(+Marathon!$E77,4)</f>
        <v>0.72409999999999997</v>
      </c>
      <c r="V72" s="455">
        <f>ROUND(+Marathon!$E77,4)</f>
        <v>0.72409999999999997</v>
      </c>
      <c r="W72" s="47"/>
    </row>
    <row r="73" spans="1:23">
      <c r="A73" s="449">
        <v>72</v>
      </c>
      <c r="B73" s="455">
        <f>ROUND(+Mile!E78,4)</f>
        <v>0.69289999999999996</v>
      </c>
      <c r="C73" s="455">
        <f>ROUND(+'5K'!E78,4)</f>
        <v>0.71550000000000002</v>
      </c>
      <c r="D73" s="455">
        <f>ROUND(+'6K'!E78,4)</f>
        <v>0.71599999999999997</v>
      </c>
      <c r="E73" s="455">
        <f>ROUND(+'4MI'!E78,4)</f>
        <v>0.71619999999999995</v>
      </c>
      <c r="F73" s="455">
        <f>ROUND(+'8K'!$E78,4)</f>
        <v>0.7167</v>
      </c>
      <c r="G73" s="455">
        <f>ROUND(+'5MI'!E78,4)</f>
        <v>0.7167</v>
      </c>
      <c r="H73" s="455">
        <f>ROUND(+'10K'!$E78,4)</f>
        <v>0.71730000000000005</v>
      </c>
      <c r="I73" s="456">
        <f>ROUND(+'12K'!$E78,4)</f>
        <v>0.7157</v>
      </c>
      <c r="J73" s="455">
        <f>ROUND(+'15K'!$E78,4)</f>
        <v>0.7137</v>
      </c>
      <c r="K73" s="455">
        <f>ROUND(+'10MI'!$E78,4)</f>
        <v>0.71299999999999997</v>
      </c>
      <c r="L73" s="455">
        <f>ROUND(+'20K'!$E78,4)</f>
        <v>0.71109999999999995</v>
      </c>
      <c r="M73" s="455">
        <f>ROUND(+H.Marathon!$E78,4)</f>
        <v>0.71060000000000001</v>
      </c>
      <c r="N73" s="455">
        <f>ROUND(+'25K'!$E78,4)</f>
        <v>0.71179999999999999</v>
      </c>
      <c r="O73" s="455">
        <f>ROUND(+'30K'!$E78,4)</f>
        <v>0.71299999999999997</v>
      </c>
      <c r="P73" s="455">
        <f>ROUND(+Marathon!$E78,4)</f>
        <v>0.71540000000000004</v>
      </c>
      <c r="Q73" s="455">
        <f>ROUND(+Marathon!$E78,4)</f>
        <v>0.71540000000000004</v>
      </c>
      <c r="R73" s="455">
        <f>ROUND(+Marathon!$E78,4)</f>
        <v>0.71540000000000004</v>
      </c>
      <c r="S73" s="455">
        <f>ROUND(+Marathon!$E78,4)</f>
        <v>0.71540000000000004</v>
      </c>
      <c r="T73" s="455">
        <f>ROUND(+Marathon!$E78,4)</f>
        <v>0.71540000000000004</v>
      </c>
      <c r="U73" s="455">
        <f>ROUND(+Marathon!$E78,4)</f>
        <v>0.71540000000000004</v>
      </c>
      <c r="V73" s="455">
        <f>ROUND(+Marathon!$E78,4)</f>
        <v>0.71540000000000004</v>
      </c>
      <c r="W73" s="47"/>
    </row>
    <row r="74" spans="1:23">
      <c r="A74" s="449">
        <v>73</v>
      </c>
      <c r="B74" s="455">
        <f>ROUND(+Mile!E79,4)</f>
        <v>0.67989999999999995</v>
      </c>
      <c r="C74" s="455">
        <f>ROUND(+'5K'!E79,4)</f>
        <v>0.70540000000000003</v>
      </c>
      <c r="D74" s="455">
        <f>ROUND(+'6K'!E79,4)</f>
        <v>0.70609999999999995</v>
      </c>
      <c r="E74" s="455">
        <f>ROUND(+'4MI'!E79,4)</f>
        <v>0.70640000000000003</v>
      </c>
      <c r="F74" s="455">
        <f>ROUND(+'8K'!$E79,4)</f>
        <v>0.70720000000000005</v>
      </c>
      <c r="G74" s="455">
        <f>ROUND(+'5MI'!E79,4)</f>
        <v>0.70730000000000004</v>
      </c>
      <c r="H74" s="455">
        <f>ROUND(+'10K'!$E79,4)</f>
        <v>0.70809999999999995</v>
      </c>
      <c r="I74" s="456">
        <f>ROUND(+'12K'!$E79,4)</f>
        <v>0.70609999999999995</v>
      </c>
      <c r="J74" s="455">
        <f>ROUND(+'15K'!$E79,4)</f>
        <v>0.7036</v>
      </c>
      <c r="K74" s="455">
        <f>ROUND(+'10MI'!$E79,4)</f>
        <v>0.70289999999999997</v>
      </c>
      <c r="L74" s="455">
        <f>ROUND(+'20K'!$E79,4)</f>
        <v>0.70050000000000001</v>
      </c>
      <c r="M74" s="455">
        <f>ROUND(+H.Marathon!$E79,4)</f>
        <v>0.69989999999999997</v>
      </c>
      <c r="N74" s="455">
        <f>ROUND(+'25K'!$E79,4)</f>
        <v>0.70130000000000003</v>
      </c>
      <c r="O74" s="455">
        <f>ROUND(+'30K'!$E79,4)</f>
        <v>0.70289999999999997</v>
      </c>
      <c r="P74" s="455">
        <f>ROUND(+Marathon!$E79,4)</f>
        <v>0.70579999999999998</v>
      </c>
      <c r="Q74" s="455">
        <f>ROUND(+Marathon!$E79,4)</f>
        <v>0.70579999999999998</v>
      </c>
      <c r="R74" s="455">
        <f>ROUND(+Marathon!$E79,4)</f>
        <v>0.70579999999999998</v>
      </c>
      <c r="S74" s="455">
        <f>ROUND(+Marathon!$E79,4)</f>
        <v>0.70579999999999998</v>
      </c>
      <c r="T74" s="455">
        <f>ROUND(+Marathon!$E79,4)</f>
        <v>0.70579999999999998</v>
      </c>
      <c r="U74" s="455">
        <f>ROUND(+Marathon!$E79,4)</f>
        <v>0.70579999999999998</v>
      </c>
      <c r="V74" s="455">
        <f>ROUND(+Marathon!$E79,4)</f>
        <v>0.70579999999999998</v>
      </c>
      <c r="W74" s="47"/>
    </row>
    <row r="75" spans="1:23">
      <c r="A75" s="449">
        <v>74</v>
      </c>
      <c r="B75" s="455">
        <f>ROUND(+Mile!E80,4)</f>
        <v>0.66610000000000003</v>
      </c>
      <c r="C75" s="455">
        <f>ROUND(+'5K'!E80,4)</f>
        <v>0.6946</v>
      </c>
      <c r="D75" s="455">
        <f>ROUND(+'6K'!E80,4)</f>
        <v>0.6956</v>
      </c>
      <c r="E75" s="455">
        <f>ROUND(+'4MI'!E80,4)</f>
        <v>0.69589999999999996</v>
      </c>
      <c r="F75" s="455">
        <f>ROUND(+'8K'!$E80,4)</f>
        <v>0.69710000000000005</v>
      </c>
      <c r="G75" s="455">
        <f>ROUND(+'5MI'!E80,4)</f>
        <v>0.69710000000000005</v>
      </c>
      <c r="H75" s="455">
        <f>ROUND(+'10K'!$E80,4)</f>
        <v>0.69830000000000003</v>
      </c>
      <c r="I75" s="456">
        <f>ROUND(+'12K'!$E80,4)</f>
        <v>0.69589999999999996</v>
      </c>
      <c r="J75" s="455">
        <f>ROUND(+'15K'!$E80,4)</f>
        <v>0.69299999999999995</v>
      </c>
      <c r="K75" s="455">
        <f>ROUND(+'10MI'!$E80,4)</f>
        <v>0.69210000000000005</v>
      </c>
      <c r="L75" s="455">
        <f>ROUND(+'20K'!$E80,4)</f>
        <v>0.68930000000000002</v>
      </c>
      <c r="M75" s="455">
        <f>ROUND(+H.Marathon!$E80,4)</f>
        <v>0.68859999999999999</v>
      </c>
      <c r="N75" s="455">
        <f>ROUND(+'25K'!$E80,4)</f>
        <v>0.69030000000000002</v>
      </c>
      <c r="O75" s="455">
        <f>ROUND(+'30K'!$E80,4)</f>
        <v>0.69210000000000005</v>
      </c>
      <c r="P75" s="455">
        <f>ROUND(+Marathon!$E80,4)</f>
        <v>0.69540000000000002</v>
      </c>
      <c r="Q75" s="455">
        <f>ROUND(+Marathon!$E80,4)</f>
        <v>0.69540000000000002</v>
      </c>
      <c r="R75" s="455">
        <f>ROUND(+Marathon!$E80,4)</f>
        <v>0.69540000000000002</v>
      </c>
      <c r="S75" s="455">
        <f>ROUND(+Marathon!$E80,4)</f>
        <v>0.69540000000000002</v>
      </c>
      <c r="T75" s="455">
        <f>ROUND(+Marathon!$E80,4)</f>
        <v>0.69540000000000002</v>
      </c>
      <c r="U75" s="455">
        <f>ROUND(+Marathon!$E80,4)</f>
        <v>0.69540000000000002</v>
      </c>
      <c r="V75" s="455">
        <f>ROUND(+Marathon!$E80,4)</f>
        <v>0.69540000000000002</v>
      </c>
      <c r="W75" s="47"/>
    </row>
    <row r="76" spans="1:23">
      <c r="A76" s="457">
        <v>75</v>
      </c>
      <c r="B76" s="458">
        <f>ROUND(+Mile!E81,4)</f>
        <v>0.65139999999999998</v>
      </c>
      <c r="C76" s="458">
        <f>ROUND(+'5K'!E81,4)</f>
        <v>0.68330000000000002</v>
      </c>
      <c r="D76" s="458">
        <f>ROUND(+'6K'!E81,4)</f>
        <v>0.6845</v>
      </c>
      <c r="E76" s="458">
        <f>ROUND(+'4MI'!E81,4)</f>
        <v>0.68489999999999995</v>
      </c>
      <c r="F76" s="458">
        <f>ROUND(+'8K'!$E81,4)</f>
        <v>0.68630000000000002</v>
      </c>
      <c r="G76" s="458">
        <f>ROUND(+'5MI'!E81,4)</f>
        <v>0.68630000000000002</v>
      </c>
      <c r="H76" s="458">
        <f>ROUND(+'10K'!$E81,4)</f>
        <v>0.68769999999999998</v>
      </c>
      <c r="I76" s="458">
        <f>ROUND(+'12K'!$E81,4)</f>
        <v>0.68500000000000005</v>
      </c>
      <c r="J76" s="458">
        <f>ROUND(+'15K'!$E81,4)</f>
        <v>0.68169999999999997</v>
      </c>
      <c r="K76" s="458">
        <f>ROUND(+'10MI'!$E81,4)</f>
        <v>0.68059999999999998</v>
      </c>
      <c r="L76" s="458">
        <f>ROUND(+'20K'!$E81,4)</f>
        <v>0.6774</v>
      </c>
      <c r="M76" s="458">
        <f>ROUND(+H.Marathon!$E81,4)</f>
        <v>0.67659999999999998</v>
      </c>
      <c r="N76" s="458">
        <f>ROUND(+'25K'!$E81,4)</f>
        <v>0.67849999999999999</v>
      </c>
      <c r="O76" s="458">
        <f>ROUND(+'30K'!$E81,4)</f>
        <v>0.68049999999999999</v>
      </c>
      <c r="P76" s="458">
        <f>ROUND(+Marathon!$E81,4)</f>
        <v>0.68420000000000003</v>
      </c>
      <c r="Q76" s="458">
        <f>ROUND(+Marathon!$E81,4)</f>
        <v>0.68420000000000003</v>
      </c>
      <c r="R76" s="458">
        <f>ROUND(+Marathon!$E81,4)</f>
        <v>0.68420000000000003</v>
      </c>
      <c r="S76" s="458">
        <f>ROUND(+Marathon!$E81,4)</f>
        <v>0.68420000000000003</v>
      </c>
      <c r="T76" s="458">
        <f>ROUND(+Marathon!$E81,4)</f>
        <v>0.68420000000000003</v>
      </c>
      <c r="U76" s="458">
        <f>ROUND(+Marathon!$E81,4)</f>
        <v>0.68420000000000003</v>
      </c>
      <c r="V76" s="458">
        <f>ROUND(+Marathon!$E81,4)</f>
        <v>0.68420000000000003</v>
      </c>
      <c r="W76" s="47"/>
    </row>
    <row r="77" spans="1:23">
      <c r="A77" s="449">
        <v>76</v>
      </c>
      <c r="B77" s="455">
        <f>ROUND(+Mile!E82,4)</f>
        <v>0.63600000000000001</v>
      </c>
      <c r="C77" s="455">
        <f>ROUND(+'5K'!E82,4)</f>
        <v>0.6714</v>
      </c>
      <c r="D77" s="455">
        <f>ROUND(+'6K'!E82,4)</f>
        <v>0.67269999999999996</v>
      </c>
      <c r="E77" s="455">
        <f>ROUND(+'4MI'!E82,4)</f>
        <v>0.67330000000000001</v>
      </c>
      <c r="F77" s="455">
        <f>ROUND(+'8K'!$E82,4)</f>
        <v>0.67490000000000006</v>
      </c>
      <c r="G77" s="455">
        <f>ROUND(+'5MI'!E82,4)</f>
        <v>0.67490000000000006</v>
      </c>
      <c r="H77" s="455">
        <f>ROUND(+'10K'!$E82,4)</f>
        <v>0.67649999999999999</v>
      </c>
      <c r="I77" s="456">
        <f>ROUND(+'12K'!$E82,4)</f>
        <v>0.6734</v>
      </c>
      <c r="J77" s="455">
        <f>ROUND(+'15K'!$E82,4)</f>
        <v>0.66969999999999996</v>
      </c>
      <c r="K77" s="455">
        <f>ROUND(+'10MI'!$E82,4)</f>
        <v>0.66849999999999998</v>
      </c>
      <c r="L77" s="455">
        <f>ROUND(+'20K'!$E82,4)</f>
        <v>0.66479999999999995</v>
      </c>
      <c r="M77" s="455">
        <f>ROUND(+H.Marathon!$E82,4)</f>
        <v>0.66390000000000005</v>
      </c>
      <c r="N77" s="455">
        <f>ROUND(+'25K'!$E82,4)</f>
        <v>0.66590000000000005</v>
      </c>
      <c r="O77" s="455">
        <f>ROUND(+'30K'!$E82,4)</f>
        <v>0.66810000000000003</v>
      </c>
      <c r="P77" s="455">
        <f>ROUND(+Marathon!$E82,4)</f>
        <v>0.67210000000000003</v>
      </c>
      <c r="Q77" s="455">
        <f>ROUND(+Marathon!$E82,4)</f>
        <v>0.67210000000000003</v>
      </c>
      <c r="R77" s="455">
        <f>ROUND(+Marathon!$E82,4)</f>
        <v>0.67210000000000003</v>
      </c>
      <c r="S77" s="455">
        <f>ROUND(+Marathon!$E82,4)</f>
        <v>0.67210000000000003</v>
      </c>
      <c r="T77" s="455">
        <f>ROUND(+Marathon!$E82,4)</f>
        <v>0.67210000000000003</v>
      </c>
      <c r="U77" s="455">
        <f>ROUND(+Marathon!$E82,4)</f>
        <v>0.67210000000000003</v>
      </c>
      <c r="V77" s="455">
        <f>ROUND(+Marathon!$E82,4)</f>
        <v>0.67210000000000003</v>
      </c>
      <c r="W77" s="47"/>
    </row>
    <row r="78" spans="1:23">
      <c r="A78" s="449">
        <v>77</v>
      </c>
      <c r="B78" s="455">
        <f>ROUND(+Mile!E83,4)</f>
        <v>0.61970000000000003</v>
      </c>
      <c r="C78" s="455">
        <f>ROUND(+'5K'!E83,4)</f>
        <v>0.65890000000000004</v>
      </c>
      <c r="D78" s="455">
        <f>ROUND(+'6K'!E83,4)</f>
        <v>0.66039999999999999</v>
      </c>
      <c r="E78" s="455">
        <f>ROUND(+'4MI'!E83,4)</f>
        <v>0.66100000000000003</v>
      </c>
      <c r="F78" s="455">
        <f>ROUND(+'8K'!$E83,4)</f>
        <v>0.66279999999999994</v>
      </c>
      <c r="G78" s="455">
        <f>ROUND(+'5MI'!E83,4)</f>
        <v>0.66279999999999994</v>
      </c>
      <c r="H78" s="455">
        <f>ROUND(+'10K'!$E83,4)</f>
        <v>0.66459999999999997</v>
      </c>
      <c r="I78" s="456">
        <f>ROUND(+'12K'!$E83,4)</f>
        <v>0.66120000000000001</v>
      </c>
      <c r="J78" s="455">
        <f>ROUND(+'15K'!$E83,4)</f>
        <v>0.65690000000000004</v>
      </c>
      <c r="K78" s="455">
        <f>ROUND(+'10MI'!$E83,4)</f>
        <v>0.65559999999999996</v>
      </c>
      <c r="L78" s="455">
        <f>ROUND(+'20K'!$E83,4)</f>
        <v>0.65149999999999997</v>
      </c>
      <c r="M78" s="455">
        <f>ROUND(+H.Marathon!$E83,4)</f>
        <v>0.65049999999999997</v>
      </c>
      <c r="N78" s="455">
        <f>ROUND(+'25K'!$E83,4)</f>
        <v>0.65259999999999996</v>
      </c>
      <c r="O78" s="455">
        <f>ROUND(+'30K'!$E83,4)</f>
        <v>0.65490000000000004</v>
      </c>
      <c r="P78" s="455">
        <f>ROUND(+Marathon!$E83,4)</f>
        <v>0.65920000000000001</v>
      </c>
      <c r="Q78" s="455">
        <f>ROUND(+Marathon!$E83,4)</f>
        <v>0.65920000000000001</v>
      </c>
      <c r="R78" s="455">
        <f>ROUND(+Marathon!$E83,4)</f>
        <v>0.65920000000000001</v>
      </c>
      <c r="S78" s="455">
        <f>ROUND(+Marathon!$E83,4)</f>
        <v>0.65920000000000001</v>
      </c>
      <c r="T78" s="455">
        <f>ROUND(+Marathon!$E83,4)</f>
        <v>0.65920000000000001</v>
      </c>
      <c r="U78" s="455">
        <f>ROUND(+Marathon!$E83,4)</f>
        <v>0.65920000000000001</v>
      </c>
      <c r="V78" s="455">
        <f>ROUND(+Marathon!$E83,4)</f>
        <v>0.65920000000000001</v>
      </c>
      <c r="W78" s="47"/>
    </row>
    <row r="79" spans="1:23">
      <c r="A79" s="449">
        <v>78</v>
      </c>
      <c r="B79" s="455">
        <f>ROUND(+Mile!E84,4)</f>
        <v>0.60270000000000001</v>
      </c>
      <c r="C79" s="455">
        <f>ROUND(+'5K'!E84,4)</f>
        <v>0.64580000000000004</v>
      </c>
      <c r="D79" s="455">
        <f>ROUND(+'6K'!E84,4)</f>
        <v>0.64739999999999998</v>
      </c>
      <c r="E79" s="455">
        <f>ROUND(+'4MI'!E84,4)</f>
        <v>0.64810000000000001</v>
      </c>
      <c r="F79" s="455">
        <f>ROUND(+'8K'!$E84,4)</f>
        <v>0.65</v>
      </c>
      <c r="G79" s="455">
        <f>ROUND(+'5MI'!E84,4)</f>
        <v>0.65010000000000001</v>
      </c>
      <c r="H79" s="455">
        <f>ROUND(+'10K'!$E84,4)</f>
        <v>0.65200000000000002</v>
      </c>
      <c r="I79" s="456">
        <f>ROUND(+'12K'!$E84,4)</f>
        <v>0.6482</v>
      </c>
      <c r="J79" s="455">
        <f>ROUND(+'15K'!$E84,4)</f>
        <v>0.64359999999999995</v>
      </c>
      <c r="K79" s="455">
        <f>ROUND(+'10MI'!$E84,4)</f>
        <v>0.6421</v>
      </c>
      <c r="L79" s="455">
        <f>ROUND(+'20K'!$E84,4)</f>
        <v>0.63759999999999994</v>
      </c>
      <c r="M79" s="455">
        <f>ROUND(+H.Marathon!$E84,4)</f>
        <v>0.63649999999999995</v>
      </c>
      <c r="N79" s="455">
        <f>ROUND(+'25K'!$E84,4)</f>
        <v>0.63870000000000005</v>
      </c>
      <c r="O79" s="455">
        <f>ROUND(+'30K'!$E84,4)</f>
        <v>0.6411</v>
      </c>
      <c r="P79" s="455">
        <f>ROUND(+Marathon!$E84,4)</f>
        <v>0.64549999999999996</v>
      </c>
      <c r="Q79" s="455">
        <f>ROUND(+Marathon!$E84,4)</f>
        <v>0.64549999999999996</v>
      </c>
      <c r="R79" s="455">
        <f>ROUND(+Marathon!$E84,4)</f>
        <v>0.64549999999999996</v>
      </c>
      <c r="S79" s="455">
        <f>ROUND(+Marathon!$E84,4)</f>
        <v>0.64549999999999996</v>
      </c>
      <c r="T79" s="455">
        <f>ROUND(+Marathon!$E84,4)</f>
        <v>0.64549999999999996</v>
      </c>
      <c r="U79" s="455">
        <f>ROUND(+Marathon!$E84,4)</f>
        <v>0.64549999999999996</v>
      </c>
      <c r="V79" s="455">
        <f>ROUND(+Marathon!$E84,4)</f>
        <v>0.64549999999999996</v>
      </c>
      <c r="W79" s="47"/>
    </row>
    <row r="80" spans="1:23">
      <c r="A80" s="449">
        <v>79</v>
      </c>
      <c r="B80" s="455">
        <f>ROUND(+Mile!E85,4)</f>
        <v>0.58489999999999998</v>
      </c>
      <c r="C80" s="455">
        <f>ROUND(+'5K'!E85,4)</f>
        <v>0.63200000000000001</v>
      </c>
      <c r="D80" s="455">
        <f>ROUND(+'6K'!E85,4)</f>
        <v>0.63380000000000003</v>
      </c>
      <c r="E80" s="455">
        <f>ROUND(+'4MI'!E85,4)</f>
        <v>0.63449999999999995</v>
      </c>
      <c r="F80" s="455">
        <f>ROUND(+'8K'!$E85,4)</f>
        <v>0.63660000000000005</v>
      </c>
      <c r="G80" s="455">
        <f>ROUND(+'5MI'!E85,4)</f>
        <v>0.63670000000000004</v>
      </c>
      <c r="H80" s="455">
        <f>ROUND(+'10K'!$E85,4)</f>
        <v>0.63880000000000003</v>
      </c>
      <c r="I80" s="456">
        <f>ROUND(+'12K'!$E85,4)</f>
        <v>0.63460000000000005</v>
      </c>
      <c r="J80" s="455">
        <f>ROUND(+'15K'!$E85,4)</f>
        <v>0.62960000000000005</v>
      </c>
      <c r="K80" s="455">
        <f>ROUND(+'10MI'!$E85,4)</f>
        <v>0.628</v>
      </c>
      <c r="L80" s="455">
        <f>ROUND(+'20K'!$E85,4)</f>
        <v>0.623</v>
      </c>
      <c r="M80" s="455">
        <f>ROUND(+H.Marathon!$E85,4)</f>
        <v>0.62180000000000002</v>
      </c>
      <c r="N80" s="455">
        <f>ROUND(+'25K'!$E85,4)</f>
        <v>0.624</v>
      </c>
      <c r="O80" s="455">
        <f>ROUND(+'30K'!$E85,4)</f>
        <v>0.62639999999999996</v>
      </c>
      <c r="P80" s="455">
        <f>ROUND(+Marathon!$E85,4)</f>
        <v>0.63090000000000002</v>
      </c>
      <c r="Q80" s="455">
        <f>ROUND(+Marathon!$E85,4)</f>
        <v>0.63090000000000002</v>
      </c>
      <c r="R80" s="455">
        <f>ROUND(+Marathon!$E85,4)</f>
        <v>0.63090000000000002</v>
      </c>
      <c r="S80" s="455">
        <f>ROUND(+Marathon!$E85,4)</f>
        <v>0.63090000000000002</v>
      </c>
      <c r="T80" s="455">
        <f>ROUND(+Marathon!$E85,4)</f>
        <v>0.63090000000000002</v>
      </c>
      <c r="U80" s="455">
        <f>ROUND(+Marathon!$E85,4)</f>
        <v>0.63090000000000002</v>
      </c>
      <c r="V80" s="455">
        <f>ROUND(+Marathon!$E85,4)</f>
        <v>0.63090000000000002</v>
      </c>
      <c r="W80" s="47"/>
    </row>
    <row r="81" spans="1:23">
      <c r="A81" s="457">
        <v>80</v>
      </c>
      <c r="B81" s="458">
        <f>ROUND(+Mile!E86,4)</f>
        <v>0.56620000000000004</v>
      </c>
      <c r="C81" s="458">
        <f>ROUND(+'5K'!E86,4)</f>
        <v>0.61770000000000003</v>
      </c>
      <c r="D81" s="458">
        <f>ROUND(+'6K'!E86,4)</f>
        <v>0.61960000000000004</v>
      </c>
      <c r="E81" s="458">
        <f>ROUND(+'4MI'!E86,4)</f>
        <v>0.62029999999999996</v>
      </c>
      <c r="F81" s="458">
        <f>ROUND(+'8K'!$E86,4)</f>
        <v>0.62260000000000004</v>
      </c>
      <c r="G81" s="458">
        <f>ROUND(+'5MI'!E86,4)</f>
        <v>0.62260000000000004</v>
      </c>
      <c r="H81" s="458">
        <f>ROUND(+'10K'!$E86,4)</f>
        <v>0.62490000000000001</v>
      </c>
      <c r="I81" s="458">
        <f>ROUND(+'12K'!$E86,4)</f>
        <v>0.61950000000000005</v>
      </c>
      <c r="J81" s="458">
        <f>ROUND(+'15K'!$E86,4)</f>
        <v>0.61480000000000001</v>
      </c>
      <c r="K81" s="458">
        <f>ROUND(+'10MI'!$E86,4)</f>
        <v>0.61299999999999999</v>
      </c>
      <c r="L81" s="458">
        <f>ROUND(+'20K'!$E86,4)</f>
        <v>0.60760000000000003</v>
      </c>
      <c r="M81" s="458">
        <f>ROUND(+H.Marathon!$E86,4)</f>
        <v>0.60629999999999995</v>
      </c>
      <c r="N81" s="458">
        <f>ROUND(+'25K'!$E86,4)</f>
        <v>0.60860000000000003</v>
      </c>
      <c r="O81" s="458">
        <f>ROUND(+'30K'!$E86,4)</f>
        <v>0.61099999999999999</v>
      </c>
      <c r="P81" s="458">
        <f>ROUND(+Marathon!$E86,4)</f>
        <v>0.61550000000000005</v>
      </c>
      <c r="Q81" s="458">
        <f>ROUND(+Marathon!$E86,4)</f>
        <v>0.61550000000000005</v>
      </c>
      <c r="R81" s="458">
        <f>ROUND(+Marathon!$E86,4)</f>
        <v>0.61550000000000005</v>
      </c>
      <c r="S81" s="458">
        <f>ROUND(+Marathon!$E86,4)</f>
        <v>0.61550000000000005</v>
      </c>
      <c r="T81" s="458">
        <f>ROUND(+Marathon!$E86,4)</f>
        <v>0.61550000000000005</v>
      </c>
      <c r="U81" s="458">
        <f>ROUND(+Marathon!$E86,4)</f>
        <v>0.61550000000000005</v>
      </c>
      <c r="V81" s="458">
        <f>ROUND(+Marathon!$E86,4)</f>
        <v>0.61550000000000005</v>
      </c>
      <c r="W81" s="47"/>
    </row>
    <row r="82" spans="1:23">
      <c r="A82" s="449">
        <v>81</v>
      </c>
      <c r="B82" s="455">
        <f>ROUND(+Mile!E87,4)</f>
        <v>0.54679999999999995</v>
      </c>
      <c r="C82" s="455">
        <f>ROUND(+'5K'!E87,4)</f>
        <v>0.6028</v>
      </c>
      <c r="D82" s="455">
        <f>ROUND(+'6K'!E87,4)</f>
        <v>0.6048</v>
      </c>
      <c r="E82" s="455">
        <f>ROUND(+'4MI'!E87,4)</f>
        <v>0.60550000000000004</v>
      </c>
      <c r="F82" s="455">
        <f>ROUND(+'8K'!$E87,4)</f>
        <v>0.6079</v>
      </c>
      <c r="G82" s="455">
        <f>ROUND(+'5MI'!E87,4)</f>
        <v>0.6079</v>
      </c>
      <c r="H82" s="455">
        <f>ROUND(+'10K'!$E87,4)</f>
        <v>0.61029999999999995</v>
      </c>
      <c r="I82" s="456">
        <f>ROUND(+'12K'!$E87,4)</f>
        <v>0.60540000000000005</v>
      </c>
      <c r="J82" s="455">
        <f>ROUND(+'15K'!$E87,4)</f>
        <v>0.59940000000000004</v>
      </c>
      <c r="K82" s="455">
        <f>ROUND(+'10MI'!$E87,4)</f>
        <v>0.59750000000000003</v>
      </c>
      <c r="L82" s="455">
        <f>ROUND(+'20K'!$E87,4)</f>
        <v>0.59160000000000001</v>
      </c>
      <c r="M82" s="455">
        <f>ROUND(+H.Marathon!$E87,4)</f>
        <v>0.59019999999999995</v>
      </c>
      <c r="N82" s="455">
        <f>ROUND(+'25K'!$E87,4)</f>
        <v>0.59240000000000004</v>
      </c>
      <c r="O82" s="455">
        <f>ROUND(+'30K'!$E87,4)</f>
        <v>0.5948</v>
      </c>
      <c r="P82" s="455">
        <f>ROUND(+Marathon!$E87,4)</f>
        <v>0.59919999999999995</v>
      </c>
      <c r="Q82" s="455">
        <f>ROUND(+Marathon!$E87,4)</f>
        <v>0.59919999999999995</v>
      </c>
      <c r="R82" s="455">
        <f>ROUND(+Marathon!$E87,4)</f>
        <v>0.59919999999999995</v>
      </c>
      <c r="S82" s="455">
        <f>ROUND(+Marathon!$E87,4)</f>
        <v>0.59919999999999995</v>
      </c>
      <c r="T82" s="455">
        <f>ROUND(+Marathon!$E87,4)</f>
        <v>0.59919999999999995</v>
      </c>
      <c r="U82" s="455">
        <f>ROUND(+Marathon!$E87,4)</f>
        <v>0.59919999999999995</v>
      </c>
      <c r="V82" s="455">
        <f>ROUND(+Marathon!$E87,4)</f>
        <v>0.59919999999999995</v>
      </c>
      <c r="W82" s="47"/>
    </row>
    <row r="83" spans="1:23">
      <c r="A83" s="449">
        <v>82</v>
      </c>
      <c r="B83" s="455">
        <f>ROUND(+Mile!E88,4)</f>
        <v>0.52649999999999997</v>
      </c>
      <c r="C83" s="455">
        <f>ROUND(+'5K'!E88,4)</f>
        <v>0.58730000000000004</v>
      </c>
      <c r="D83" s="455">
        <f>ROUND(+'6K'!E88,4)</f>
        <v>0.58940000000000003</v>
      </c>
      <c r="E83" s="455">
        <f>ROUND(+'4MI'!E88,4)</f>
        <v>0.59009999999999996</v>
      </c>
      <c r="F83" s="455">
        <f>ROUND(+'8K'!$E88,4)</f>
        <v>0.59260000000000002</v>
      </c>
      <c r="G83" s="455">
        <f>ROUND(+'5MI'!E88,4)</f>
        <v>0.5927</v>
      </c>
      <c r="H83" s="455">
        <f>ROUND(+'10K'!$E88,4)</f>
        <v>0.59509999999999996</v>
      </c>
      <c r="I83" s="456">
        <f>ROUND(+'12K'!$E88,4)</f>
        <v>0.58979999999999999</v>
      </c>
      <c r="J83" s="455">
        <f>ROUND(+'15K'!$E88,4)</f>
        <v>0.58330000000000004</v>
      </c>
      <c r="K83" s="455">
        <f>ROUND(+'10MI'!$E88,4)</f>
        <v>0.58130000000000004</v>
      </c>
      <c r="L83" s="455">
        <f>ROUND(+'20K'!$E88,4)</f>
        <v>0.57499999999999996</v>
      </c>
      <c r="M83" s="455">
        <f>ROUND(+H.Marathon!$E88,4)</f>
        <v>0.57340000000000002</v>
      </c>
      <c r="N83" s="455">
        <f>ROUND(+'25K'!$E88,4)</f>
        <v>0.57550000000000001</v>
      </c>
      <c r="O83" s="455">
        <f>ROUND(+'30K'!$E88,4)</f>
        <v>0.57779999999999998</v>
      </c>
      <c r="P83" s="455">
        <f>ROUND(+Marathon!$E88,4)</f>
        <v>0.58209999999999995</v>
      </c>
      <c r="Q83" s="455">
        <f>ROUND(+Marathon!$E88,4)</f>
        <v>0.58209999999999995</v>
      </c>
      <c r="R83" s="455">
        <f>ROUND(+Marathon!$E88,4)</f>
        <v>0.58209999999999995</v>
      </c>
      <c r="S83" s="455">
        <f>ROUND(+Marathon!$E88,4)</f>
        <v>0.58209999999999995</v>
      </c>
      <c r="T83" s="455">
        <f>ROUND(+Marathon!$E88,4)</f>
        <v>0.58209999999999995</v>
      </c>
      <c r="U83" s="455">
        <f>ROUND(+Marathon!$E88,4)</f>
        <v>0.58209999999999995</v>
      </c>
      <c r="V83" s="455">
        <f>ROUND(+Marathon!$E88,4)</f>
        <v>0.58209999999999995</v>
      </c>
      <c r="W83" s="47"/>
    </row>
    <row r="84" spans="1:23">
      <c r="A84" s="449">
        <v>83</v>
      </c>
      <c r="B84" s="455">
        <f>ROUND(+Mile!E89,4)</f>
        <v>0.50549999999999995</v>
      </c>
      <c r="C84" s="455">
        <f>ROUND(+'5K'!E89,4)</f>
        <v>0.57120000000000004</v>
      </c>
      <c r="D84" s="455">
        <f>ROUND(+'6K'!E89,4)</f>
        <v>0.57330000000000003</v>
      </c>
      <c r="E84" s="455">
        <f>ROUND(+'4MI'!E89,4)</f>
        <v>0.57410000000000005</v>
      </c>
      <c r="F84" s="455">
        <f>ROUND(+'8K'!$E89,4)</f>
        <v>0.5766</v>
      </c>
      <c r="G84" s="455">
        <f>ROUND(+'5MI'!E89,4)</f>
        <v>0.57669999999999999</v>
      </c>
      <c r="H84" s="455">
        <f>ROUND(+'10K'!$E89,4)</f>
        <v>0.57920000000000005</v>
      </c>
      <c r="I84" s="456">
        <f>ROUND(+'12K'!$E89,4)</f>
        <v>0.57350000000000001</v>
      </c>
      <c r="J84" s="455">
        <f>ROUND(+'15K'!$E89,4)</f>
        <v>0.56659999999999999</v>
      </c>
      <c r="K84" s="455">
        <f>ROUND(+'10MI'!$E89,4)</f>
        <v>0.56440000000000001</v>
      </c>
      <c r="L84" s="455">
        <f>ROUND(+'20K'!$E89,4)</f>
        <v>0.55769999999999997</v>
      </c>
      <c r="M84" s="455">
        <f>ROUND(+H.Marathon!$E89,4)</f>
        <v>0.55600000000000005</v>
      </c>
      <c r="N84" s="455">
        <f>ROUND(+'25K'!$E89,4)</f>
        <v>0.55800000000000005</v>
      </c>
      <c r="O84" s="455">
        <f>ROUND(+'30K'!$E89,4)</f>
        <v>0.56020000000000003</v>
      </c>
      <c r="P84" s="455">
        <f>ROUND(+Marathon!$E89,4)</f>
        <v>0.56420000000000003</v>
      </c>
      <c r="Q84" s="455">
        <f>ROUND(+Marathon!$E89,4)</f>
        <v>0.56420000000000003</v>
      </c>
      <c r="R84" s="455">
        <f>ROUND(+Marathon!$E89,4)</f>
        <v>0.56420000000000003</v>
      </c>
      <c r="S84" s="455">
        <f>ROUND(+Marathon!$E89,4)</f>
        <v>0.56420000000000003</v>
      </c>
      <c r="T84" s="455">
        <f>ROUND(+Marathon!$E89,4)</f>
        <v>0.56420000000000003</v>
      </c>
      <c r="U84" s="455">
        <f>ROUND(+Marathon!$E89,4)</f>
        <v>0.56420000000000003</v>
      </c>
      <c r="V84" s="455">
        <f>ROUND(+Marathon!$E89,4)</f>
        <v>0.56420000000000003</v>
      </c>
      <c r="W84" s="47"/>
    </row>
    <row r="85" spans="1:23">
      <c r="A85" s="449">
        <v>84</v>
      </c>
      <c r="B85" s="455">
        <f>ROUND(+Mile!E90,4)</f>
        <v>0.48370000000000002</v>
      </c>
      <c r="C85" s="455">
        <f>ROUND(+'5K'!E90,4)</f>
        <v>0.5544</v>
      </c>
      <c r="D85" s="455">
        <f>ROUND(+'6K'!E90,4)</f>
        <v>0.55659999999999998</v>
      </c>
      <c r="E85" s="455">
        <f>ROUND(+'4MI'!E90,4)</f>
        <v>0.55740000000000001</v>
      </c>
      <c r="F85" s="455">
        <f>ROUND(+'8K'!$E90,4)</f>
        <v>0.56000000000000005</v>
      </c>
      <c r="G85" s="455">
        <f>ROUND(+'5MI'!E90,4)</f>
        <v>0.56000000000000005</v>
      </c>
      <c r="H85" s="455">
        <f>ROUND(+'10K'!$E90,4)</f>
        <v>0.56259999999999999</v>
      </c>
      <c r="I85" s="456">
        <f>ROUND(+'12K'!$E90,4)</f>
        <v>0.55649999999999999</v>
      </c>
      <c r="J85" s="455">
        <f>ROUND(+'15K'!$E90,4)</f>
        <v>0.54910000000000003</v>
      </c>
      <c r="K85" s="455">
        <f>ROUND(+'10MI'!$E90,4)</f>
        <v>0.54679999999999995</v>
      </c>
      <c r="L85" s="455">
        <f>ROUND(+'20K'!$E90,4)</f>
        <v>0.53959999999999997</v>
      </c>
      <c r="M85" s="455">
        <f>ROUND(+H.Marathon!$E90,4)</f>
        <v>0.53779999999999994</v>
      </c>
      <c r="N85" s="455">
        <f>ROUND(+'25K'!$E90,4)</f>
        <v>0.53969999999999996</v>
      </c>
      <c r="O85" s="455">
        <f>ROUND(+'30K'!$E90,4)</f>
        <v>0.54169999999999996</v>
      </c>
      <c r="P85" s="455">
        <f>ROUND(+Marathon!$E90,4)</f>
        <v>0.5454</v>
      </c>
      <c r="Q85" s="455">
        <f>ROUND(+Marathon!$E90,4)</f>
        <v>0.5454</v>
      </c>
      <c r="R85" s="455">
        <f>ROUND(+Marathon!$E90,4)</f>
        <v>0.5454</v>
      </c>
      <c r="S85" s="455">
        <f>ROUND(+Marathon!$E90,4)</f>
        <v>0.5454</v>
      </c>
      <c r="T85" s="455">
        <f>ROUND(+Marathon!$E90,4)</f>
        <v>0.5454</v>
      </c>
      <c r="U85" s="455">
        <f>ROUND(+Marathon!$E90,4)</f>
        <v>0.5454</v>
      </c>
      <c r="V85" s="455">
        <f>ROUND(+Marathon!$E90,4)</f>
        <v>0.5454</v>
      </c>
      <c r="W85" s="47"/>
    </row>
    <row r="86" spans="1:23">
      <c r="A86" s="457">
        <v>85</v>
      </c>
      <c r="B86" s="458">
        <f>ROUND(+Mile!E91,4)</f>
        <v>0.46100000000000002</v>
      </c>
      <c r="C86" s="458">
        <f>ROUND(+'5K'!E91,4)</f>
        <v>0.53710000000000002</v>
      </c>
      <c r="D86" s="458">
        <f>ROUND(+'6K'!E91,4)</f>
        <v>0.5393</v>
      </c>
      <c r="E86" s="458">
        <f>ROUND(+'4MI'!E91,4)</f>
        <v>0.54010000000000002</v>
      </c>
      <c r="F86" s="458">
        <f>ROUND(+'8K'!$E91,4)</f>
        <v>0.54269999999999996</v>
      </c>
      <c r="G86" s="458">
        <f>ROUND(+'5MI'!E91,4)</f>
        <v>0.54279999999999995</v>
      </c>
      <c r="H86" s="458">
        <f>ROUND(+'10K'!$E91,4)</f>
        <v>0.5454</v>
      </c>
      <c r="I86" s="458">
        <f>ROUND(+'12K'!$E91,4)</f>
        <v>0.53900000000000003</v>
      </c>
      <c r="J86" s="458">
        <f>ROUND(+'15K'!$E91,4)</f>
        <v>0.53110000000000002</v>
      </c>
      <c r="K86" s="458">
        <f>ROUND(+'10MI'!$E91,4)</f>
        <v>0.52859999999999996</v>
      </c>
      <c r="L86" s="458">
        <f>ROUND(+'20K'!$E91,4)</f>
        <v>0.52090000000000003</v>
      </c>
      <c r="M86" s="458">
        <f>ROUND(+H.Marathon!$E91,4)</f>
        <v>0.51900000000000002</v>
      </c>
      <c r="N86" s="458">
        <f>ROUND(+'25K'!$E91,4)</f>
        <v>0.52070000000000005</v>
      </c>
      <c r="O86" s="458">
        <f>ROUND(+'30K'!$E91,4)</f>
        <v>0.52249999999999996</v>
      </c>
      <c r="P86" s="458">
        <f>ROUND(+Marathon!$E91,4)</f>
        <v>0.52580000000000005</v>
      </c>
      <c r="Q86" s="458">
        <f>ROUND(+Marathon!$E91,4)</f>
        <v>0.52580000000000005</v>
      </c>
      <c r="R86" s="458">
        <f>ROUND(+Marathon!$E91,4)</f>
        <v>0.52580000000000005</v>
      </c>
      <c r="S86" s="458">
        <f>ROUND(+Marathon!$E91,4)</f>
        <v>0.52580000000000005</v>
      </c>
      <c r="T86" s="458">
        <f>ROUND(+Marathon!$E91,4)</f>
        <v>0.52580000000000005</v>
      </c>
      <c r="U86" s="458">
        <f>ROUND(+Marathon!$E91,4)</f>
        <v>0.52580000000000005</v>
      </c>
      <c r="V86" s="458">
        <f>ROUND(+Marathon!$E91,4)</f>
        <v>0.52580000000000005</v>
      </c>
      <c r="W86" s="47"/>
    </row>
    <row r="87" spans="1:23">
      <c r="A87" s="449">
        <v>86</v>
      </c>
      <c r="B87" s="455">
        <f>ROUND(+Mile!E92,4)</f>
        <v>0.43759999999999999</v>
      </c>
      <c r="C87" s="455">
        <f>ROUND(+'5K'!E92,4)</f>
        <v>0.51919999999999999</v>
      </c>
      <c r="D87" s="455">
        <f>ROUND(+'6K'!E92,4)</f>
        <v>0.52139999999999997</v>
      </c>
      <c r="E87" s="455">
        <f>ROUND(+'4MI'!E92,4)</f>
        <v>0.5222</v>
      </c>
      <c r="F87" s="455">
        <f>ROUND(+'8K'!$E92,4)</f>
        <v>0.52480000000000004</v>
      </c>
      <c r="G87" s="455">
        <f>ROUND(+'5MI'!E92,4)</f>
        <v>0.52490000000000003</v>
      </c>
      <c r="H87" s="455">
        <f>ROUND(+'10K'!$E92,4)</f>
        <v>0.52749999999999997</v>
      </c>
      <c r="I87" s="456">
        <f>ROUND(+'12K'!$E92,4)</f>
        <v>0.52070000000000005</v>
      </c>
      <c r="J87" s="455">
        <f>ROUND(+'15K'!$E92,4)</f>
        <v>0.51229999999999998</v>
      </c>
      <c r="K87" s="455">
        <f>ROUND(+'10MI'!$E92,4)</f>
        <v>0.50970000000000004</v>
      </c>
      <c r="L87" s="455">
        <f>ROUND(+'20K'!$E92,4)</f>
        <v>0.50149999999999995</v>
      </c>
      <c r="M87" s="455">
        <f>ROUND(+H.Marathon!$E92,4)</f>
        <v>0.4995</v>
      </c>
      <c r="N87" s="455">
        <f>ROUND(+'25K'!$E92,4)</f>
        <v>0.50090000000000001</v>
      </c>
      <c r="O87" s="455">
        <f>ROUND(+'30K'!$E92,4)</f>
        <v>0.50239999999999996</v>
      </c>
      <c r="P87" s="455">
        <f>ROUND(+Marathon!$E92,4)</f>
        <v>0.50529999999999997</v>
      </c>
      <c r="Q87" s="455">
        <f>ROUND(+Marathon!$E92,4)</f>
        <v>0.50529999999999997</v>
      </c>
      <c r="R87" s="455">
        <f>ROUND(+Marathon!$E92,4)</f>
        <v>0.50529999999999997</v>
      </c>
      <c r="S87" s="455">
        <f>ROUND(+Marathon!$E92,4)</f>
        <v>0.50529999999999997</v>
      </c>
      <c r="T87" s="455">
        <f>ROUND(+Marathon!$E92,4)</f>
        <v>0.50529999999999997</v>
      </c>
      <c r="U87" s="455">
        <f>ROUND(+Marathon!$E92,4)</f>
        <v>0.50529999999999997</v>
      </c>
      <c r="V87" s="455">
        <f>ROUND(+Marathon!$E92,4)</f>
        <v>0.50529999999999997</v>
      </c>
      <c r="W87" s="47"/>
    </row>
    <row r="88" spans="1:23">
      <c r="A88" s="449">
        <v>87</v>
      </c>
      <c r="B88" s="455">
        <f>ROUND(+Mile!E93,4)</f>
        <v>0.4133</v>
      </c>
      <c r="C88" s="455">
        <f>ROUND(+'5K'!E93,4)</f>
        <v>0.50070000000000003</v>
      </c>
      <c r="D88" s="455">
        <f>ROUND(+'6K'!E93,4)</f>
        <v>0.50290000000000001</v>
      </c>
      <c r="E88" s="455">
        <f>ROUND(+'4MI'!E93,4)</f>
        <v>0.50370000000000004</v>
      </c>
      <c r="F88" s="455">
        <f>ROUND(+'8K'!$E93,4)</f>
        <v>0.50629999999999997</v>
      </c>
      <c r="G88" s="455">
        <f>ROUND(+'5MI'!E93,4)</f>
        <v>0.50629999999999997</v>
      </c>
      <c r="H88" s="455">
        <f>ROUND(+'10K'!$E93,4)</f>
        <v>0.50890000000000002</v>
      </c>
      <c r="I88" s="456">
        <f>ROUND(+'12K'!$E93,4)</f>
        <v>0.50170000000000003</v>
      </c>
      <c r="J88" s="455">
        <f>ROUND(+'15K'!$E93,4)</f>
        <v>0.49280000000000002</v>
      </c>
      <c r="K88" s="455">
        <f>ROUND(+'10MI'!$E93,4)</f>
        <v>0.49</v>
      </c>
      <c r="L88" s="455">
        <f>ROUND(+'20K'!$E93,4)</f>
        <v>0.48139999999999999</v>
      </c>
      <c r="M88" s="455">
        <f>ROUND(+H.Marathon!$E93,4)</f>
        <v>0.4793</v>
      </c>
      <c r="N88" s="455">
        <f>ROUND(+'25K'!$E93,4)</f>
        <v>0.48049999999999998</v>
      </c>
      <c r="O88" s="455">
        <f>ROUND(+'30K'!$E93,4)</f>
        <v>0.48170000000000002</v>
      </c>
      <c r="P88" s="455">
        <f>ROUND(+Marathon!$E93,4)</f>
        <v>0.48399999999999999</v>
      </c>
      <c r="Q88" s="455">
        <f>ROUND(+Marathon!$E93,4)</f>
        <v>0.48399999999999999</v>
      </c>
      <c r="R88" s="455">
        <f>ROUND(+Marathon!$E93,4)</f>
        <v>0.48399999999999999</v>
      </c>
      <c r="S88" s="455">
        <f>ROUND(+Marathon!$E93,4)</f>
        <v>0.48399999999999999</v>
      </c>
      <c r="T88" s="455">
        <f>ROUND(+Marathon!$E93,4)</f>
        <v>0.48399999999999999</v>
      </c>
      <c r="U88" s="455">
        <f>ROUND(+Marathon!$E93,4)</f>
        <v>0.48399999999999999</v>
      </c>
      <c r="V88" s="455">
        <f>ROUND(+Marathon!$E93,4)</f>
        <v>0.48399999999999999</v>
      </c>
      <c r="W88" s="47"/>
    </row>
    <row r="89" spans="1:23">
      <c r="A89" s="449">
        <v>88</v>
      </c>
      <c r="B89" s="455">
        <f>ROUND(+Mile!E94,4)</f>
        <v>0.38829999999999998</v>
      </c>
      <c r="C89" s="455">
        <f>ROUND(+'5K'!E94,4)</f>
        <v>0.48159999999999997</v>
      </c>
      <c r="D89" s="455">
        <f>ROUND(+'6K'!E94,4)</f>
        <v>0.48370000000000002</v>
      </c>
      <c r="E89" s="455">
        <f>ROUND(+'4MI'!E94,4)</f>
        <v>0.48449999999999999</v>
      </c>
      <c r="F89" s="455">
        <f>ROUND(+'8K'!$E94,4)</f>
        <v>0.48699999999999999</v>
      </c>
      <c r="G89" s="455">
        <f>ROUND(+'5MI'!E94,4)</f>
        <v>0.48709999999999998</v>
      </c>
      <c r="H89" s="455">
        <f>ROUND(+'10K'!$E94,4)</f>
        <v>0.48959999999999998</v>
      </c>
      <c r="I89" s="456">
        <f>ROUND(+'12K'!$E94,4)</f>
        <v>0.48199999999999998</v>
      </c>
      <c r="J89" s="455">
        <f>ROUND(+'15K'!$E94,4)</f>
        <v>0.47270000000000001</v>
      </c>
      <c r="K89" s="455">
        <f>ROUND(+'10MI'!$E94,4)</f>
        <v>0.46970000000000001</v>
      </c>
      <c r="L89" s="455">
        <f>ROUND(+'20K'!$E94,4)</f>
        <v>0.46060000000000001</v>
      </c>
      <c r="M89" s="455">
        <f>ROUND(+H.Marathon!$E94,4)</f>
        <v>0.45839999999999997</v>
      </c>
      <c r="N89" s="455">
        <f>ROUND(+'25K'!$E94,4)</f>
        <v>0.45929999999999999</v>
      </c>
      <c r="O89" s="455">
        <f>ROUND(+'30K'!$E94,4)</f>
        <v>0.4602</v>
      </c>
      <c r="P89" s="455">
        <f>ROUND(+Marathon!$E94,4)</f>
        <v>0.46189999999999998</v>
      </c>
      <c r="Q89" s="455">
        <f>ROUND(+Marathon!$E94,4)</f>
        <v>0.46189999999999998</v>
      </c>
      <c r="R89" s="455">
        <f>ROUND(+Marathon!$E94,4)</f>
        <v>0.46189999999999998</v>
      </c>
      <c r="S89" s="455">
        <f>ROUND(+Marathon!$E94,4)</f>
        <v>0.46189999999999998</v>
      </c>
      <c r="T89" s="455">
        <f>ROUND(+Marathon!$E94,4)</f>
        <v>0.46189999999999998</v>
      </c>
      <c r="U89" s="455">
        <f>ROUND(+Marathon!$E94,4)</f>
        <v>0.46189999999999998</v>
      </c>
      <c r="V89" s="455">
        <f>ROUND(+Marathon!$E94,4)</f>
        <v>0.46189999999999998</v>
      </c>
      <c r="W89" s="47"/>
    </row>
    <row r="90" spans="1:23">
      <c r="A90" s="449">
        <v>89</v>
      </c>
      <c r="B90" s="455">
        <f>ROUND(+Mile!E95,4)</f>
        <v>0.36249999999999999</v>
      </c>
      <c r="C90" s="455">
        <f>ROUND(+'5K'!E95,4)</f>
        <v>0.46179999999999999</v>
      </c>
      <c r="D90" s="455">
        <f>ROUND(+'6K'!E95,4)</f>
        <v>0.46389999999999998</v>
      </c>
      <c r="E90" s="455">
        <f>ROUND(+'4MI'!E95,4)</f>
        <v>0.4647</v>
      </c>
      <c r="F90" s="455">
        <f>ROUND(+'8K'!$E95,4)</f>
        <v>0.4672</v>
      </c>
      <c r="G90" s="455">
        <f>ROUND(+'5MI'!E95,4)</f>
        <v>0.4672</v>
      </c>
      <c r="H90" s="455">
        <f>ROUND(+'10K'!$E95,4)</f>
        <v>0.46970000000000001</v>
      </c>
      <c r="I90" s="456">
        <f>ROUND(+'12K'!$E95,4)</f>
        <v>0.4617</v>
      </c>
      <c r="J90" s="455">
        <f>ROUND(+'15K'!$E95,4)</f>
        <v>0.45190000000000002</v>
      </c>
      <c r="K90" s="455">
        <f>ROUND(+'10MI'!$E95,4)</f>
        <v>0.44879999999999998</v>
      </c>
      <c r="L90" s="455">
        <f>ROUND(+'20K'!$E95,4)</f>
        <v>0.43919999999999998</v>
      </c>
      <c r="M90" s="455">
        <f>ROUND(+H.Marathon!$E95,4)</f>
        <v>0.43690000000000001</v>
      </c>
      <c r="N90" s="455">
        <f>ROUND(+'25K'!$E95,4)</f>
        <v>0.43740000000000001</v>
      </c>
      <c r="O90" s="455">
        <f>ROUND(+'30K'!$E95,4)</f>
        <v>0.43790000000000001</v>
      </c>
      <c r="P90" s="455">
        <f>ROUND(+Marathon!$E95,4)</f>
        <v>0.43890000000000001</v>
      </c>
      <c r="Q90" s="455">
        <f>ROUND(+Marathon!$E95,4)</f>
        <v>0.43890000000000001</v>
      </c>
      <c r="R90" s="455">
        <f>ROUND(+Marathon!$E95,4)</f>
        <v>0.43890000000000001</v>
      </c>
      <c r="S90" s="455">
        <f>ROUND(+Marathon!$E95,4)</f>
        <v>0.43890000000000001</v>
      </c>
      <c r="T90" s="455">
        <f>ROUND(+Marathon!$E95,4)</f>
        <v>0.43890000000000001</v>
      </c>
      <c r="U90" s="455">
        <f>ROUND(+Marathon!$E95,4)</f>
        <v>0.43890000000000001</v>
      </c>
      <c r="V90" s="455">
        <f>ROUND(+Marathon!$E95,4)</f>
        <v>0.43890000000000001</v>
      </c>
      <c r="W90" s="47"/>
    </row>
    <row r="91" spans="1:23">
      <c r="A91" s="457">
        <v>90</v>
      </c>
      <c r="B91" s="458">
        <f>ROUND(+Mile!E96,4)</f>
        <v>0.33579999999999999</v>
      </c>
      <c r="C91" s="458">
        <f>ROUND(+'5K'!E96,4)</f>
        <v>0.4415</v>
      </c>
      <c r="D91" s="458">
        <f>ROUND(+'6K'!E96,4)</f>
        <v>0.44350000000000001</v>
      </c>
      <c r="E91" s="458">
        <f>ROUND(+'4MI'!E96,4)</f>
        <v>0.44429999999999997</v>
      </c>
      <c r="F91" s="458">
        <f>ROUND(+'8K'!$E96,4)</f>
        <v>0.44669999999999999</v>
      </c>
      <c r="G91" s="458">
        <f>ROUND(+'5MI'!E96,4)</f>
        <v>0.44669999999999999</v>
      </c>
      <c r="H91" s="458">
        <f>ROUND(+'10K'!$E96,4)</f>
        <v>0.4491</v>
      </c>
      <c r="I91" s="458">
        <f>ROUND(+'12K'!$E96,4)</f>
        <v>0.44069999999999998</v>
      </c>
      <c r="J91" s="458">
        <f>ROUND(+'15K'!$E96,4)</f>
        <v>0.4304</v>
      </c>
      <c r="K91" s="458">
        <f>ROUND(+'10MI'!$E96,4)</f>
        <v>0.42709999999999998</v>
      </c>
      <c r="L91" s="458">
        <f>ROUND(+'20K'!$E96,4)</f>
        <v>0.41710000000000003</v>
      </c>
      <c r="M91" s="458">
        <f>ROUND(+H.Marathon!$E96,4)</f>
        <v>0.41460000000000002</v>
      </c>
      <c r="N91" s="458">
        <f>ROUND(+'25K'!$E96,4)</f>
        <v>0.41470000000000001</v>
      </c>
      <c r="O91" s="458">
        <f>ROUND(+'30K'!$E96,4)</f>
        <v>0.4148</v>
      </c>
      <c r="P91" s="458">
        <f>ROUND(+Marathon!$E96,4)</f>
        <v>0.41499999999999998</v>
      </c>
      <c r="Q91" s="458">
        <f>ROUND(+Marathon!$E96,4)</f>
        <v>0.41499999999999998</v>
      </c>
      <c r="R91" s="458">
        <f>ROUND(+Marathon!$E96,4)</f>
        <v>0.41499999999999998</v>
      </c>
      <c r="S91" s="458">
        <f>ROUND(+Marathon!$E96,4)</f>
        <v>0.41499999999999998</v>
      </c>
      <c r="T91" s="458">
        <f>ROUND(+Marathon!$E96,4)</f>
        <v>0.41499999999999998</v>
      </c>
      <c r="U91" s="458">
        <f>ROUND(+Marathon!$E96,4)</f>
        <v>0.41499999999999998</v>
      </c>
      <c r="V91" s="458">
        <f>ROUND(+Marathon!$E96,4)</f>
        <v>0.41499999999999998</v>
      </c>
      <c r="W91" s="47"/>
    </row>
    <row r="92" spans="1:23">
      <c r="A92" s="449">
        <v>91</v>
      </c>
      <c r="B92" s="455">
        <f>ROUND(+Mile!E97,4)</f>
        <v>0.30840000000000001</v>
      </c>
      <c r="C92" s="455">
        <f>ROUND(+'5K'!E97,4)</f>
        <v>0.42059999999999997</v>
      </c>
      <c r="D92" s="455">
        <f>ROUND(+'6K'!E97,4)</f>
        <v>0.42249999999999999</v>
      </c>
      <c r="E92" s="455">
        <f>ROUND(+'4MI'!E97,4)</f>
        <v>0.42320000000000002</v>
      </c>
      <c r="F92" s="455">
        <f>ROUND(+'8K'!$E97,4)</f>
        <v>0.42549999999999999</v>
      </c>
      <c r="G92" s="455">
        <f>ROUND(+'5MI'!E97,4)</f>
        <v>0.42549999999999999</v>
      </c>
      <c r="H92" s="455">
        <f>ROUND(+'10K'!$E97,4)</f>
        <v>0.42780000000000001</v>
      </c>
      <c r="I92" s="456">
        <f>ROUND(+'12K'!$E97,4)</f>
        <v>0.41899999999999998</v>
      </c>
      <c r="J92" s="455">
        <f>ROUND(+'15K'!$E97,4)</f>
        <v>0.40820000000000001</v>
      </c>
      <c r="K92" s="455">
        <f>ROUND(+'10MI'!$E97,4)</f>
        <v>0.40479999999999999</v>
      </c>
      <c r="L92" s="455">
        <f>ROUND(+'20K'!$E97,4)</f>
        <v>0.39429999999999998</v>
      </c>
      <c r="M92" s="455">
        <f>ROUND(+H.Marathon!$E97,4)</f>
        <v>0.39169999999999999</v>
      </c>
      <c r="N92" s="455">
        <f>ROUND(+'25K'!$E97,4)</f>
        <v>0.39140000000000003</v>
      </c>
      <c r="O92" s="455">
        <f>ROUND(+'30K'!$E97,4)</f>
        <v>0.39100000000000001</v>
      </c>
      <c r="P92" s="455">
        <f>ROUND(+Marathon!$E97,4)</f>
        <v>0.39040000000000002</v>
      </c>
      <c r="Q92" s="455">
        <f>ROUND(+Marathon!$E97,4)</f>
        <v>0.39040000000000002</v>
      </c>
      <c r="R92" s="455">
        <f>ROUND(+Marathon!$E97,4)</f>
        <v>0.39040000000000002</v>
      </c>
      <c r="S92" s="455">
        <f>ROUND(+Marathon!$E97,4)</f>
        <v>0.39040000000000002</v>
      </c>
      <c r="T92" s="455">
        <f>ROUND(+Marathon!$E97,4)</f>
        <v>0.39040000000000002</v>
      </c>
      <c r="U92" s="455">
        <f>ROUND(+Marathon!$E97,4)</f>
        <v>0.39040000000000002</v>
      </c>
      <c r="V92" s="455">
        <f>ROUND(+Marathon!$E97,4)</f>
        <v>0.39040000000000002</v>
      </c>
      <c r="W92" s="47"/>
    </row>
    <row r="93" spans="1:23">
      <c r="A93" s="449">
        <v>92</v>
      </c>
      <c r="B93" s="455">
        <f>ROUND(+Mile!E98,4)</f>
        <v>0.28010000000000002</v>
      </c>
      <c r="C93" s="455">
        <f>ROUND(+'5K'!E98,4)</f>
        <v>0.39910000000000001</v>
      </c>
      <c r="D93" s="455">
        <f>ROUND(+'6K'!E98,4)</f>
        <v>0.40089999999999998</v>
      </c>
      <c r="E93" s="455">
        <f>ROUND(+'4MI'!E98,4)</f>
        <v>0.40160000000000001</v>
      </c>
      <c r="F93" s="455">
        <f>ROUND(+'8K'!$E98,4)</f>
        <v>0.4037</v>
      </c>
      <c r="G93" s="455">
        <f>ROUND(+'5MI'!E98,4)</f>
        <v>0.40379999999999999</v>
      </c>
      <c r="H93" s="455">
        <f>ROUND(+'10K'!$E98,4)</f>
        <v>0.40589999999999998</v>
      </c>
      <c r="I93" s="456">
        <f>ROUND(+'12K'!$E98,4)</f>
        <v>0.3967</v>
      </c>
      <c r="J93" s="455">
        <f>ROUND(+'15K'!$E98,4)</f>
        <v>0.38540000000000002</v>
      </c>
      <c r="K93" s="455">
        <f>ROUND(+'10MI'!$E98,4)</f>
        <v>0.38179999999999997</v>
      </c>
      <c r="L93" s="455">
        <f>ROUND(+'20K'!$E98,4)</f>
        <v>0.37080000000000002</v>
      </c>
      <c r="M93" s="455">
        <f>ROUND(+H.Marathon!$E98,4)</f>
        <v>0.36809999999999998</v>
      </c>
      <c r="N93" s="455">
        <f>ROUND(+'25K'!$E98,4)</f>
        <v>0.36730000000000002</v>
      </c>
      <c r="O93" s="455">
        <f>ROUND(+'30K'!$E98,4)</f>
        <v>0.36649999999999999</v>
      </c>
      <c r="P93" s="455">
        <f>ROUND(+Marathon!$E98,4)</f>
        <v>0.3649</v>
      </c>
      <c r="Q93" s="455">
        <f>ROUND(+Marathon!$E98,4)</f>
        <v>0.3649</v>
      </c>
      <c r="R93" s="455">
        <f>ROUND(+Marathon!$E98,4)</f>
        <v>0.3649</v>
      </c>
      <c r="S93" s="455">
        <f>ROUND(+Marathon!$E98,4)</f>
        <v>0.3649</v>
      </c>
      <c r="T93" s="455">
        <f>ROUND(+Marathon!$E98,4)</f>
        <v>0.3649</v>
      </c>
      <c r="U93" s="455">
        <f>ROUND(+Marathon!$E98,4)</f>
        <v>0.3649</v>
      </c>
      <c r="V93" s="455">
        <f>ROUND(+Marathon!$E98,4)</f>
        <v>0.3649</v>
      </c>
      <c r="W93" s="47"/>
    </row>
    <row r="94" spans="1:23">
      <c r="A94" s="449">
        <v>93</v>
      </c>
      <c r="B94" s="455">
        <f>ROUND(+Mile!E99,4)</f>
        <v>0.25109999999999999</v>
      </c>
      <c r="C94" s="455">
        <f>ROUND(+'5K'!E99,4)</f>
        <v>0.377</v>
      </c>
      <c r="D94" s="455">
        <f>ROUND(+'6K'!E99,4)</f>
        <v>0.37869999999999998</v>
      </c>
      <c r="E94" s="455">
        <f>ROUND(+'4MI'!E99,4)</f>
        <v>0.37930000000000003</v>
      </c>
      <c r="F94" s="455">
        <f>ROUND(+'8K'!$E99,4)</f>
        <v>0.38129999999999997</v>
      </c>
      <c r="G94" s="455">
        <f>ROUND(+'5MI'!E99,4)</f>
        <v>0.38129999999999997</v>
      </c>
      <c r="H94" s="455">
        <f>ROUND(+'10K'!$E99,4)</f>
        <v>0.38329999999999997</v>
      </c>
      <c r="I94" s="456">
        <f>ROUND(+'12K'!$E99,4)</f>
        <v>0.37369999999999998</v>
      </c>
      <c r="J94" s="455">
        <f>ROUND(+'15K'!$E99,4)</f>
        <v>0.36180000000000001</v>
      </c>
      <c r="K94" s="455">
        <f>ROUND(+'10MI'!$E99,4)</f>
        <v>0.35809999999999997</v>
      </c>
      <c r="L94" s="455">
        <f>ROUND(+'20K'!$E99,4)</f>
        <v>0.34660000000000002</v>
      </c>
      <c r="M94" s="455">
        <f>ROUND(+H.Marathon!$E99,4)</f>
        <v>0.34379999999999999</v>
      </c>
      <c r="N94" s="455">
        <f>ROUND(+'25K'!$E99,4)</f>
        <v>0.34250000000000003</v>
      </c>
      <c r="O94" s="455">
        <f>ROUND(+'30K'!$E99,4)</f>
        <v>0.34110000000000001</v>
      </c>
      <c r="P94" s="455">
        <f>ROUND(+Marathon!$E99,4)</f>
        <v>0.33850000000000002</v>
      </c>
      <c r="Q94" s="455">
        <f>ROUND(+Marathon!$E99,4)</f>
        <v>0.33850000000000002</v>
      </c>
      <c r="R94" s="455">
        <f>ROUND(+Marathon!$E99,4)</f>
        <v>0.33850000000000002</v>
      </c>
      <c r="S94" s="455">
        <f>ROUND(+Marathon!$E99,4)</f>
        <v>0.33850000000000002</v>
      </c>
      <c r="T94" s="455">
        <f>ROUND(+Marathon!$E99,4)</f>
        <v>0.33850000000000002</v>
      </c>
      <c r="U94" s="455">
        <f>ROUND(+Marathon!$E99,4)</f>
        <v>0.33850000000000002</v>
      </c>
      <c r="V94" s="455">
        <f>ROUND(+Marathon!$E99,4)</f>
        <v>0.33850000000000002</v>
      </c>
      <c r="W94" s="47"/>
    </row>
    <row r="95" spans="1:23">
      <c r="A95" s="449">
        <v>94</v>
      </c>
      <c r="B95" s="455">
        <f>ROUND(+Mile!E100,4)</f>
        <v>0.2213</v>
      </c>
      <c r="C95" s="455">
        <f>ROUND(+'5K'!E100,4)</f>
        <v>0.35420000000000001</v>
      </c>
      <c r="D95" s="455">
        <f>ROUND(+'6K'!E100,4)</f>
        <v>0.35570000000000002</v>
      </c>
      <c r="E95" s="455">
        <f>ROUND(+'4MI'!E100,4)</f>
        <v>0.35630000000000001</v>
      </c>
      <c r="F95" s="455">
        <f>ROUND(+'8K'!$E100,4)</f>
        <v>0.35809999999999997</v>
      </c>
      <c r="G95" s="455">
        <f>ROUND(+'5MI'!E100,4)</f>
        <v>0.35820000000000002</v>
      </c>
      <c r="H95" s="455">
        <f>ROUND(+'10K'!$E100,4)</f>
        <v>0.36</v>
      </c>
      <c r="I95" s="456">
        <f>ROUND(+'12K'!$E100,4)</f>
        <v>0.35</v>
      </c>
      <c r="J95" s="455">
        <f>ROUND(+'15K'!$E100,4)</f>
        <v>0.3377</v>
      </c>
      <c r="K95" s="455">
        <f>ROUND(+'10MI'!$E100,4)</f>
        <v>0.33379999999999999</v>
      </c>
      <c r="L95" s="455">
        <f>ROUND(+'20K'!$E100,4)</f>
        <v>0.32179999999999997</v>
      </c>
      <c r="M95" s="455">
        <f>ROUND(+H.Marathon!$E100,4)</f>
        <v>0.31890000000000002</v>
      </c>
      <c r="N95" s="455">
        <f>ROUND(+'25K'!$E100,4)</f>
        <v>0.31709999999999999</v>
      </c>
      <c r="O95" s="455">
        <f>ROUND(+'30K'!$E100,4)</f>
        <v>0.31509999999999999</v>
      </c>
      <c r="P95" s="455">
        <f>ROUND(+Marathon!$E100,4)</f>
        <v>0.31140000000000001</v>
      </c>
      <c r="Q95" s="455">
        <f>ROUND(+Marathon!$E100,4)</f>
        <v>0.31140000000000001</v>
      </c>
      <c r="R95" s="455">
        <f>ROUND(+Marathon!$E100,4)</f>
        <v>0.31140000000000001</v>
      </c>
      <c r="S95" s="455">
        <f>ROUND(+Marathon!$E100,4)</f>
        <v>0.31140000000000001</v>
      </c>
      <c r="T95" s="455">
        <f>ROUND(+Marathon!$E100,4)</f>
        <v>0.31140000000000001</v>
      </c>
      <c r="U95" s="455">
        <f>ROUND(+Marathon!$E100,4)</f>
        <v>0.31140000000000001</v>
      </c>
      <c r="V95" s="455">
        <f>ROUND(+Marathon!$E100,4)</f>
        <v>0.31140000000000001</v>
      </c>
      <c r="W95" s="47"/>
    </row>
    <row r="96" spans="1:23">
      <c r="A96" s="457">
        <v>95</v>
      </c>
      <c r="B96" s="458">
        <f>ROUND(+Mile!E101,4)</f>
        <v>0.19059999999999999</v>
      </c>
      <c r="C96" s="458">
        <f>ROUND(+'5K'!E101,4)</f>
        <v>0.33090000000000003</v>
      </c>
      <c r="D96" s="458">
        <f>ROUND(+'6K'!E101,4)</f>
        <v>0.3322</v>
      </c>
      <c r="E96" s="458">
        <f>ROUND(+'4MI'!E101,4)</f>
        <v>0.33279999999999998</v>
      </c>
      <c r="F96" s="458">
        <f>ROUND(+'8K'!$E101,4)</f>
        <v>0.33439999999999998</v>
      </c>
      <c r="G96" s="458">
        <f>ROUND(+'5MI'!E101,4)</f>
        <v>0.33439999999999998</v>
      </c>
      <c r="H96" s="458">
        <f>ROUND(+'10K'!$E101,4)</f>
        <v>0.33600000000000002</v>
      </c>
      <c r="I96" s="458">
        <f>ROUND(+'12K'!$E101,4)</f>
        <v>0.32550000000000001</v>
      </c>
      <c r="J96" s="458">
        <f>ROUND(+'15K'!$E101,4)</f>
        <v>0.31280000000000002</v>
      </c>
      <c r="K96" s="458">
        <f>ROUND(+'10MI'!$E101,4)</f>
        <v>0.30869999999999997</v>
      </c>
      <c r="L96" s="458">
        <f>ROUND(+'20K'!$E101,4)</f>
        <v>0.29630000000000001</v>
      </c>
      <c r="M96" s="458">
        <f>ROUND(+H.Marathon!$E101,4)</f>
        <v>0.29320000000000002</v>
      </c>
      <c r="N96" s="458">
        <f>ROUND(+'25K'!$E101,4)</f>
        <v>0.2908</v>
      </c>
      <c r="O96" s="458">
        <f>ROUND(+'30K'!$E101,4)</f>
        <v>0.28820000000000001</v>
      </c>
      <c r="P96" s="458">
        <f>ROUND(+Marathon!$E101,4)</f>
        <v>0.2833</v>
      </c>
      <c r="Q96" s="458">
        <f>ROUND(+Marathon!$E101,4)</f>
        <v>0.2833</v>
      </c>
      <c r="R96" s="458">
        <f>ROUND(+Marathon!$E101,4)</f>
        <v>0.2833</v>
      </c>
      <c r="S96" s="458">
        <f>ROUND(+Marathon!$E101,4)</f>
        <v>0.2833</v>
      </c>
      <c r="T96" s="458">
        <f>ROUND(+Marathon!$E101,4)</f>
        <v>0.2833</v>
      </c>
      <c r="U96" s="458">
        <f>ROUND(+Marathon!$E101,4)</f>
        <v>0.2833</v>
      </c>
      <c r="V96" s="458">
        <f>ROUND(+Marathon!$E101,4)</f>
        <v>0.2833</v>
      </c>
      <c r="W96" s="47"/>
    </row>
    <row r="97" spans="1:23">
      <c r="A97" s="449">
        <v>96</v>
      </c>
      <c r="B97" s="455">
        <f>ROUND(+Mile!E102,4)</f>
        <v>0.15920000000000001</v>
      </c>
      <c r="C97" s="455">
        <f>ROUND(+'5K'!E102,4)</f>
        <v>0.307</v>
      </c>
      <c r="D97" s="455">
        <f>ROUND(+'6K'!E102,4)</f>
        <v>0.30819999999999997</v>
      </c>
      <c r="E97" s="455">
        <f>ROUND(+'4MI'!E102,4)</f>
        <v>0.30859999999999999</v>
      </c>
      <c r="F97" s="455">
        <f>ROUND(+'8K'!$E102,4)</f>
        <v>0.31</v>
      </c>
      <c r="G97" s="455">
        <f>ROUND(+'5MI'!E102,4)</f>
        <v>0.31</v>
      </c>
      <c r="H97" s="455">
        <f>ROUND(+'10K'!$E102,4)</f>
        <v>0.31140000000000001</v>
      </c>
      <c r="I97" s="456">
        <f>ROUND(+'12K'!$E102,4)</f>
        <v>0.30049999999999999</v>
      </c>
      <c r="J97" s="455">
        <f>ROUND(+'15K'!$E102,4)</f>
        <v>0.28720000000000001</v>
      </c>
      <c r="K97" s="455">
        <f>ROUND(+'10MI'!$E102,4)</f>
        <v>0.28299999999999997</v>
      </c>
      <c r="L97" s="455">
        <f>ROUND(+'20K'!$E102,4)</f>
        <v>0.27010000000000001</v>
      </c>
      <c r="M97" s="455">
        <f>ROUND(+H.Marathon!$E102,4)</f>
        <v>0.26690000000000003</v>
      </c>
      <c r="N97" s="455">
        <f>ROUND(+'25K'!$E102,4)</f>
        <v>0.26390000000000002</v>
      </c>
      <c r="O97" s="455">
        <f>ROUND(+'30K'!$E102,4)</f>
        <v>0.2606</v>
      </c>
      <c r="P97" s="455">
        <f>ROUND(+Marathon!$E102,4)</f>
        <v>0.2545</v>
      </c>
      <c r="Q97" s="455">
        <f>ROUND(+Marathon!$E102,4)</f>
        <v>0.2545</v>
      </c>
      <c r="R97" s="455">
        <f>ROUND(+Marathon!$E102,4)</f>
        <v>0.2545</v>
      </c>
      <c r="S97" s="455">
        <f>ROUND(+Marathon!$E102,4)</f>
        <v>0.2545</v>
      </c>
      <c r="T97" s="455">
        <f>ROUND(+Marathon!$E102,4)</f>
        <v>0.2545</v>
      </c>
      <c r="U97" s="455">
        <f>ROUND(+Marathon!$E102,4)</f>
        <v>0.2545</v>
      </c>
      <c r="V97" s="455">
        <f>ROUND(+Marathon!$E102,4)</f>
        <v>0.2545</v>
      </c>
      <c r="W97" s="47"/>
    </row>
    <row r="98" spans="1:23">
      <c r="A98" s="449">
        <v>97</v>
      </c>
      <c r="B98" s="455">
        <f>ROUND(+Mile!E103,4)</f>
        <v>0.12690000000000001</v>
      </c>
      <c r="C98" s="455">
        <f>ROUND(+'5K'!E103,4)</f>
        <v>0.28249999999999997</v>
      </c>
      <c r="D98" s="455">
        <f>ROUND(+'6K'!E103,4)</f>
        <v>0.28339999999999999</v>
      </c>
      <c r="E98" s="455">
        <f>ROUND(+'4MI'!E103,4)</f>
        <v>0.2838</v>
      </c>
      <c r="F98" s="455">
        <f>ROUND(+'8K'!$E103,4)</f>
        <v>0.28489999999999999</v>
      </c>
      <c r="G98" s="455">
        <f>ROUND(+'5MI'!E103,4)</f>
        <v>0.28499999999999998</v>
      </c>
      <c r="H98" s="455">
        <f>ROUND(+'10K'!$E103,4)</f>
        <v>0.28610000000000002</v>
      </c>
      <c r="I98" s="456">
        <f>ROUND(+'12K'!$E103,4)</f>
        <v>0.27479999999999999</v>
      </c>
      <c r="J98" s="455">
        <f>ROUND(+'15K'!$E103,4)</f>
        <v>0.26100000000000001</v>
      </c>
      <c r="K98" s="455">
        <f>ROUND(+'10MI'!$E103,4)</f>
        <v>0.25669999999999998</v>
      </c>
      <c r="L98" s="455">
        <f>ROUND(+'20K'!$E103,4)</f>
        <v>0.2432</v>
      </c>
      <c r="M98" s="455">
        <f>ROUND(+H.Marathon!$E103,4)</f>
        <v>0.2399</v>
      </c>
      <c r="N98" s="455">
        <f>ROUND(+'25K'!$E103,4)</f>
        <v>0.23619999999999999</v>
      </c>
      <c r="O98" s="455">
        <f>ROUND(+'30K'!$E103,4)</f>
        <v>0.23219999999999999</v>
      </c>
      <c r="P98" s="455">
        <f>ROUND(+Marathon!$E103,4)</f>
        <v>0.2248</v>
      </c>
      <c r="Q98" s="455">
        <f>ROUND(+Marathon!$E103,4)</f>
        <v>0.2248</v>
      </c>
      <c r="R98" s="455">
        <f>ROUND(+Marathon!$E103,4)</f>
        <v>0.2248</v>
      </c>
      <c r="S98" s="455">
        <f>ROUND(+Marathon!$E103,4)</f>
        <v>0.2248</v>
      </c>
      <c r="T98" s="455">
        <f>ROUND(+Marathon!$E103,4)</f>
        <v>0.2248</v>
      </c>
      <c r="U98" s="455">
        <f>ROUND(+Marathon!$E103,4)</f>
        <v>0.2248</v>
      </c>
      <c r="V98" s="455">
        <f>ROUND(+Marathon!$E103,4)</f>
        <v>0.2248</v>
      </c>
      <c r="W98" s="47"/>
    </row>
    <row r="99" spans="1:23">
      <c r="A99" s="449">
        <v>98</v>
      </c>
      <c r="B99" s="455">
        <f>ROUND(+Mile!E104,4)</f>
        <v>9.3899999999999997E-2</v>
      </c>
      <c r="C99" s="455">
        <f>ROUND(+'5K'!E104,4)</f>
        <v>0.25740000000000002</v>
      </c>
      <c r="D99" s="455">
        <f>ROUND(+'6K'!E104,4)</f>
        <v>0.2581</v>
      </c>
      <c r="E99" s="455">
        <f>ROUND(+'4MI'!E104,4)</f>
        <v>0.25840000000000002</v>
      </c>
      <c r="F99" s="455">
        <f>ROUND(+'8K'!$E104,4)</f>
        <v>0.25929999999999997</v>
      </c>
      <c r="G99" s="455">
        <f>ROUND(+'5MI'!E104,4)</f>
        <v>0.25929999999999997</v>
      </c>
      <c r="H99" s="455">
        <f>ROUND(+'10K'!$E104,4)</f>
        <v>0.26019999999999999</v>
      </c>
      <c r="I99" s="456">
        <f>ROUND(+'12K'!$E104,4)</f>
        <v>0.2485</v>
      </c>
      <c r="J99" s="455">
        <f>ROUND(+'15K'!$E104,4)</f>
        <v>0.2341</v>
      </c>
      <c r="K99" s="455">
        <f>ROUND(+'10MI'!$E104,4)</f>
        <v>0.2296</v>
      </c>
      <c r="L99" s="455">
        <f>ROUND(+'20K'!$E104,4)</f>
        <v>0.21560000000000001</v>
      </c>
      <c r="M99" s="455">
        <f>ROUND(+H.Marathon!$E104,4)</f>
        <v>0.2122</v>
      </c>
      <c r="N99" s="455">
        <f>ROUND(+'25K'!$E104,4)</f>
        <v>0.20780000000000001</v>
      </c>
      <c r="O99" s="455">
        <f>ROUND(+'30K'!$E104,4)</f>
        <v>0.2031</v>
      </c>
      <c r="P99" s="455">
        <f>ROUND(+Marathon!$E104,4)</f>
        <v>0.19420000000000001</v>
      </c>
      <c r="Q99" s="455">
        <f>ROUND(+Marathon!$E104,4)</f>
        <v>0.19420000000000001</v>
      </c>
      <c r="R99" s="455">
        <f>ROUND(+Marathon!$E104,4)</f>
        <v>0.19420000000000001</v>
      </c>
      <c r="S99" s="455">
        <f>ROUND(+Marathon!$E104,4)</f>
        <v>0.19420000000000001</v>
      </c>
      <c r="T99" s="455">
        <f>ROUND(+Marathon!$E104,4)</f>
        <v>0.19420000000000001</v>
      </c>
      <c r="U99" s="455">
        <f>ROUND(+Marathon!$E104,4)</f>
        <v>0.19420000000000001</v>
      </c>
      <c r="V99" s="455">
        <f>ROUND(+Marathon!$E104,4)</f>
        <v>0.19420000000000001</v>
      </c>
      <c r="W99" s="47"/>
    </row>
    <row r="100" spans="1:23">
      <c r="A100" s="449">
        <v>99</v>
      </c>
      <c r="B100" s="455">
        <f>ROUND(+Mile!E105,4)</f>
        <v>6.0100000000000001E-2</v>
      </c>
      <c r="C100" s="455">
        <f>ROUND(+'5K'!E105,4)</f>
        <v>0.2316</v>
      </c>
      <c r="D100" s="455">
        <f>ROUND(+'6K'!E105,4)</f>
        <v>0.2321</v>
      </c>
      <c r="E100" s="455">
        <f>ROUND(+'4MI'!E105,4)</f>
        <v>0.23230000000000001</v>
      </c>
      <c r="F100" s="455">
        <f>ROUND(+'8K'!$E105,4)</f>
        <v>0.2329</v>
      </c>
      <c r="G100" s="455">
        <f>ROUND(+'5MI'!E105,4)</f>
        <v>0.2329</v>
      </c>
      <c r="H100" s="455">
        <f>ROUND(+'10K'!$E105,4)</f>
        <v>0.23350000000000001</v>
      </c>
      <c r="I100" s="456">
        <f>ROUND(+'12K'!$E105,4)</f>
        <v>0.22140000000000001</v>
      </c>
      <c r="J100" s="455">
        <f>ROUND(+'15K'!$E105,4)</f>
        <v>0.20649999999999999</v>
      </c>
      <c r="K100" s="455">
        <f>ROUND(+'10MI'!$E105,4)</f>
        <v>0.20180000000000001</v>
      </c>
      <c r="L100" s="455">
        <f>ROUND(+'20K'!$E105,4)</f>
        <v>0.18740000000000001</v>
      </c>
      <c r="M100" s="455">
        <f>ROUND(+H.Marathon!$E105,4)</f>
        <v>0.18379999999999999</v>
      </c>
      <c r="N100" s="455">
        <f>ROUND(+'25K'!$E105,4)</f>
        <v>0.1787</v>
      </c>
      <c r="O100" s="455">
        <f>ROUND(+'30K'!$E105,4)</f>
        <v>0.1731</v>
      </c>
      <c r="P100" s="455">
        <f>ROUND(+Marathon!$E105,4)</f>
        <v>0.1628</v>
      </c>
      <c r="Q100" s="455">
        <f>ROUND(+Marathon!$E105,4)</f>
        <v>0.1628</v>
      </c>
      <c r="R100" s="455">
        <f>ROUND(+Marathon!$E105,4)</f>
        <v>0.1628</v>
      </c>
      <c r="S100" s="455">
        <f>ROUND(+Marathon!$E105,4)</f>
        <v>0.1628</v>
      </c>
      <c r="T100" s="455">
        <f>ROUND(+Marathon!$E105,4)</f>
        <v>0.1628</v>
      </c>
      <c r="U100" s="455">
        <f>ROUND(+Marathon!$E105,4)</f>
        <v>0.1628</v>
      </c>
      <c r="V100" s="455">
        <f>ROUND(+Marathon!$E105,4)</f>
        <v>0.1628</v>
      </c>
      <c r="W100" s="47"/>
    </row>
    <row r="101" spans="1:23" ht="15.75" thickBot="1">
      <c r="A101" s="459">
        <v>100</v>
      </c>
      <c r="B101" s="459">
        <f>ROUND(+Mile!E106,4)</f>
        <v>2.5399999999999999E-2</v>
      </c>
      <c r="C101" s="458">
        <f>ROUND(+'5K'!E106,4)</f>
        <v>0.20530000000000001</v>
      </c>
      <c r="D101" s="458">
        <f>ROUND(+'6K'!E106,4)</f>
        <v>0.20549999999999999</v>
      </c>
      <c r="E101" s="458">
        <f>ROUND(+'4MI'!E106,4)</f>
        <v>0.2056</v>
      </c>
      <c r="F101" s="458">
        <f>ROUND(+'8K'!$E106,4)</f>
        <v>0.2059</v>
      </c>
      <c r="G101" s="458">
        <f>ROUND(+'5MI'!E106,4)</f>
        <v>0.2059</v>
      </c>
      <c r="H101" s="458">
        <f>ROUND(+'10K'!$E106,4)</f>
        <v>0.20619999999999999</v>
      </c>
      <c r="I101" s="458">
        <f>ROUND(+'12K'!$E106,4)</f>
        <v>0.19359999999999999</v>
      </c>
      <c r="J101" s="458">
        <f>ROUND(+'15K'!$E106,4)</f>
        <v>0.1782</v>
      </c>
      <c r="K101" s="458">
        <f>ROUND(+'10MI'!$E106,4)</f>
        <v>0.1734</v>
      </c>
      <c r="L101" s="458">
        <f>ROUND(+'20K'!$E106,4)</f>
        <v>0.15840000000000001</v>
      </c>
      <c r="M101" s="458">
        <f>ROUND(+H.Marathon!$E106,4)</f>
        <v>0.1547</v>
      </c>
      <c r="N101" s="458">
        <f>ROUND(+'25K'!$E106,4)</f>
        <v>0.14879999999999999</v>
      </c>
      <c r="O101" s="458">
        <f>ROUND(+'30K'!$E106,4)</f>
        <v>0.14249999999999999</v>
      </c>
      <c r="P101" s="458">
        <f>ROUND(+Marathon!$E106,4)</f>
        <v>0.13059999999999999</v>
      </c>
      <c r="Q101" s="458">
        <f>ROUND(+Marathon!$E106,4)</f>
        <v>0.13059999999999999</v>
      </c>
      <c r="R101" s="458">
        <f>ROUND(+Marathon!$E106,4)</f>
        <v>0.13059999999999999</v>
      </c>
      <c r="S101" s="458">
        <f>ROUND(+Marathon!$E106,4)</f>
        <v>0.13059999999999999</v>
      </c>
      <c r="T101" s="458">
        <f>ROUND(+Marathon!$E106,4)</f>
        <v>0.13059999999999999</v>
      </c>
      <c r="U101" s="458">
        <f>ROUND(+Marathon!$E106,4)</f>
        <v>0.13059999999999999</v>
      </c>
      <c r="V101" s="458">
        <f>ROUND(+Marathon!$E106,4)</f>
        <v>0.13059999999999999</v>
      </c>
      <c r="W101" s="47"/>
    </row>
    <row r="102" spans="1:23" ht="15.75">
      <c r="A102" s="460" t="s">
        <v>1042</v>
      </c>
      <c r="B102" s="217"/>
      <c r="C102" s="461"/>
      <c r="D102" s="461"/>
      <c r="E102" s="461"/>
      <c r="F102" s="461"/>
      <c r="G102" s="461"/>
      <c r="H102" s="461"/>
      <c r="I102" s="461"/>
      <c r="J102" s="461"/>
      <c r="K102" s="461"/>
      <c r="L102" s="461"/>
      <c r="M102" s="461"/>
      <c r="N102" s="461"/>
      <c r="O102" s="461"/>
      <c r="P102" s="461"/>
      <c r="Q102" s="461"/>
      <c r="R102" s="461"/>
      <c r="S102" s="461"/>
      <c r="T102" s="461"/>
      <c r="U102" s="461"/>
      <c r="V102" s="461"/>
    </row>
    <row r="103" spans="1:23">
      <c r="A103" s="462" t="s">
        <v>383</v>
      </c>
      <c r="B103" s="463"/>
      <c r="C103" s="220"/>
      <c r="D103" s="220"/>
      <c r="E103" s="220"/>
      <c r="F103" s="220"/>
      <c r="G103" s="220"/>
      <c r="H103" s="220"/>
      <c r="I103" s="220"/>
      <c r="J103" s="220"/>
      <c r="K103" s="220"/>
      <c r="L103" s="220"/>
      <c r="M103" s="220"/>
      <c r="N103" s="220"/>
      <c r="O103" s="220"/>
      <c r="P103" s="220"/>
      <c r="Q103" s="220"/>
      <c r="R103" s="220"/>
      <c r="S103" s="220"/>
      <c r="T103" s="220"/>
      <c r="U103" s="220"/>
      <c r="V103" s="220"/>
    </row>
    <row r="104" spans="1:23" ht="15.75">
      <c r="A104" s="464" t="s">
        <v>1040</v>
      </c>
      <c r="B104" s="465"/>
      <c r="C104" s="220"/>
      <c r="D104" s="220"/>
      <c r="E104" s="220"/>
      <c r="F104" s="220"/>
      <c r="G104" s="220"/>
      <c r="H104" s="220"/>
      <c r="I104" s="220"/>
      <c r="J104" s="220"/>
      <c r="K104" s="220"/>
      <c r="L104" s="220"/>
      <c r="M104" s="220"/>
      <c r="N104" s="220"/>
      <c r="O104" s="220"/>
      <c r="P104" s="220"/>
      <c r="Q104" s="220"/>
      <c r="R104" s="220"/>
      <c r="S104" s="220"/>
      <c r="T104" s="220"/>
      <c r="U104" s="220"/>
      <c r="V104" s="220"/>
    </row>
    <row r="105" spans="1:23" ht="15.75">
      <c r="A105" s="464" t="s">
        <v>1041</v>
      </c>
      <c r="B105" s="466"/>
      <c r="C105" s="220"/>
      <c r="D105" s="220"/>
      <c r="E105" s="220"/>
      <c r="F105" s="220"/>
      <c r="G105" s="220"/>
      <c r="H105" s="220"/>
      <c r="I105" s="220"/>
      <c r="J105" s="220"/>
      <c r="K105" s="220"/>
      <c r="L105" s="220"/>
      <c r="M105" s="220"/>
      <c r="N105" s="220"/>
      <c r="O105" s="220"/>
      <c r="P105" s="220"/>
      <c r="Q105" s="220"/>
      <c r="R105" s="220"/>
      <c r="S105" s="220"/>
      <c r="T105" s="220"/>
      <c r="U105" s="220"/>
      <c r="V105" s="220"/>
    </row>
    <row r="106" spans="1:23" ht="15.75">
      <c r="A106" s="464" t="s">
        <v>379</v>
      </c>
      <c r="B106" s="467"/>
      <c r="C106" s="220"/>
      <c r="D106" s="220"/>
      <c r="E106" s="220"/>
      <c r="F106" s="220"/>
      <c r="G106" s="220"/>
      <c r="H106" s="220"/>
      <c r="I106" s="220"/>
      <c r="J106" s="220"/>
      <c r="K106" s="220"/>
      <c r="L106" s="220"/>
      <c r="M106" s="220"/>
      <c r="N106" s="220"/>
      <c r="O106" s="220"/>
      <c r="P106" s="220"/>
      <c r="Q106" s="220"/>
      <c r="R106" s="220"/>
      <c r="S106" s="220"/>
      <c r="T106" s="220"/>
      <c r="U106" s="220"/>
      <c r="V106" s="220"/>
    </row>
    <row r="107" spans="1:23" ht="15.75">
      <c r="B107" s="163"/>
    </row>
    <row r="108" spans="1:23" ht="15.75">
      <c r="A108" s="177"/>
    </row>
  </sheetData>
  <hyperlinks>
    <hyperlink ref="A103" r:id="rId1" xr:uid="{1F374C85-DCE3-4452-9C5C-873926650293}"/>
  </hyperlinks>
  <pageMargins left="0.5" right="0.5" top="0.5" bottom="0.5" header="0" footer="0"/>
  <pageSetup orientation="portrait" verticalDpi="0" r:id="rId2"/>
  <headerFooter alignWithMargins="0"/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W108"/>
  <sheetViews>
    <sheetView zoomScale="87" zoomScaleNormal="87" workbookViewId="0">
      <selection activeCell="O25" sqref="O25"/>
    </sheetView>
  </sheetViews>
  <sheetFormatPr defaultColWidth="9.6640625" defaultRowHeight="15"/>
  <cols>
    <col min="1" max="22" width="7.6640625" style="1" customWidth="1"/>
    <col min="23" max="16384" width="9.6640625" style="1"/>
  </cols>
  <sheetData>
    <row r="1" spans="1:23" ht="24" thickBot="1">
      <c r="A1" s="44" t="s">
        <v>1945</v>
      </c>
      <c r="B1" s="44"/>
    </row>
    <row r="2" spans="1:23" ht="15.75" thickBot="1">
      <c r="A2" s="45" t="s">
        <v>69</v>
      </c>
      <c r="B2" s="164" t="s">
        <v>380</v>
      </c>
      <c r="C2" s="46" t="s">
        <v>115</v>
      </c>
      <c r="D2" s="46" t="s">
        <v>116</v>
      </c>
      <c r="E2" s="46" t="s">
        <v>117</v>
      </c>
      <c r="F2" s="46" t="s">
        <v>118</v>
      </c>
      <c r="G2" s="46" t="s">
        <v>119</v>
      </c>
      <c r="H2" s="46" t="s">
        <v>120</v>
      </c>
      <c r="I2" s="46" t="s">
        <v>121</v>
      </c>
      <c r="J2" s="46" t="s">
        <v>122</v>
      </c>
      <c r="K2" s="46" t="s">
        <v>123</v>
      </c>
      <c r="L2" s="46" t="s">
        <v>124</v>
      </c>
      <c r="M2" s="46" t="s">
        <v>9</v>
      </c>
      <c r="N2" s="46" t="s">
        <v>125</v>
      </c>
      <c r="O2" s="46" t="s">
        <v>126</v>
      </c>
      <c r="P2" s="46" t="s">
        <v>10</v>
      </c>
      <c r="Q2" s="46" t="s">
        <v>89</v>
      </c>
      <c r="R2" s="46" t="s">
        <v>127</v>
      </c>
      <c r="S2" s="46" t="s">
        <v>128</v>
      </c>
      <c r="T2" s="46" t="s">
        <v>129</v>
      </c>
      <c r="U2" s="46" t="s">
        <v>130</v>
      </c>
      <c r="V2" s="46" t="s">
        <v>131</v>
      </c>
      <c r="W2" s="47"/>
    </row>
    <row r="3" spans="1:23">
      <c r="A3" s="45" t="s">
        <v>0</v>
      </c>
      <c r="B3" s="165">
        <v>1.6093440000000001</v>
      </c>
      <c r="C3" s="46">
        <f>Parameters!B13</f>
        <v>5</v>
      </c>
      <c r="D3" s="46">
        <f>Parameters!B14</f>
        <v>6</v>
      </c>
      <c r="E3" s="46">
        <f>Parameters!B15</f>
        <v>6.4373760000000004</v>
      </c>
      <c r="F3" s="46">
        <f>Parameters!B16</f>
        <v>8</v>
      </c>
      <c r="G3" s="48">
        <f>Parameters!B17</f>
        <v>8.0467200000000005</v>
      </c>
      <c r="H3" s="46">
        <f>Parameters!B18</f>
        <v>10</v>
      </c>
      <c r="I3" s="46">
        <f>Parameters!B19</f>
        <v>12</v>
      </c>
      <c r="J3" s="46">
        <f>Parameters!B20</f>
        <v>15</v>
      </c>
      <c r="K3" s="46">
        <f>Parameters!B21</f>
        <v>16.093440000000001</v>
      </c>
      <c r="L3" s="46">
        <f>Parameters!B22</f>
        <v>20</v>
      </c>
      <c r="M3" s="46">
        <f>Parameters!B23</f>
        <v>21.0975</v>
      </c>
      <c r="N3" s="46">
        <f>Parameters!B24</f>
        <v>25</v>
      </c>
      <c r="O3" s="46">
        <f>Parameters!B25</f>
        <v>30</v>
      </c>
      <c r="P3" s="46">
        <f>Parameters!B26</f>
        <v>42.195</v>
      </c>
      <c r="Q3" s="48">
        <f>Parameters!$B27</f>
        <v>50</v>
      </c>
      <c r="R3" s="48">
        <f>Parameters!$B28</f>
        <v>80.467200000000005</v>
      </c>
      <c r="S3" s="48">
        <f>Parameters!$B29</f>
        <v>100</v>
      </c>
      <c r="T3" s="48">
        <f>Parameters!$B30</f>
        <v>150</v>
      </c>
      <c r="U3" s="48">
        <f>Parameters!$B31</f>
        <v>160.93440000000001</v>
      </c>
      <c r="V3" s="48">
        <f>Parameters!$B32</f>
        <v>200</v>
      </c>
      <c r="W3" s="47"/>
    </row>
    <row r="4" spans="1:23">
      <c r="A4" s="449" t="s">
        <v>113</v>
      </c>
      <c r="B4" s="450">
        <f>Parameters!H12</f>
        <v>231.99999999999997</v>
      </c>
      <c r="C4" s="450">
        <f>Parameters!H13</f>
        <v>769</v>
      </c>
      <c r="D4" s="450">
        <f>Parameters!H14</f>
        <v>930</v>
      </c>
      <c r="E4" s="450">
        <f>Parameters!H15</f>
        <v>1000</v>
      </c>
      <c r="F4" s="450">
        <f>Parameters!$H16</f>
        <v>1255</v>
      </c>
      <c r="G4" s="450">
        <f>Parameters!H17</f>
        <v>1264</v>
      </c>
      <c r="H4" s="450">
        <f>Parameters!$H18</f>
        <v>1584</v>
      </c>
      <c r="I4" s="450">
        <f>Parameters!$H19</f>
        <v>1915</v>
      </c>
      <c r="J4" s="450">
        <f>Parameters!$H20</f>
        <v>2415</v>
      </c>
      <c r="K4" s="450">
        <f>Parameters!$H21</f>
        <v>2595</v>
      </c>
      <c r="L4" s="450">
        <f>Parameters!$H22</f>
        <v>3260</v>
      </c>
      <c r="M4" s="450">
        <f>Parameters!$H23</f>
        <v>3451.0000000000005</v>
      </c>
      <c r="N4" s="450">
        <f>Parameters!$H24</f>
        <v>4110</v>
      </c>
      <c r="O4" s="450">
        <f>Parameters!$H25</f>
        <v>4980</v>
      </c>
      <c r="P4" s="450">
        <f>Parameters!$H26</f>
        <v>7235</v>
      </c>
      <c r="Q4" s="450">
        <f>Parameters!$H27</f>
        <v>8820</v>
      </c>
      <c r="R4" s="450">
        <f>Parameters!$H28</f>
        <v>16080</v>
      </c>
      <c r="S4" s="450">
        <f>Parameters!$H29</f>
        <v>21360</v>
      </c>
      <c r="T4" s="450">
        <f>Parameters!$H30</f>
        <v>36300</v>
      </c>
      <c r="U4" s="450">
        <f>Parameters!$H31</f>
        <v>39790</v>
      </c>
      <c r="V4" s="450">
        <f>Parameters!$H32</f>
        <v>52800.000000000007</v>
      </c>
      <c r="W4" s="47"/>
    </row>
    <row r="5" spans="1:23" ht="15.75" thickBot="1">
      <c r="A5" s="449" t="s">
        <v>114</v>
      </c>
      <c r="B5" s="451">
        <f>B4/86400</f>
        <v>2.685185185185185E-3</v>
      </c>
      <c r="C5" s="451">
        <f>C4/86400</f>
        <v>8.9004629629629625E-3</v>
      </c>
      <c r="D5" s="451">
        <f>D4/86400</f>
        <v>1.0763888888888889E-2</v>
      </c>
      <c r="E5" s="451">
        <f>ROUND(+E4/86400,4)</f>
        <v>1.1599999999999999E-2</v>
      </c>
      <c r="F5" s="451">
        <f t="shared" ref="F5:V5" si="0">F4/86400</f>
        <v>1.4525462962962962E-2</v>
      </c>
      <c r="G5" s="451">
        <f t="shared" si="0"/>
        <v>1.462962962962963E-2</v>
      </c>
      <c r="H5" s="451">
        <f t="shared" si="0"/>
        <v>1.8333333333333333E-2</v>
      </c>
      <c r="I5" s="451">
        <f t="shared" si="0"/>
        <v>2.2164351851851852E-2</v>
      </c>
      <c r="J5" s="451">
        <f t="shared" si="0"/>
        <v>2.795138888888889E-2</v>
      </c>
      <c r="K5" s="451">
        <f t="shared" si="0"/>
        <v>3.0034722222222223E-2</v>
      </c>
      <c r="L5" s="451">
        <f t="shared" si="0"/>
        <v>3.7731481481481484E-2</v>
      </c>
      <c r="M5" s="451">
        <f t="shared" si="0"/>
        <v>3.9942129629629633E-2</v>
      </c>
      <c r="N5" s="451">
        <f t="shared" si="0"/>
        <v>4.7569444444444442E-2</v>
      </c>
      <c r="O5" s="451">
        <f t="shared" si="0"/>
        <v>5.7638888888888892E-2</v>
      </c>
      <c r="P5" s="451">
        <f t="shared" si="0"/>
        <v>8.3738425925925924E-2</v>
      </c>
      <c r="Q5" s="451">
        <f t="shared" si="0"/>
        <v>0.10208333333333333</v>
      </c>
      <c r="R5" s="451">
        <f t="shared" si="0"/>
        <v>0.18611111111111112</v>
      </c>
      <c r="S5" s="451">
        <f t="shared" si="0"/>
        <v>0.24722222222222223</v>
      </c>
      <c r="T5" s="452">
        <f t="shared" si="0"/>
        <v>0.4201388888888889</v>
      </c>
      <c r="U5" s="452">
        <f t="shared" si="0"/>
        <v>0.46053240740740742</v>
      </c>
      <c r="V5" s="452">
        <f t="shared" si="0"/>
        <v>0.61111111111111116</v>
      </c>
      <c r="W5" s="47"/>
    </row>
    <row r="6" spans="1:23">
      <c r="A6" s="53">
        <v>5</v>
      </c>
      <c r="B6" s="55">
        <f>ROUND(+B$4/+'Age Factors'!B6,0)</f>
        <v>321</v>
      </c>
      <c r="C6" s="55">
        <f>ROUND(+C$4/+'Age Factors'!C6,0)</f>
        <v>1390</v>
      </c>
      <c r="D6" s="56">
        <f>ROUND(+D$4/+'Age Factors'!D6,0)</f>
        <v>1719</v>
      </c>
      <c r="E6" s="56">
        <f>ROUND(+E$4/+'5K'!$E11,0)</f>
        <v>1808</v>
      </c>
      <c r="F6" s="56">
        <f>ROUND(+F$4/+'5K'!$E11,0)</f>
        <v>2269</v>
      </c>
      <c r="G6" s="56">
        <f>ROUND(+G$4/+'5K'!$E11,0)</f>
        <v>2285</v>
      </c>
      <c r="H6" s="56">
        <f>ROUND(+H$4/+'5K'!$E11,0)</f>
        <v>2864</v>
      </c>
      <c r="I6" s="56">
        <f>ROUND(+I$4/+'5K'!$E11,0)</f>
        <v>3462</v>
      </c>
      <c r="J6" s="56">
        <f>ROUND(+J$4/+'5K'!$E11,0)</f>
        <v>4366</v>
      </c>
      <c r="K6" s="56">
        <f>ROUND(+K$4/+'5K'!$E11,0)</f>
        <v>4692</v>
      </c>
      <c r="L6" s="56">
        <f>ROUND(+L$4/+'5K'!$E11,0)</f>
        <v>5894</v>
      </c>
      <c r="M6" s="56">
        <f>ROUND(+M$4/+'5K'!$E11,0)</f>
        <v>6239</v>
      </c>
      <c r="N6" s="56">
        <f>ROUND(+N$4/+'5K'!$E11,0)</f>
        <v>7431</v>
      </c>
      <c r="O6" s="56">
        <f>ROUND(+O$4/+'5K'!$E11,0)</f>
        <v>9004</v>
      </c>
      <c r="P6" s="56">
        <f>ROUND(+P$4/+'5K'!$E11,0)</f>
        <v>13081</v>
      </c>
      <c r="Q6" s="56">
        <f>ROUND(+Q$4/+'5K'!$E11,0)</f>
        <v>15946</v>
      </c>
      <c r="R6" s="56">
        <f>ROUND(+R$4/+'5K'!$E11,0)</f>
        <v>29073</v>
      </c>
      <c r="S6" s="56">
        <f>ROUND(+S$4/+'5K'!$E11,0)</f>
        <v>38619</v>
      </c>
      <c r="T6" s="56">
        <f>ROUND(+T$4/+'5K'!$E11,0)</f>
        <v>65630</v>
      </c>
      <c r="U6" s="56">
        <f>ROUND(+U$4/+'5K'!$E11,0)</f>
        <v>71940</v>
      </c>
      <c r="V6" s="56">
        <f>ROUND(+V$4/+'5K'!$E11,0)</f>
        <v>95462</v>
      </c>
      <c r="W6" s="47"/>
    </row>
    <row r="7" spans="1:23">
      <c r="A7" s="49">
        <v>6</v>
      </c>
      <c r="B7" s="50">
        <f>ROUND(+B$4/+'Age Factors'!B7,0)</f>
        <v>309</v>
      </c>
      <c r="C7" s="50">
        <f>ROUND(+C$4/+'Age Factors'!C7,0)</f>
        <v>1249</v>
      </c>
      <c r="D7" s="50">
        <f>ROUND(+D$4/+'Age Factors'!D7,0)</f>
        <v>1542</v>
      </c>
      <c r="E7" s="50">
        <f>ROUND(+E$4/+'Age Factors'!E7,0)</f>
        <v>1671</v>
      </c>
      <c r="F7" s="50">
        <f>ROUND(+F$4/+'Age Factors'!F7,0)</f>
        <v>2152</v>
      </c>
      <c r="G7" s="50">
        <f>ROUND(+G$4/+'Age Factors'!G7,0)</f>
        <v>2169</v>
      </c>
      <c r="H7" s="50">
        <f>ROUND(+H$4/+'Age Factors'!H7,0)</f>
        <v>2790</v>
      </c>
      <c r="I7" s="50">
        <f>ROUND(+I$4/+'Age Factors'!I7,0)</f>
        <v>3419</v>
      </c>
      <c r="J7" s="50">
        <f>ROUND(+J$4/+'Age Factors'!J7,0)</f>
        <v>4385</v>
      </c>
      <c r="K7" s="50">
        <f>ROUND(+K$4/+'Age Factors'!K7,0)</f>
        <v>4737</v>
      </c>
      <c r="L7" s="50">
        <f>ROUND(+L$4/+'Age Factors'!L7,0)</f>
        <v>6053</v>
      </c>
      <c r="M7" s="50">
        <f>ROUND(+M$4/+'Age Factors'!M7,0)</f>
        <v>6434</v>
      </c>
      <c r="N7" s="50">
        <f>ROUND(+N$4/+'Age Factors'!N7,0)</f>
        <v>7764</v>
      </c>
      <c r="O7" s="50">
        <f>ROUND(+O$4/+'Age Factors'!O7,0)</f>
        <v>9540</v>
      </c>
      <c r="P7" s="50">
        <f>ROUND(+P$4/+'Age Factors'!P7,0)</f>
        <v>14242</v>
      </c>
      <c r="Q7" s="50">
        <f>ROUND(+Q$4/+'Age Factors'!Q7,0)</f>
        <v>17362</v>
      </c>
      <c r="R7" s="50">
        <f>ROUND(+R$4/+'Age Factors'!R7,0)</f>
        <v>31654</v>
      </c>
      <c r="S7" s="50">
        <f>ROUND(+S$4/+'Age Factors'!S7,0)</f>
        <v>42047</v>
      </c>
      <c r="T7" s="50">
        <f>ROUND(+T$4/+'Age Factors'!T7,0)</f>
        <v>71457</v>
      </c>
      <c r="U7" s="50">
        <f>ROUND(+U$4/+'Age Factors'!U7,0)</f>
        <v>78327</v>
      </c>
      <c r="V7" s="50">
        <f>ROUND(+V$4/+'Age Factors'!V7,0)</f>
        <v>103937</v>
      </c>
      <c r="W7" s="47"/>
    </row>
    <row r="8" spans="1:23">
      <c r="A8" s="49">
        <v>7</v>
      </c>
      <c r="B8" s="50">
        <f>ROUND(+B$4/+'Age Factors'!B8,0)</f>
        <v>298</v>
      </c>
      <c r="C8" s="50">
        <f>ROUND(+C$4/+'Age Factors'!C8,0)</f>
        <v>1142</v>
      </c>
      <c r="D8" s="50">
        <f>ROUND(+D$4/+'Age Factors'!D8,0)</f>
        <v>1408</v>
      </c>
      <c r="E8" s="50">
        <f>ROUND(+E$4/+'Age Factors'!E8,0)</f>
        <v>1525</v>
      </c>
      <c r="F8" s="50">
        <f>ROUND(+F$4/+'Age Factors'!F8,0)</f>
        <v>1960</v>
      </c>
      <c r="G8" s="50">
        <f>ROUND(+G$4/+'Age Factors'!G8,0)</f>
        <v>1976</v>
      </c>
      <c r="H8" s="50">
        <f>ROUND(+H$4/+'Age Factors'!H8,0)</f>
        <v>2537</v>
      </c>
      <c r="I8" s="50">
        <f>ROUND(+I$4/+'Age Factors'!I8,0)</f>
        <v>3091</v>
      </c>
      <c r="J8" s="50">
        <f>ROUND(+J$4/+'Age Factors'!J8,0)</f>
        <v>3935</v>
      </c>
      <c r="K8" s="50">
        <f>ROUND(+K$4/+'Age Factors'!K8,0)</f>
        <v>4240</v>
      </c>
      <c r="L8" s="50">
        <f>ROUND(+L$4/+'Age Factors'!L8,0)</f>
        <v>5376</v>
      </c>
      <c r="M8" s="50">
        <f>ROUND(+M$4/+'Age Factors'!M8,0)</f>
        <v>5704</v>
      </c>
      <c r="N8" s="50">
        <f>ROUND(+N$4/+'Age Factors'!N8,0)</f>
        <v>6890</v>
      </c>
      <c r="O8" s="50">
        <f>ROUND(+O$4/+'Age Factors'!O8,0)</f>
        <v>8479</v>
      </c>
      <c r="P8" s="50">
        <f>ROUND(+P$4/+'Age Factors'!P8,0)</f>
        <v>12689</v>
      </c>
      <c r="Q8" s="50">
        <f>ROUND(+Q$4/+'Age Factors'!Q8,0)</f>
        <v>15468</v>
      </c>
      <c r="R8" s="50">
        <f>ROUND(+R$4/+'Age Factors'!R8,0)</f>
        <v>28201</v>
      </c>
      <c r="S8" s="50">
        <f>ROUND(+S$4/+'Age Factors'!S8,0)</f>
        <v>37461</v>
      </c>
      <c r="T8" s="50">
        <f>ROUND(+T$4/+'Age Factors'!T8,0)</f>
        <v>63662</v>
      </c>
      <c r="U8" s="50">
        <f>ROUND(+U$4/+'Age Factors'!U8,0)</f>
        <v>69783</v>
      </c>
      <c r="V8" s="50">
        <f>ROUND(+V$4/+'Age Factors'!V8,0)</f>
        <v>92599</v>
      </c>
      <c r="W8" s="47"/>
    </row>
    <row r="9" spans="1:23">
      <c r="A9" s="49">
        <v>8</v>
      </c>
      <c r="B9" s="50">
        <f>ROUND(+B$4/+'Age Factors'!B9,0)</f>
        <v>288</v>
      </c>
      <c r="C9" s="50">
        <f>ROUND(+C$4/+'Age Factors'!C9,0)</f>
        <v>1058</v>
      </c>
      <c r="D9" s="50">
        <f>ROUND(+D$4/+'Age Factors'!D9,0)</f>
        <v>1303</v>
      </c>
      <c r="E9" s="50">
        <f>ROUND(+E$4/+'Age Factors'!E9,0)</f>
        <v>1411</v>
      </c>
      <c r="F9" s="50">
        <f>ROUND(+F$4/+'Age Factors'!F9,0)</f>
        <v>1811</v>
      </c>
      <c r="G9" s="50">
        <f>ROUND(+G$4/+'Age Factors'!G9,0)</f>
        <v>1826</v>
      </c>
      <c r="H9" s="50">
        <f>ROUND(+H$4/+'Age Factors'!H9,0)</f>
        <v>2340</v>
      </c>
      <c r="I9" s="50">
        <f>ROUND(+I$4/+'Age Factors'!I9,0)</f>
        <v>2839</v>
      </c>
      <c r="J9" s="50">
        <f>ROUND(+J$4/+'Age Factors'!J9,0)</f>
        <v>3594</v>
      </c>
      <c r="K9" s="50">
        <f>ROUND(+K$4/+'Age Factors'!K9,0)</f>
        <v>3867</v>
      </c>
      <c r="L9" s="50">
        <f>ROUND(+L$4/+'Age Factors'!L9,0)</f>
        <v>4877</v>
      </c>
      <c r="M9" s="50">
        <f>ROUND(+M$4/+'Age Factors'!M9,0)</f>
        <v>5168</v>
      </c>
      <c r="N9" s="50">
        <f>ROUND(+N$4/+'Age Factors'!N9,0)</f>
        <v>6246</v>
      </c>
      <c r="O9" s="50">
        <f>ROUND(+O$4/+'Age Factors'!O9,0)</f>
        <v>7691</v>
      </c>
      <c r="P9" s="50">
        <f>ROUND(+P$4/+'Age Factors'!P9,0)</f>
        <v>11523</v>
      </c>
      <c r="Q9" s="50">
        <f>ROUND(+Q$4/+'Age Factors'!Q9,0)</f>
        <v>14047</v>
      </c>
      <c r="R9" s="50">
        <f>ROUND(+R$4/+'Age Factors'!R9,0)</f>
        <v>25609</v>
      </c>
      <c r="S9" s="50">
        <f>ROUND(+S$4/+'Age Factors'!S9,0)</f>
        <v>34018</v>
      </c>
      <c r="T9" s="50">
        <f>ROUND(+T$4/+'Age Factors'!T9,0)</f>
        <v>57812</v>
      </c>
      <c r="U9" s="50">
        <f>ROUND(+U$4/+'Age Factors'!U9,0)</f>
        <v>63370</v>
      </c>
      <c r="V9" s="50">
        <f>ROUND(+V$4/+'Age Factors'!V9,0)</f>
        <v>84090</v>
      </c>
      <c r="W9" s="47"/>
    </row>
    <row r="10" spans="1:23">
      <c r="A10" s="49">
        <v>9</v>
      </c>
      <c r="B10" s="50">
        <f>ROUND(+B$4/+'Age Factors'!B10,0)</f>
        <v>279</v>
      </c>
      <c r="C10" s="50">
        <f>ROUND(+C$4/+'Age Factors'!C10,0)</f>
        <v>992</v>
      </c>
      <c r="D10" s="50">
        <f>ROUND(+D$4/+'Age Factors'!D10,0)</f>
        <v>1221</v>
      </c>
      <c r="E10" s="50">
        <f>ROUND(+E$4/+'Age Factors'!E10,0)</f>
        <v>1321</v>
      </c>
      <c r="F10" s="50">
        <f>ROUND(+F$4/+'Age Factors'!F10,0)</f>
        <v>1693</v>
      </c>
      <c r="G10" s="50">
        <f>ROUND(+G$4/+'Age Factors'!G10,0)</f>
        <v>1706</v>
      </c>
      <c r="H10" s="50">
        <f>ROUND(+H$4/+'Age Factors'!H10,0)</f>
        <v>2184</v>
      </c>
      <c r="I10" s="50">
        <f>ROUND(+I$4/+'Age Factors'!I10,0)</f>
        <v>2641</v>
      </c>
      <c r="J10" s="50">
        <f>ROUND(+J$4/+'Age Factors'!J10,0)</f>
        <v>3331</v>
      </c>
      <c r="K10" s="50">
        <f>ROUND(+K$4/+'Age Factors'!K10,0)</f>
        <v>3579</v>
      </c>
      <c r="L10" s="50">
        <f>ROUND(+L$4/+'Age Factors'!L10,0)</f>
        <v>4498</v>
      </c>
      <c r="M10" s="50">
        <f>ROUND(+M$4/+'Age Factors'!M10,0)</f>
        <v>4761</v>
      </c>
      <c r="N10" s="50">
        <f>ROUND(+N$4/+'Age Factors'!N10,0)</f>
        <v>5755</v>
      </c>
      <c r="O10" s="50">
        <f>ROUND(+O$4/+'Age Factors'!O10,0)</f>
        <v>7087</v>
      </c>
      <c r="P10" s="50">
        <f>ROUND(+P$4/+'Age Factors'!P10,0)</f>
        <v>10621</v>
      </c>
      <c r="Q10" s="50">
        <f>ROUND(+Q$4/+'Age Factors'!Q10,0)</f>
        <v>12948</v>
      </c>
      <c r="R10" s="50">
        <f>ROUND(+R$4/+'Age Factors'!R10,0)</f>
        <v>23605</v>
      </c>
      <c r="S10" s="50">
        <f>ROUND(+S$4/+'Age Factors'!S10,0)</f>
        <v>31356</v>
      </c>
      <c r="T10" s="50">
        <f>ROUND(+T$4/+'Age Factors'!T10,0)</f>
        <v>53288</v>
      </c>
      <c r="U10" s="50">
        <f>ROUND(+U$4/+'Age Factors'!U10,0)</f>
        <v>58412</v>
      </c>
      <c r="V10" s="50">
        <f>ROUND(+V$4/+'Age Factors'!V10,0)</f>
        <v>77510</v>
      </c>
      <c r="W10" s="47"/>
    </row>
    <row r="11" spans="1:23">
      <c r="A11" s="54">
        <v>10</v>
      </c>
      <c r="B11" s="57">
        <f>ROUND(+B$4/+'Age Factors'!B11,0)</f>
        <v>272</v>
      </c>
      <c r="C11" s="57">
        <f>ROUND(+C$4/+'Age Factors'!C11,0)</f>
        <v>940</v>
      </c>
      <c r="D11" s="57">
        <f>ROUND(+D$4/+'Age Factors'!D11,0)</f>
        <v>1154</v>
      </c>
      <c r="E11" s="57">
        <f>ROUND(+E$4/+'Age Factors'!E11,0)</f>
        <v>1249</v>
      </c>
      <c r="F11" s="57">
        <f>ROUND(+F$4/+'Age Factors'!F11,0)</f>
        <v>1598</v>
      </c>
      <c r="G11" s="57">
        <f>ROUND(+G$4/+'Age Factors'!G11,0)</f>
        <v>1610</v>
      </c>
      <c r="H11" s="57">
        <f>ROUND(+H$4/+'Age Factors'!H11,0)</f>
        <v>2058</v>
      </c>
      <c r="I11" s="57">
        <f>ROUND(+I$4/+'Age Factors'!I11,0)</f>
        <v>2482</v>
      </c>
      <c r="J11" s="57">
        <f>ROUND(+J$4/+'Age Factors'!J11,0)</f>
        <v>3123</v>
      </c>
      <c r="K11" s="57">
        <f>ROUND(+K$4/+'Age Factors'!K11,0)</f>
        <v>3353</v>
      </c>
      <c r="L11" s="57">
        <f>ROUND(+L$4/+'Age Factors'!L11,0)</f>
        <v>4203</v>
      </c>
      <c r="M11" s="57">
        <f>ROUND(+M$4/+'Age Factors'!M11,0)</f>
        <v>4446</v>
      </c>
      <c r="N11" s="57">
        <f>ROUND(+N$4/+'Age Factors'!N11,0)</f>
        <v>5373</v>
      </c>
      <c r="O11" s="57">
        <f>ROUND(+O$4/+'Age Factors'!O11,0)</f>
        <v>6615</v>
      </c>
      <c r="P11" s="57">
        <f>ROUND(+P$4/+'Age Factors'!P11,0)</f>
        <v>9910</v>
      </c>
      <c r="Q11" s="57">
        <f>ROUND(+Q$4/+'Age Factors'!Q11,0)</f>
        <v>12081</v>
      </c>
      <c r="R11" s="57">
        <f>ROUND(+R$4/+'Age Factors'!R11,0)</f>
        <v>22024</v>
      </c>
      <c r="S11" s="57">
        <f>ROUND(+S$4/+'Age Factors'!S11,0)</f>
        <v>29256</v>
      </c>
      <c r="T11" s="57">
        <f>ROUND(+T$4/+'Age Factors'!T11,0)</f>
        <v>49719</v>
      </c>
      <c r="U11" s="57">
        <f>ROUND(+U$4/+'Age Factors'!U11,0)</f>
        <v>54499</v>
      </c>
      <c r="V11" s="57">
        <f>ROUND(+V$4/+'Age Factors'!V11,0)</f>
        <v>72319</v>
      </c>
      <c r="W11" s="47"/>
    </row>
    <row r="12" spans="1:23">
      <c r="A12" s="49">
        <v>11</v>
      </c>
      <c r="B12" s="50">
        <f>ROUND(+B$4/+'Age Factors'!B12,0)</f>
        <v>265</v>
      </c>
      <c r="C12" s="50">
        <f>ROUND(+C$4/+'Age Factors'!C12,0)</f>
        <v>897</v>
      </c>
      <c r="D12" s="50">
        <f>ROUND(+D$4/+'Age Factors'!D12,0)</f>
        <v>1101</v>
      </c>
      <c r="E12" s="50">
        <f>ROUND(+E$4/+'Age Factors'!E12,0)</f>
        <v>1190</v>
      </c>
      <c r="F12" s="50">
        <f>ROUND(+F$4/+'Age Factors'!F12,0)</f>
        <v>1520</v>
      </c>
      <c r="G12" s="50">
        <f>ROUND(+G$4/+'Age Factors'!G12,0)</f>
        <v>1532</v>
      </c>
      <c r="H12" s="50">
        <f>ROUND(+H$4/+'Age Factors'!H12,0)</f>
        <v>1955</v>
      </c>
      <c r="I12" s="50">
        <f>ROUND(+I$4/+'Age Factors'!I12,0)</f>
        <v>2355</v>
      </c>
      <c r="J12" s="50">
        <f>ROUND(+J$4/+'Age Factors'!J12,0)</f>
        <v>2958</v>
      </c>
      <c r="K12" s="50">
        <f>ROUND(+K$4/+'Age Factors'!K12,0)</f>
        <v>3174</v>
      </c>
      <c r="L12" s="50">
        <f>ROUND(+L$4/+'Age Factors'!L12,0)</f>
        <v>3971</v>
      </c>
      <c r="M12" s="50">
        <f>ROUND(+M$4/+'Age Factors'!M12,0)</f>
        <v>4199</v>
      </c>
      <c r="N12" s="50">
        <f>ROUND(+N$4/+'Age Factors'!N12,0)</f>
        <v>5073</v>
      </c>
      <c r="O12" s="50">
        <f>ROUND(+O$4/+'Age Factors'!O12,0)</f>
        <v>6242</v>
      </c>
      <c r="P12" s="50">
        <f>ROUND(+P$4/+'Age Factors'!P12,0)</f>
        <v>9342</v>
      </c>
      <c r="Q12" s="50">
        <f>ROUND(+Q$4/+'Age Factors'!Q12,0)</f>
        <v>11388</v>
      </c>
      <c r="R12" s="50">
        <f>ROUND(+R$4/+'Age Factors'!R12,0)</f>
        <v>20762</v>
      </c>
      <c r="S12" s="50">
        <f>ROUND(+S$4/+'Age Factors'!S12,0)</f>
        <v>27579</v>
      </c>
      <c r="T12" s="50">
        <f>ROUND(+T$4/+'Age Factors'!T12,0)</f>
        <v>46869</v>
      </c>
      <c r="U12" s="50">
        <f>ROUND(+U$4/+'Age Factors'!U12,0)</f>
        <v>51375</v>
      </c>
      <c r="V12" s="50">
        <f>ROUND(+V$4/+'Age Factors'!V12,0)</f>
        <v>68173</v>
      </c>
      <c r="W12" s="47"/>
    </row>
    <row r="13" spans="1:23">
      <c r="A13" s="49">
        <v>12</v>
      </c>
      <c r="B13" s="50">
        <f>ROUND(+B$4/+'Age Factors'!B13,0)</f>
        <v>258</v>
      </c>
      <c r="C13" s="50">
        <f>ROUND(+C$4/+'Age Factors'!C13,0)</f>
        <v>863</v>
      </c>
      <c r="D13" s="50">
        <f>ROUND(+D$4/+'Age Factors'!D13,0)</f>
        <v>1058</v>
      </c>
      <c r="E13" s="50">
        <f>ROUND(+E$4/+'Age Factors'!E13,0)</f>
        <v>1143</v>
      </c>
      <c r="F13" s="50">
        <f>ROUND(+F$4/+'Age Factors'!F13,0)</f>
        <v>1458</v>
      </c>
      <c r="G13" s="50">
        <f>ROUND(+G$4/+'Age Factors'!G13,0)</f>
        <v>1469</v>
      </c>
      <c r="H13" s="50">
        <f>ROUND(+H$4/+'Age Factors'!H13,0)</f>
        <v>1871</v>
      </c>
      <c r="I13" s="50">
        <f>ROUND(+I$4/+'Age Factors'!I13,0)</f>
        <v>2252</v>
      </c>
      <c r="J13" s="50">
        <f>ROUND(+J$4/+'Age Factors'!J13,0)</f>
        <v>2825</v>
      </c>
      <c r="K13" s="50">
        <f>ROUND(+K$4/+'Age Factors'!K13,0)</f>
        <v>3031</v>
      </c>
      <c r="L13" s="50">
        <f>ROUND(+L$4/+'Age Factors'!L13,0)</f>
        <v>3788</v>
      </c>
      <c r="M13" s="50">
        <f>ROUND(+M$4/+'Age Factors'!M13,0)</f>
        <v>4005</v>
      </c>
      <c r="N13" s="50">
        <f>ROUND(+N$4/+'Age Factors'!N13,0)</f>
        <v>4835</v>
      </c>
      <c r="O13" s="50">
        <f>ROUND(+O$4/+'Age Factors'!O13,0)</f>
        <v>5945</v>
      </c>
      <c r="P13" s="50">
        <f>ROUND(+P$4/+'Age Factors'!P13,0)</f>
        <v>8883</v>
      </c>
      <c r="Q13" s="50">
        <f>ROUND(+Q$4/+'Age Factors'!Q13,0)</f>
        <v>10829</v>
      </c>
      <c r="R13" s="50">
        <f>ROUND(+R$4/+'Age Factors'!R13,0)</f>
        <v>19742</v>
      </c>
      <c r="S13" s="50">
        <f>ROUND(+S$4/+'Age Factors'!S13,0)</f>
        <v>26225</v>
      </c>
      <c r="T13" s="50">
        <f>ROUND(+T$4/+'Age Factors'!T13,0)</f>
        <v>44567</v>
      </c>
      <c r="U13" s="50">
        <f>ROUND(+U$4/+'Age Factors'!U13,0)</f>
        <v>48852</v>
      </c>
      <c r="V13" s="50">
        <f>ROUND(+V$4/+'Age Factors'!V13,0)</f>
        <v>64825</v>
      </c>
      <c r="W13" s="47"/>
    </row>
    <row r="14" spans="1:23">
      <c r="A14" s="49">
        <v>13</v>
      </c>
      <c r="B14" s="50">
        <f>ROUND(+B$4/+'Age Factors'!B14,0)</f>
        <v>253</v>
      </c>
      <c r="C14" s="50">
        <f>ROUND(+C$4/+'Age Factors'!C14,0)</f>
        <v>836</v>
      </c>
      <c r="D14" s="50">
        <f>ROUND(+D$4/+'Age Factors'!D14,0)</f>
        <v>1023</v>
      </c>
      <c r="E14" s="50">
        <f>ROUND(+E$4/+'Age Factors'!E14,0)</f>
        <v>1105</v>
      </c>
      <c r="F14" s="50">
        <f>ROUND(+F$4/+'Age Factors'!F14,0)</f>
        <v>1406</v>
      </c>
      <c r="G14" s="50">
        <f>ROUND(+G$4/+'Age Factors'!G14,0)</f>
        <v>1417</v>
      </c>
      <c r="H14" s="50">
        <f>ROUND(+H$4/+'Age Factors'!H14,0)</f>
        <v>1801</v>
      </c>
      <c r="I14" s="50">
        <f>ROUND(+I$4/+'Age Factors'!I14,0)</f>
        <v>2168</v>
      </c>
      <c r="J14" s="50">
        <f>ROUND(+J$4/+'Age Factors'!J14,0)</f>
        <v>2719</v>
      </c>
      <c r="K14" s="50">
        <f>ROUND(+K$4/+'Age Factors'!K14,0)</f>
        <v>2916</v>
      </c>
      <c r="L14" s="50">
        <f>ROUND(+L$4/+'Age Factors'!L14,0)</f>
        <v>3644</v>
      </c>
      <c r="M14" s="50">
        <f>ROUND(+M$4/+'Age Factors'!M14,0)</f>
        <v>3853</v>
      </c>
      <c r="N14" s="50">
        <f>ROUND(+N$4/+'Age Factors'!N14,0)</f>
        <v>4647</v>
      </c>
      <c r="O14" s="50">
        <f>ROUND(+O$4/+'Age Factors'!O14,0)</f>
        <v>5708</v>
      </c>
      <c r="P14" s="50">
        <f>ROUND(+P$4/+'Age Factors'!P14,0)</f>
        <v>8512</v>
      </c>
      <c r="Q14" s="50">
        <f>ROUND(+Q$4/+'Age Factors'!Q14,0)</f>
        <v>10376</v>
      </c>
      <c r="R14" s="50">
        <f>ROUND(+R$4/+'Age Factors'!R14,0)</f>
        <v>18918</v>
      </c>
      <c r="S14" s="50">
        <f>ROUND(+S$4/+'Age Factors'!S14,0)</f>
        <v>25129</v>
      </c>
      <c r="T14" s="50">
        <f>ROUND(+T$4/+'Age Factors'!T14,0)</f>
        <v>42706</v>
      </c>
      <c r="U14" s="50">
        <f>ROUND(+U$4/+'Age Factors'!U14,0)</f>
        <v>46812</v>
      </c>
      <c r="V14" s="50">
        <f>ROUND(+V$4/+'Age Factors'!V14,0)</f>
        <v>62118</v>
      </c>
      <c r="W14" s="47"/>
    </row>
    <row r="15" spans="1:23">
      <c r="A15" s="49">
        <v>14</v>
      </c>
      <c r="B15" s="50">
        <f>ROUND(+B$4/+'Age Factors'!B15,0)</f>
        <v>248</v>
      </c>
      <c r="C15" s="50">
        <f>ROUND(+C$4/+'Age Factors'!C15,0)</f>
        <v>814</v>
      </c>
      <c r="D15" s="50">
        <f>ROUND(+D$4/+'Age Factors'!D15,0)</f>
        <v>995</v>
      </c>
      <c r="E15" s="50">
        <f>ROUND(+E$4/+'Age Factors'!E15,0)</f>
        <v>1074</v>
      </c>
      <c r="F15" s="50">
        <f>ROUND(+F$4/+'Age Factors'!F15,0)</f>
        <v>1365</v>
      </c>
      <c r="G15" s="50">
        <f>ROUND(+G$4/+'Age Factors'!G15,0)</f>
        <v>1375</v>
      </c>
      <c r="H15" s="50">
        <f>ROUND(+H$4/+'Age Factors'!H15,0)</f>
        <v>1745</v>
      </c>
      <c r="I15" s="50">
        <f>ROUND(+I$4/+'Age Factors'!I15,0)</f>
        <v>2100</v>
      </c>
      <c r="J15" s="50">
        <f>ROUND(+J$4/+'Age Factors'!J15,0)</f>
        <v>2634</v>
      </c>
      <c r="K15" s="50">
        <f>ROUND(+K$4/+'Age Factors'!K15,0)</f>
        <v>2826</v>
      </c>
      <c r="L15" s="50">
        <f>ROUND(+L$4/+'Age Factors'!L15,0)</f>
        <v>3532</v>
      </c>
      <c r="M15" s="50">
        <f>ROUND(+M$4/+'Age Factors'!M15,0)</f>
        <v>3734</v>
      </c>
      <c r="N15" s="50">
        <f>ROUND(+N$4/+'Age Factors'!N15,0)</f>
        <v>4499</v>
      </c>
      <c r="O15" s="50">
        <f>ROUND(+O$4/+'Age Factors'!O15,0)</f>
        <v>5519</v>
      </c>
      <c r="P15" s="50">
        <f>ROUND(+P$4/+'Age Factors'!P15,0)</f>
        <v>8211</v>
      </c>
      <c r="Q15" s="50">
        <f>ROUND(+Q$4/+'Age Factors'!Q15,0)</f>
        <v>10010</v>
      </c>
      <c r="R15" s="50">
        <f>ROUND(+R$4/+'Age Factors'!R15,0)</f>
        <v>18250</v>
      </c>
      <c r="S15" s="50">
        <f>ROUND(+S$4/+'Age Factors'!S15,0)</f>
        <v>24242</v>
      </c>
      <c r="T15" s="50">
        <f>ROUND(+T$4/+'Age Factors'!T15,0)</f>
        <v>41199</v>
      </c>
      <c r="U15" s="50">
        <f>ROUND(+U$4/+'Age Factors'!U15,0)</f>
        <v>45159</v>
      </c>
      <c r="V15" s="50">
        <f>ROUND(+V$4/+'Age Factors'!V15,0)</f>
        <v>59925</v>
      </c>
      <c r="W15" s="47"/>
    </row>
    <row r="16" spans="1:23">
      <c r="A16" s="54">
        <v>15</v>
      </c>
      <c r="B16" s="57">
        <f>ROUND(+B$4/+'Age Factors'!B16,0)</f>
        <v>244</v>
      </c>
      <c r="C16" s="57">
        <f>ROUND(+C$4/+'Age Factors'!C16,0)</f>
        <v>798</v>
      </c>
      <c r="D16" s="57">
        <f>ROUND(+D$4/+'Age Factors'!D16,0)</f>
        <v>973</v>
      </c>
      <c r="E16" s="57">
        <f>ROUND(+E$4/+'Age Factors'!E16,0)</f>
        <v>1050</v>
      </c>
      <c r="F16" s="57">
        <f>ROUND(+F$4/+'Age Factors'!F16,0)</f>
        <v>1332</v>
      </c>
      <c r="G16" s="57">
        <f>ROUND(+G$4/+'Age Factors'!G16,0)</f>
        <v>1342</v>
      </c>
      <c r="H16" s="57">
        <f>ROUND(+H$4/+'Age Factors'!H16,0)</f>
        <v>1699</v>
      </c>
      <c r="I16" s="57">
        <f>ROUND(+I$4/+'Age Factors'!I16,0)</f>
        <v>2046</v>
      </c>
      <c r="J16" s="57">
        <f>ROUND(+J$4/+'Age Factors'!J16,0)</f>
        <v>2569</v>
      </c>
      <c r="K16" s="57">
        <f>ROUND(+K$4/+'Age Factors'!K16,0)</f>
        <v>2756</v>
      </c>
      <c r="L16" s="57">
        <f>ROUND(+L$4/+'Age Factors'!L16,0)</f>
        <v>3447</v>
      </c>
      <c r="M16" s="57">
        <f>ROUND(+M$4/+'Age Factors'!M16,0)</f>
        <v>3645</v>
      </c>
      <c r="N16" s="57">
        <f>ROUND(+N$4/+'Age Factors'!N16,0)</f>
        <v>4385</v>
      </c>
      <c r="O16" s="57">
        <f>ROUND(+O$4/+'Age Factors'!O16,0)</f>
        <v>5373</v>
      </c>
      <c r="P16" s="57">
        <f>ROUND(+P$4/+'Age Factors'!P16,0)</f>
        <v>7970</v>
      </c>
      <c r="Q16" s="57">
        <f>ROUND(+Q$4/+'Age Factors'!Q16,0)</f>
        <v>9716</v>
      </c>
      <c r="R16" s="57">
        <f>ROUND(+R$4/+'Age Factors'!R16,0)</f>
        <v>17713</v>
      </c>
      <c r="S16" s="57">
        <f>ROUND(+S$4/+'Age Factors'!S16,0)</f>
        <v>23529</v>
      </c>
      <c r="T16" s="57">
        <f>ROUND(+T$4/+'Age Factors'!T16,0)</f>
        <v>39987</v>
      </c>
      <c r="U16" s="57">
        <f>ROUND(+U$4/+'Age Factors'!U16,0)</f>
        <v>43831</v>
      </c>
      <c r="V16" s="57">
        <f>ROUND(+V$4/+'Age Factors'!V16,0)</f>
        <v>58163</v>
      </c>
      <c r="W16" s="47"/>
    </row>
    <row r="17" spans="1:23">
      <c r="A17" s="49">
        <v>16</v>
      </c>
      <c r="B17" s="50">
        <f>ROUND(+B$4/+'Age Factors'!B17,0)</f>
        <v>240</v>
      </c>
      <c r="C17" s="50">
        <f>ROUND(+C$4/+'Age Factors'!C17,0)</f>
        <v>786</v>
      </c>
      <c r="D17" s="50">
        <f>ROUND(+D$4/+'Age Factors'!D17,0)</f>
        <v>957</v>
      </c>
      <c r="E17" s="50">
        <f>ROUND(+E$4/+'Age Factors'!E17,0)</f>
        <v>1032</v>
      </c>
      <c r="F17" s="50">
        <f>ROUND(+F$4/+'Age Factors'!F17,0)</f>
        <v>1306</v>
      </c>
      <c r="G17" s="50">
        <f>ROUND(+G$4/+'Age Factors'!G17,0)</f>
        <v>1316</v>
      </c>
      <c r="H17" s="50">
        <f>ROUND(+H$4/+'Age Factors'!H17,0)</f>
        <v>1662</v>
      </c>
      <c r="I17" s="50">
        <f>ROUND(+I$4/+'Age Factors'!I17,0)</f>
        <v>2004</v>
      </c>
      <c r="J17" s="50">
        <f>ROUND(+J$4/+'Age Factors'!J17,0)</f>
        <v>2519</v>
      </c>
      <c r="K17" s="50">
        <f>ROUND(+K$4/+'Age Factors'!K17,0)</f>
        <v>2704</v>
      </c>
      <c r="L17" s="50">
        <f>ROUND(+L$4/+'Age Factors'!L17,0)</f>
        <v>3386</v>
      </c>
      <c r="M17" s="50">
        <f>ROUND(+M$4/+'Age Factors'!M17,0)</f>
        <v>3581</v>
      </c>
      <c r="N17" s="50">
        <f>ROUND(+N$4/+'Age Factors'!N17,0)</f>
        <v>4302</v>
      </c>
      <c r="O17" s="50">
        <f>ROUND(+O$4/+'Age Factors'!O17,0)</f>
        <v>5261</v>
      </c>
      <c r="P17" s="50">
        <f>ROUND(+P$4/+'Age Factors'!P17,0)</f>
        <v>7780</v>
      </c>
      <c r="Q17" s="50">
        <f>ROUND(+Q$4/+'Age Factors'!Q17,0)</f>
        <v>9484</v>
      </c>
      <c r="R17" s="50">
        <f>ROUND(+R$4/+'Age Factors'!R17,0)</f>
        <v>17290</v>
      </c>
      <c r="S17" s="50">
        <f>ROUND(+S$4/+'Age Factors'!S17,0)</f>
        <v>22968</v>
      </c>
      <c r="T17" s="50">
        <f>ROUND(+T$4/+'Age Factors'!T17,0)</f>
        <v>39032</v>
      </c>
      <c r="U17" s="50">
        <f>ROUND(+U$4/+'Age Factors'!U17,0)</f>
        <v>42785</v>
      </c>
      <c r="V17" s="50">
        <f>ROUND(+V$4/+'Age Factors'!V17,0)</f>
        <v>56774</v>
      </c>
      <c r="W17" s="47"/>
    </row>
    <row r="18" spans="1:23">
      <c r="A18" s="49">
        <v>17</v>
      </c>
      <c r="B18" s="50">
        <f>ROUND(+B$4/+'Age Factors'!B18,0)</f>
        <v>236</v>
      </c>
      <c r="C18" s="50">
        <f>ROUND(+C$4/+'Age Factors'!C18,0)</f>
        <v>778</v>
      </c>
      <c r="D18" s="50">
        <f>ROUND(+D$4/+'Age Factors'!D18,0)</f>
        <v>946</v>
      </c>
      <c r="E18" s="50">
        <f>ROUND(+E$4/+'Age Factors'!E18,0)</f>
        <v>1019</v>
      </c>
      <c r="F18" s="50">
        <f>ROUND(+F$4/+'Age Factors'!F18,0)</f>
        <v>1287</v>
      </c>
      <c r="G18" s="50">
        <f>ROUND(+G$4/+'Age Factors'!G18,0)</f>
        <v>1296</v>
      </c>
      <c r="H18" s="50">
        <f>ROUND(+H$4/+'Age Factors'!H18,0)</f>
        <v>1634</v>
      </c>
      <c r="I18" s="50">
        <f>ROUND(+I$4/+'Age Factors'!I18,0)</f>
        <v>1973</v>
      </c>
      <c r="J18" s="50">
        <f>ROUND(+J$4/+'Age Factors'!J18,0)</f>
        <v>2484</v>
      </c>
      <c r="K18" s="50">
        <f>ROUND(+K$4/+'Age Factors'!K18,0)</f>
        <v>2667</v>
      </c>
      <c r="L18" s="50">
        <f>ROUND(+L$4/+'Age Factors'!L18,0)</f>
        <v>3345</v>
      </c>
      <c r="M18" s="50">
        <f>ROUND(+M$4/+'Age Factors'!M18,0)</f>
        <v>3539</v>
      </c>
      <c r="N18" s="50">
        <f>ROUND(+N$4/+'Age Factors'!N18,0)</f>
        <v>4242</v>
      </c>
      <c r="O18" s="50">
        <f>ROUND(+O$4/+'Age Factors'!O18,0)</f>
        <v>5175</v>
      </c>
      <c r="P18" s="50">
        <f>ROUND(+P$4/+'Age Factors'!P18,0)</f>
        <v>7616</v>
      </c>
      <c r="Q18" s="50">
        <f>ROUND(+Q$4/+'Age Factors'!Q18,0)</f>
        <v>9284</v>
      </c>
      <c r="R18" s="50">
        <f>ROUND(+R$4/+'Age Factors'!R18,0)</f>
        <v>16926</v>
      </c>
      <c r="S18" s="50">
        <f>ROUND(+S$4/+'Age Factors'!S18,0)</f>
        <v>22484</v>
      </c>
      <c r="T18" s="50">
        <f>ROUND(+T$4/+'Age Factors'!T18,0)</f>
        <v>38211</v>
      </c>
      <c r="U18" s="50">
        <f>ROUND(+U$4/+'Age Factors'!U18,0)</f>
        <v>41884</v>
      </c>
      <c r="V18" s="50">
        <f>ROUND(+V$4/+'Age Factors'!V18,0)</f>
        <v>55579</v>
      </c>
      <c r="W18" s="47"/>
    </row>
    <row r="19" spans="1:23">
      <c r="A19" s="49">
        <v>18</v>
      </c>
      <c r="B19" s="50">
        <f>ROUND(+B$4/+'Age Factors'!B19,0)</f>
        <v>233</v>
      </c>
      <c r="C19" s="50">
        <f>ROUND(+C$4/+'Age Factors'!C19,0)</f>
        <v>771</v>
      </c>
      <c r="D19" s="50">
        <f>ROUND(+D$4/+'Age Factors'!D19,0)</f>
        <v>936</v>
      </c>
      <c r="E19" s="50">
        <f>ROUND(+E$4/+'Age Factors'!E19,0)</f>
        <v>1008</v>
      </c>
      <c r="F19" s="50">
        <f>ROUND(+F$4/+'Age Factors'!F19,0)</f>
        <v>1272</v>
      </c>
      <c r="G19" s="50">
        <f>ROUND(+G$4/+'Age Factors'!G19,0)</f>
        <v>1281</v>
      </c>
      <c r="H19" s="50">
        <f>ROUND(+H$4/+'Age Factors'!H19,0)</f>
        <v>1613</v>
      </c>
      <c r="I19" s="50">
        <f>ROUND(+I$4/+'Age Factors'!I19,0)</f>
        <v>1949</v>
      </c>
      <c r="J19" s="50">
        <f>ROUND(+J$4/+'Age Factors'!J19,0)</f>
        <v>2456</v>
      </c>
      <c r="K19" s="50">
        <f>ROUND(+K$4/+'Age Factors'!K19,0)</f>
        <v>2638</v>
      </c>
      <c r="L19" s="50">
        <f>ROUND(+L$4/+'Age Factors'!L19,0)</f>
        <v>3310</v>
      </c>
      <c r="M19" s="50">
        <f>ROUND(+M$4/+'Age Factors'!M19,0)</f>
        <v>3504</v>
      </c>
      <c r="N19" s="50">
        <f>ROUND(+N$4/+'Age Factors'!N19,0)</f>
        <v>4190</v>
      </c>
      <c r="O19" s="50">
        <f>ROUND(+O$4/+'Age Factors'!O19,0)</f>
        <v>5100</v>
      </c>
      <c r="P19" s="50">
        <f>ROUND(+P$4/+'Age Factors'!P19,0)</f>
        <v>7474</v>
      </c>
      <c r="Q19" s="50">
        <f>ROUND(+Q$4/+'Age Factors'!Q19,0)</f>
        <v>9112</v>
      </c>
      <c r="R19" s="50">
        <f>ROUND(+R$4/+'Age Factors'!R19,0)</f>
        <v>16612</v>
      </c>
      <c r="S19" s="50">
        <f>ROUND(+S$4/+'Age Factors'!S19,0)</f>
        <v>22066</v>
      </c>
      <c r="T19" s="50">
        <f>ROUND(+T$4/+'Age Factors'!T19,0)</f>
        <v>37500</v>
      </c>
      <c r="U19" s="50">
        <f>ROUND(+U$4/+'Age Factors'!U19,0)</f>
        <v>41105</v>
      </c>
      <c r="V19" s="50">
        <f>ROUND(+V$4/+'Age Factors'!V19,0)</f>
        <v>54545</v>
      </c>
      <c r="W19" s="47"/>
    </row>
    <row r="20" spans="1:23">
      <c r="A20" s="49">
        <v>19</v>
      </c>
      <c r="B20" s="50">
        <f>ROUND(+B$4/+'Age Factors'!B20,0)</f>
        <v>232</v>
      </c>
      <c r="C20" s="50">
        <f>ROUND(+C$4/+'Age Factors'!C20,0)</f>
        <v>769</v>
      </c>
      <c r="D20" s="50">
        <f>ROUND(+D$4/+'Age Factors'!D20,0)</f>
        <v>932</v>
      </c>
      <c r="E20" s="50">
        <f>ROUND(+E$4/+'Age Factors'!E20,0)</f>
        <v>1004</v>
      </c>
      <c r="F20" s="50">
        <f>ROUND(+F$4/+'Age Factors'!F20,0)</f>
        <v>1263</v>
      </c>
      <c r="G20" s="50">
        <f>ROUND(+G$4/+'Age Factors'!G20,0)</f>
        <v>1273</v>
      </c>
      <c r="H20" s="50">
        <f>ROUND(+H$4/+'Age Factors'!H20,0)</f>
        <v>1600</v>
      </c>
      <c r="I20" s="50">
        <f>ROUND(+I$4/+'Age Factors'!I20,0)</f>
        <v>1932</v>
      </c>
      <c r="J20" s="50">
        <f>ROUND(+J$4/+'Age Factors'!J20,0)</f>
        <v>2432</v>
      </c>
      <c r="K20" s="50">
        <f>ROUND(+K$4/+'Age Factors'!K20,0)</f>
        <v>2613</v>
      </c>
      <c r="L20" s="50">
        <f>ROUND(+L$4/+'Age Factors'!L20,0)</f>
        <v>3277</v>
      </c>
      <c r="M20" s="50">
        <f>ROUND(+M$4/+'Age Factors'!M20,0)</f>
        <v>3468</v>
      </c>
      <c r="N20" s="50">
        <f>ROUND(+N$4/+'Age Factors'!N20,0)</f>
        <v>4144</v>
      </c>
      <c r="O20" s="50">
        <f>ROUND(+O$4/+'Age Factors'!O20,0)</f>
        <v>5038</v>
      </c>
      <c r="P20" s="50">
        <f>ROUND(+P$4/+'Age Factors'!P20,0)</f>
        <v>7368</v>
      </c>
      <c r="Q20" s="50">
        <f>ROUND(+Q$4/+'Age Factors'!Q20,0)</f>
        <v>8982</v>
      </c>
      <c r="R20" s="50">
        <f>ROUND(+R$4/+'Age Factors'!R20,0)</f>
        <v>16375</v>
      </c>
      <c r="S20" s="50">
        <f>ROUND(+S$4/+'Age Factors'!S20,0)</f>
        <v>21752</v>
      </c>
      <c r="T20" s="50">
        <f>ROUND(+T$4/+'Age Factors'!T20,0)</f>
        <v>36965</v>
      </c>
      <c r="U20" s="50">
        <f>ROUND(+U$4/+'Age Factors'!U20,0)</f>
        <v>40519</v>
      </c>
      <c r="V20" s="50">
        <f>ROUND(+V$4/+'Age Factors'!V20,0)</f>
        <v>53768</v>
      </c>
      <c r="W20" s="47"/>
    </row>
    <row r="21" spans="1:23">
      <c r="A21" s="54">
        <v>20</v>
      </c>
      <c r="B21" s="57">
        <f>ROUND(+B$4/+'Age Factors'!B21,0)</f>
        <v>232</v>
      </c>
      <c r="C21" s="57">
        <f>ROUND(+C$4/+'Age Factors'!C21,0)</f>
        <v>769</v>
      </c>
      <c r="D21" s="57">
        <f>ROUND(+D$4/+'Age Factors'!D21,0)</f>
        <v>931</v>
      </c>
      <c r="E21" s="57">
        <f>ROUND(+E$4/+'Age Factors'!E21,0)</f>
        <v>1001</v>
      </c>
      <c r="F21" s="57">
        <f>ROUND(+F$4/+'Age Factors'!F21,0)</f>
        <v>1258</v>
      </c>
      <c r="G21" s="57">
        <f>ROUND(+G$4/+'Age Factors'!G21,0)</f>
        <v>1267</v>
      </c>
      <c r="H21" s="57">
        <f>ROUND(+H$4/+'Age Factors'!H21,0)</f>
        <v>1589</v>
      </c>
      <c r="I21" s="57">
        <f>ROUND(+I$4/+'Age Factors'!I21,0)</f>
        <v>1920</v>
      </c>
      <c r="J21" s="57">
        <f>ROUND(+J$4/+'Age Factors'!J21,0)</f>
        <v>2419</v>
      </c>
      <c r="K21" s="57">
        <f>ROUND(+K$4/+'Age Factors'!K21,0)</f>
        <v>2598</v>
      </c>
      <c r="L21" s="57">
        <f>ROUND(+L$4/+'Age Factors'!L21,0)</f>
        <v>3261</v>
      </c>
      <c r="M21" s="57">
        <f>ROUND(+M$4/+'Age Factors'!M21,0)</f>
        <v>3451</v>
      </c>
      <c r="N21" s="57">
        <f>ROUND(+N$4/+'Age Factors'!N21,0)</f>
        <v>4118</v>
      </c>
      <c r="O21" s="57">
        <f>ROUND(+O$4/+'Age Factors'!O21,0)</f>
        <v>5001</v>
      </c>
      <c r="P21" s="57">
        <f>ROUND(+P$4/+'Age Factors'!P21,0)</f>
        <v>7293</v>
      </c>
      <c r="Q21" s="57">
        <f>ROUND(+Q$4/+'Age Factors'!Q21,0)</f>
        <v>8891</v>
      </c>
      <c r="R21" s="57">
        <f>ROUND(+R$4/+'Age Factors'!R21,0)</f>
        <v>16210</v>
      </c>
      <c r="S21" s="57">
        <f>ROUND(+S$4/+'Age Factors'!S21,0)</f>
        <v>21532</v>
      </c>
      <c r="T21" s="57">
        <f>ROUND(+T$4/+'Age Factors'!T21,0)</f>
        <v>36593</v>
      </c>
      <c r="U21" s="57">
        <f>ROUND(+U$4/+'Age Factors'!U21,0)</f>
        <v>40111</v>
      </c>
      <c r="V21" s="57">
        <f>ROUND(+V$4/+'Age Factors'!V21,0)</f>
        <v>53226</v>
      </c>
      <c r="W21" s="47"/>
    </row>
    <row r="22" spans="1:23">
      <c r="A22" s="49">
        <v>21</v>
      </c>
      <c r="B22" s="50">
        <f>ROUND(+B$4/+'Age Factors'!B22,0)</f>
        <v>232</v>
      </c>
      <c r="C22" s="50">
        <f>ROUND(+C$4/+'Age Factors'!C22,0)</f>
        <v>769</v>
      </c>
      <c r="D22" s="50">
        <f>ROUND(+D$4/+'Age Factors'!D22,0)</f>
        <v>930</v>
      </c>
      <c r="E22" s="50">
        <f>ROUND(+E$4/+'Age Factors'!E22,0)</f>
        <v>1000</v>
      </c>
      <c r="F22" s="50">
        <f>ROUND(+F$4/+'Age Factors'!F22,0)</f>
        <v>1255</v>
      </c>
      <c r="G22" s="50">
        <f>ROUND(+G$4/+'Age Factors'!G22,0)</f>
        <v>1264</v>
      </c>
      <c r="H22" s="50">
        <f>ROUND(+H$4/+'Age Factors'!H22,0)</f>
        <v>1584</v>
      </c>
      <c r="I22" s="50">
        <f>ROUND(+I$4/+'Age Factors'!I22,0)</f>
        <v>1915</v>
      </c>
      <c r="J22" s="50">
        <f>ROUND(+J$4/+'Age Factors'!J22,0)</f>
        <v>2415</v>
      </c>
      <c r="K22" s="50">
        <f>ROUND(+K$4/+'Age Factors'!K22,0)</f>
        <v>2595</v>
      </c>
      <c r="L22" s="50">
        <f>ROUND(+L$4/+'Age Factors'!L22,0)</f>
        <v>3260</v>
      </c>
      <c r="M22" s="50">
        <f>ROUND(+M$4/+'Age Factors'!M22,0)</f>
        <v>3451</v>
      </c>
      <c r="N22" s="50">
        <f>ROUND(+N$4/+'Age Factors'!N22,0)</f>
        <v>4112</v>
      </c>
      <c r="O22" s="50">
        <f>ROUND(+O$4/+'Age Factors'!O22,0)</f>
        <v>4985</v>
      </c>
      <c r="P22" s="50">
        <f>ROUND(+P$4/+'Age Factors'!P22,0)</f>
        <v>7249</v>
      </c>
      <c r="Q22" s="50">
        <f>ROUND(+Q$4/+'Age Factors'!Q22,0)</f>
        <v>8838</v>
      </c>
      <c r="R22" s="50">
        <f>ROUND(+R$4/+'Age Factors'!R22,0)</f>
        <v>16112</v>
      </c>
      <c r="S22" s="50">
        <f>ROUND(+S$4/+'Age Factors'!S22,0)</f>
        <v>21403</v>
      </c>
      <c r="T22" s="50">
        <f>ROUND(+T$4/+'Age Factors'!T22,0)</f>
        <v>36373</v>
      </c>
      <c r="U22" s="50">
        <f>ROUND(+U$4/+'Age Factors'!U22,0)</f>
        <v>39870</v>
      </c>
      <c r="V22" s="50">
        <f>ROUND(+V$4/+'Age Factors'!V22,0)</f>
        <v>52906</v>
      </c>
      <c r="W22" s="47"/>
    </row>
    <row r="23" spans="1:23">
      <c r="A23" s="49">
        <v>22</v>
      </c>
      <c r="B23" s="50">
        <f>ROUND(+B$4/+'Age Factors'!B23,0)</f>
        <v>232</v>
      </c>
      <c r="C23" s="50">
        <f>ROUND(+C$4/+'Age Factors'!C23,0)</f>
        <v>769</v>
      </c>
      <c r="D23" s="50">
        <f>ROUND(+D$4/+'Age Factors'!D23,0)</f>
        <v>930</v>
      </c>
      <c r="E23" s="50">
        <f>ROUND(+E$4/+'Age Factors'!E23,0)</f>
        <v>1000</v>
      </c>
      <c r="F23" s="50">
        <f>ROUND(+F$4/+'Age Factors'!F23,0)</f>
        <v>1255</v>
      </c>
      <c r="G23" s="50">
        <f>ROUND(+G$4/+'Age Factors'!G23,0)</f>
        <v>1264</v>
      </c>
      <c r="H23" s="50">
        <f>ROUND(+H$4/+'Age Factors'!H23,0)</f>
        <v>1584</v>
      </c>
      <c r="I23" s="50">
        <f>ROUND(+I$4/+'Age Factors'!I23,0)</f>
        <v>1915</v>
      </c>
      <c r="J23" s="50">
        <f>ROUND(+J$4/+'Age Factors'!J23,0)</f>
        <v>2415</v>
      </c>
      <c r="K23" s="50">
        <f>ROUND(+K$4/+'Age Factors'!K23,0)</f>
        <v>2595</v>
      </c>
      <c r="L23" s="50">
        <f>ROUND(+L$4/+'Age Factors'!L23,0)</f>
        <v>3260</v>
      </c>
      <c r="M23" s="50">
        <f>ROUND(+M$4/+'Age Factors'!M23,0)</f>
        <v>3451</v>
      </c>
      <c r="N23" s="50">
        <f>ROUND(+N$4/+'Age Factors'!N23,0)</f>
        <v>4110</v>
      </c>
      <c r="O23" s="50">
        <f>ROUND(+O$4/+'Age Factors'!O23,0)</f>
        <v>4980</v>
      </c>
      <c r="P23" s="50">
        <f>ROUND(+P$4/+'Age Factors'!P23,0)</f>
        <v>7235</v>
      </c>
      <c r="Q23" s="50">
        <f>ROUND(+Q$4/+'Age Factors'!Q23,0)</f>
        <v>8820</v>
      </c>
      <c r="R23" s="50">
        <f>ROUND(+R$4/+'Age Factors'!R23,0)</f>
        <v>16080</v>
      </c>
      <c r="S23" s="50">
        <f>ROUND(+S$4/+'Age Factors'!S23,0)</f>
        <v>21360</v>
      </c>
      <c r="T23" s="50">
        <f>ROUND(+T$4/+'Age Factors'!T23,0)</f>
        <v>36300</v>
      </c>
      <c r="U23" s="50">
        <f>ROUND(+U$4/+'Age Factors'!U23,0)</f>
        <v>39790</v>
      </c>
      <c r="V23" s="50">
        <f>ROUND(+V$4/+'Age Factors'!V23,0)</f>
        <v>52800</v>
      </c>
      <c r="W23" s="47"/>
    </row>
    <row r="24" spans="1:23">
      <c r="A24" s="49">
        <v>23</v>
      </c>
      <c r="B24" s="50">
        <f>ROUND(+B$4/+'Age Factors'!B24,0)</f>
        <v>232</v>
      </c>
      <c r="C24" s="50">
        <f>ROUND(+C$4/+'Age Factors'!C24,0)</f>
        <v>769</v>
      </c>
      <c r="D24" s="50">
        <f>ROUND(+D$4/+'Age Factors'!D24,0)</f>
        <v>930</v>
      </c>
      <c r="E24" s="50">
        <f>ROUND(+E$4/+'Age Factors'!E24,0)</f>
        <v>1000</v>
      </c>
      <c r="F24" s="50">
        <f>ROUND(+F$4/+'Age Factors'!F24,0)</f>
        <v>1255</v>
      </c>
      <c r="G24" s="50">
        <f>ROUND(+G$4/+'Age Factors'!G24,0)</f>
        <v>1264</v>
      </c>
      <c r="H24" s="50">
        <f>ROUND(+H$4/+'Age Factors'!H24,0)</f>
        <v>1584</v>
      </c>
      <c r="I24" s="50">
        <f>ROUND(+I$4/+'Age Factors'!I24,0)</f>
        <v>1915</v>
      </c>
      <c r="J24" s="50">
        <f>ROUND(+J$4/+'Age Factors'!J24,0)</f>
        <v>2415</v>
      </c>
      <c r="K24" s="50">
        <f>ROUND(+K$4/+'Age Factors'!K24,0)</f>
        <v>2595</v>
      </c>
      <c r="L24" s="50">
        <f>ROUND(+L$4/+'Age Factors'!L24,0)</f>
        <v>3260</v>
      </c>
      <c r="M24" s="50">
        <f>ROUND(+M$4/+'Age Factors'!M24,0)</f>
        <v>3451</v>
      </c>
      <c r="N24" s="50">
        <f>ROUND(+N$4/+'Age Factors'!N24,0)</f>
        <v>4110</v>
      </c>
      <c r="O24" s="50">
        <f>ROUND(+O$4/+'Age Factors'!O24,0)</f>
        <v>4980</v>
      </c>
      <c r="P24" s="50">
        <f>ROUND(+P$4/+'Age Factors'!P24,0)</f>
        <v>7235</v>
      </c>
      <c r="Q24" s="50">
        <f>ROUND(+Q$4/+'Age Factors'!Q24,0)</f>
        <v>8820</v>
      </c>
      <c r="R24" s="50">
        <f>ROUND(+R$4/+'Age Factors'!R24,0)</f>
        <v>16080</v>
      </c>
      <c r="S24" s="50">
        <f>ROUND(+S$4/+'Age Factors'!S24,0)</f>
        <v>21360</v>
      </c>
      <c r="T24" s="50">
        <f>ROUND(+T$4/+'Age Factors'!T24,0)</f>
        <v>36300</v>
      </c>
      <c r="U24" s="50">
        <f>ROUND(+U$4/+'Age Factors'!U24,0)</f>
        <v>39790</v>
      </c>
      <c r="V24" s="50">
        <f>ROUND(+V$4/+'Age Factors'!V24,0)</f>
        <v>52800</v>
      </c>
      <c r="W24" s="47"/>
    </row>
    <row r="25" spans="1:23">
      <c r="A25" s="49">
        <v>24</v>
      </c>
      <c r="B25" s="50">
        <f>ROUND(+B$4/+'Age Factors'!B25,0)</f>
        <v>232</v>
      </c>
      <c r="C25" s="50">
        <f>ROUND(+C$4/+'Age Factors'!C25,0)</f>
        <v>769</v>
      </c>
      <c r="D25" s="50">
        <f>ROUND(+D$4/+'Age Factors'!D25,0)</f>
        <v>930</v>
      </c>
      <c r="E25" s="50">
        <f>ROUND(+E$4/+'Age Factors'!E25,0)</f>
        <v>1000</v>
      </c>
      <c r="F25" s="50">
        <f>ROUND(+F$4/+'Age Factors'!F25,0)</f>
        <v>1255</v>
      </c>
      <c r="G25" s="50">
        <f>ROUND(+G$4/+'Age Factors'!G25,0)</f>
        <v>1264</v>
      </c>
      <c r="H25" s="50">
        <f>ROUND(+H$4/+'Age Factors'!H25,0)</f>
        <v>1584</v>
      </c>
      <c r="I25" s="50">
        <f>ROUND(+I$4/+'Age Factors'!I25,0)</f>
        <v>1915</v>
      </c>
      <c r="J25" s="50">
        <f>ROUND(+J$4/+'Age Factors'!J25,0)</f>
        <v>2415</v>
      </c>
      <c r="K25" s="50">
        <f>ROUND(+K$4/+'Age Factors'!K25,0)</f>
        <v>2595</v>
      </c>
      <c r="L25" s="50">
        <f>ROUND(+L$4/+'Age Factors'!L25,0)</f>
        <v>3260</v>
      </c>
      <c r="M25" s="50">
        <f>ROUND(+M$4/+'Age Factors'!M25,0)</f>
        <v>3451</v>
      </c>
      <c r="N25" s="50">
        <f>ROUND(+N$4/+'Age Factors'!N25,0)</f>
        <v>4110</v>
      </c>
      <c r="O25" s="50">
        <f>ROUND(+O$4/+'Age Factors'!O25,0)</f>
        <v>4980</v>
      </c>
      <c r="P25" s="50">
        <f>ROUND(+P$4/+'Age Factors'!P25,0)</f>
        <v>7235</v>
      </c>
      <c r="Q25" s="50">
        <f>ROUND(+Q$4/+'Age Factors'!Q25,0)</f>
        <v>8820</v>
      </c>
      <c r="R25" s="50">
        <f>ROUND(+R$4/+'Age Factors'!R25,0)</f>
        <v>16080</v>
      </c>
      <c r="S25" s="50">
        <f>ROUND(+S$4/+'Age Factors'!S25,0)</f>
        <v>21360</v>
      </c>
      <c r="T25" s="50">
        <f>ROUND(+T$4/+'Age Factors'!T25,0)</f>
        <v>36300</v>
      </c>
      <c r="U25" s="50">
        <f>ROUND(+U$4/+'Age Factors'!U25,0)</f>
        <v>39790</v>
      </c>
      <c r="V25" s="50">
        <f>ROUND(+V$4/+'Age Factors'!V25,0)</f>
        <v>52800</v>
      </c>
      <c r="W25" s="47"/>
    </row>
    <row r="26" spans="1:23">
      <c r="A26" s="54">
        <v>25</v>
      </c>
      <c r="B26" s="57">
        <f>ROUND(+B$4/+'Age Factors'!B26,0)</f>
        <v>232</v>
      </c>
      <c r="C26" s="57">
        <f>ROUND(+C$4/+'Age Factors'!C26,0)</f>
        <v>769</v>
      </c>
      <c r="D26" s="57">
        <f>ROUND(+D$4/+'Age Factors'!D26,0)</f>
        <v>930</v>
      </c>
      <c r="E26" s="57">
        <f>ROUND(+E$4/+'Age Factors'!E26,0)</f>
        <v>1000</v>
      </c>
      <c r="F26" s="57">
        <f>ROUND(+F$4/+'Age Factors'!F26,0)</f>
        <v>1255</v>
      </c>
      <c r="G26" s="57">
        <f>ROUND(+G$4/+'Age Factors'!G26,0)</f>
        <v>1264</v>
      </c>
      <c r="H26" s="57">
        <f>ROUND(+H$4/+'Age Factors'!H26,0)</f>
        <v>1584</v>
      </c>
      <c r="I26" s="57">
        <f>ROUND(+I$4/+'Age Factors'!I26,0)</f>
        <v>1915</v>
      </c>
      <c r="J26" s="57">
        <f>ROUND(+J$4/+'Age Factors'!J26,0)</f>
        <v>2415</v>
      </c>
      <c r="K26" s="57">
        <f>ROUND(+K$4/+'Age Factors'!K26,0)</f>
        <v>2595</v>
      </c>
      <c r="L26" s="57">
        <f>ROUND(+L$4/+'Age Factors'!L26,0)</f>
        <v>3260</v>
      </c>
      <c r="M26" s="57">
        <f>ROUND(+M$4/+'Age Factors'!M26,0)</f>
        <v>3451</v>
      </c>
      <c r="N26" s="57">
        <f>ROUND(+N$4/+'Age Factors'!N26,0)</f>
        <v>4110</v>
      </c>
      <c r="O26" s="57">
        <f>ROUND(+O$4/+'Age Factors'!O26,0)</f>
        <v>4980</v>
      </c>
      <c r="P26" s="57">
        <f>ROUND(+P$4/+'Age Factors'!P26,0)</f>
        <v>7235</v>
      </c>
      <c r="Q26" s="57">
        <f>ROUND(+Q$4/+'Age Factors'!Q26,0)</f>
        <v>8820</v>
      </c>
      <c r="R26" s="57">
        <f>ROUND(+R$4/+'Age Factors'!R26,0)</f>
        <v>16080</v>
      </c>
      <c r="S26" s="57">
        <f>ROUND(+S$4/+'Age Factors'!S26,0)</f>
        <v>21360</v>
      </c>
      <c r="T26" s="57">
        <f>ROUND(+T$4/+'Age Factors'!T26,0)</f>
        <v>36300</v>
      </c>
      <c r="U26" s="57">
        <f>ROUND(+U$4/+'Age Factors'!U26,0)</f>
        <v>39790</v>
      </c>
      <c r="V26" s="57">
        <f>ROUND(+V$4/+'Age Factors'!V26,0)</f>
        <v>52800</v>
      </c>
      <c r="W26" s="47"/>
    </row>
    <row r="27" spans="1:23">
      <c r="A27" s="49">
        <v>26</v>
      </c>
      <c r="B27" s="50">
        <f>ROUND(+B$4/+'Age Factors'!B27,0)</f>
        <v>232</v>
      </c>
      <c r="C27" s="50">
        <f>ROUND(+C$4/+'Age Factors'!C27,0)</f>
        <v>769</v>
      </c>
      <c r="D27" s="50">
        <f>ROUND(+D$4/+'Age Factors'!D27,0)</f>
        <v>930</v>
      </c>
      <c r="E27" s="50">
        <f>ROUND(+E$4/+'Age Factors'!E27,0)</f>
        <v>1000</v>
      </c>
      <c r="F27" s="50">
        <f>ROUND(+F$4/+'Age Factors'!F27,0)</f>
        <v>1255</v>
      </c>
      <c r="G27" s="50">
        <f>ROUND(+G$4/+'Age Factors'!G27,0)</f>
        <v>1264</v>
      </c>
      <c r="H27" s="50">
        <f>ROUND(+H$4/+'Age Factors'!H27,0)</f>
        <v>1584</v>
      </c>
      <c r="I27" s="50">
        <f>ROUND(+I$4/+'Age Factors'!I27,0)</f>
        <v>1915</v>
      </c>
      <c r="J27" s="50">
        <f>ROUND(+J$4/+'Age Factors'!J27,0)</f>
        <v>2415</v>
      </c>
      <c r="K27" s="50">
        <f>ROUND(+K$4/+'Age Factors'!K27,0)</f>
        <v>2595</v>
      </c>
      <c r="L27" s="50">
        <f>ROUND(+L$4/+'Age Factors'!L27,0)</f>
        <v>3260</v>
      </c>
      <c r="M27" s="50">
        <f>ROUND(+M$4/+'Age Factors'!M27,0)</f>
        <v>3451</v>
      </c>
      <c r="N27" s="50">
        <f>ROUND(+N$4/+'Age Factors'!N27,0)</f>
        <v>4110</v>
      </c>
      <c r="O27" s="50">
        <f>ROUND(+O$4/+'Age Factors'!O27,0)</f>
        <v>4980</v>
      </c>
      <c r="P27" s="50">
        <f>ROUND(+P$4/+'Age Factors'!P27,0)</f>
        <v>7235</v>
      </c>
      <c r="Q27" s="50">
        <f>ROUND(+Q$4/+'Age Factors'!Q27,0)</f>
        <v>8820</v>
      </c>
      <c r="R27" s="50">
        <f>ROUND(+R$4/+'Age Factors'!R27,0)</f>
        <v>16080</v>
      </c>
      <c r="S27" s="50">
        <f>ROUND(+S$4/+'Age Factors'!S27,0)</f>
        <v>21360</v>
      </c>
      <c r="T27" s="50">
        <f>ROUND(+T$4/+'Age Factors'!T27,0)</f>
        <v>36300</v>
      </c>
      <c r="U27" s="50">
        <f>ROUND(+U$4/+'Age Factors'!U27,0)</f>
        <v>39790</v>
      </c>
      <c r="V27" s="50">
        <f>ROUND(+V$4/+'Age Factors'!V27,0)</f>
        <v>52800</v>
      </c>
      <c r="W27" s="47"/>
    </row>
    <row r="28" spans="1:23">
      <c r="A28" s="49">
        <v>27</v>
      </c>
      <c r="B28" s="50">
        <f>ROUND(+B$4/+'Age Factors'!B28,0)</f>
        <v>232</v>
      </c>
      <c r="C28" s="50">
        <f>ROUND(+C$4/+'Age Factors'!C28,0)</f>
        <v>769</v>
      </c>
      <c r="D28" s="50">
        <f>ROUND(+D$4/+'Age Factors'!D28,0)</f>
        <v>930</v>
      </c>
      <c r="E28" s="50">
        <f>ROUND(+E$4/+'Age Factors'!E28,0)</f>
        <v>1000</v>
      </c>
      <c r="F28" s="50">
        <f>ROUND(+F$4/+'Age Factors'!F28,0)</f>
        <v>1255</v>
      </c>
      <c r="G28" s="50">
        <f>ROUND(+G$4/+'Age Factors'!G28,0)</f>
        <v>1264</v>
      </c>
      <c r="H28" s="50">
        <f>ROUND(+H$4/+'Age Factors'!H28,0)</f>
        <v>1584</v>
      </c>
      <c r="I28" s="50">
        <f>ROUND(+I$4/+'Age Factors'!I28,0)</f>
        <v>1915</v>
      </c>
      <c r="J28" s="50">
        <f>ROUND(+J$4/+'Age Factors'!J28,0)</f>
        <v>2415</v>
      </c>
      <c r="K28" s="50">
        <f>ROUND(+K$4/+'Age Factors'!K28,0)</f>
        <v>2595</v>
      </c>
      <c r="L28" s="50">
        <f>ROUND(+L$4/+'Age Factors'!L28,0)</f>
        <v>3260</v>
      </c>
      <c r="M28" s="50">
        <f>ROUND(+M$4/+'Age Factors'!M28,0)</f>
        <v>3451</v>
      </c>
      <c r="N28" s="50">
        <f>ROUND(+N$4/+'Age Factors'!N28,0)</f>
        <v>4110</v>
      </c>
      <c r="O28" s="50">
        <f>ROUND(+O$4/+'Age Factors'!O28,0)</f>
        <v>4980</v>
      </c>
      <c r="P28" s="50">
        <f>ROUND(+P$4/+'Age Factors'!P28,0)</f>
        <v>7235</v>
      </c>
      <c r="Q28" s="50">
        <f>ROUND(+Q$4/+'Age Factors'!Q28,0)</f>
        <v>8820</v>
      </c>
      <c r="R28" s="50">
        <f>ROUND(+R$4/+'Age Factors'!R28,0)</f>
        <v>16080</v>
      </c>
      <c r="S28" s="50">
        <f>ROUND(+S$4/+'Age Factors'!S28,0)</f>
        <v>21360</v>
      </c>
      <c r="T28" s="50">
        <f>ROUND(+T$4/+'Age Factors'!T28,0)</f>
        <v>36300</v>
      </c>
      <c r="U28" s="50">
        <f>ROUND(+U$4/+'Age Factors'!U28,0)</f>
        <v>39790</v>
      </c>
      <c r="V28" s="50">
        <f>ROUND(+V$4/+'Age Factors'!V28,0)</f>
        <v>52800</v>
      </c>
      <c r="W28" s="47"/>
    </row>
    <row r="29" spans="1:23">
      <c r="A29" s="49">
        <v>28</v>
      </c>
      <c r="B29" s="50">
        <f>ROUND(+B$4/+'Age Factors'!B29,0)</f>
        <v>232</v>
      </c>
      <c r="C29" s="50">
        <f>ROUND(+C$4/+'Age Factors'!C29,0)</f>
        <v>769</v>
      </c>
      <c r="D29" s="50">
        <f>ROUND(+D$4/+'Age Factors'!D29,0)</f>
        <v>930</v>
      </c>
      <c r="E29" s="50">
        <f>ROUND(+E$4/+'Age Factors'!E29,0)</f>
        <v>1000</v>
      </c>
      <c r="F29" s="50">
        <f>ROUND(+F$4/+'Age Factors'!F29,0)</f>
        <v>1255</v>
      </c>
      <c r="G29" s="50">
        <f>ROUND(+G$4/+'Age Factors'!G29,0)</f>
        <v>1264</v>
      </c>
      <c r="H29" s="50">
        <f>ROUND(+H$4/+'Age Factors'!H29,0)</f>
        <v>1584</v>
      </c>
      <c r="I29" s="50">
        <f>ROUND(+I$4/+'Age Factors'!I29,0)</f>
        <v>1915</v>
      </c>
      <c r="J29" s="50">
        <f>ROUND(+J$4/+'Age Factors'!J29,0)</f>
        <v>2415</v>
      </c>
      <c r="K29" s="50">
        <f>ROUND(+K$4/+'Age Factors'!K29,0)</f>
        <v>2595</v>
      </c>
      <c r="L29" s="50">
        <f>ROUND(+L$4/+'Age Factors'!L29,0)</f>
        <v>3260</v>
      </c>
      <c r="M29" s="50">
        <f>ROUND(+M$4/+'Age Factors'!M29,0)</f>
        <v>3451</v>
      </c>
      <c r="N29" s="50">
        <f>ROUND(+N$4/+'Age Factors'!N29,0)</f>
        <v>4110</v>
      </c>
      <c r="O29" s="50">
        <f>ROUND(+O$4/+'Age Factors'!O29,0)</f>
        <v>4980</v>
      </c>
      <c r="P29" s="50">
        <f>ROUND(+P$4/+'Age Factors'!P29,0)</f>
        <v>7235</v>
      </c>
      <c r="Q29" s="50">
        <f>ROUND(+Q$4/+'Age Factors'!Q29,0)</f>
        <v>8820</v>
      </c>
      <c r="R29" s="50">
        <f>ROUND(+R$4/+'Age Factors'!R29,0)</f>
        <v>16080</v>
      </c>
      <c r="S29" s="50">
        <f>ROUND(+S$4/+'Age Factors'!S29,0)</f>
        <v>21360</v>
      </c>
      <c r="T29" s="50">
        <f>ROUND(+T$4/+'Age Factors'!T29,0)</f>
        <v>36300</v>
      </c>
      <c r="U29" s="50">
        <f>ROUND(+U$4/+'Age Factors'!U29,0)</f>
        <v>39790</v>
      </c>
      <c r="V29" s="50">
        <f>ROUND(+V$4/+'Age Factors'!V29,0)</f>
        <v>52800</v>
      </c>
      <c r="W29" s="47"/>
    </row>
    <row r="30" spans="1:23">
      <c r="A30" s="49">
        <v>29</v>
      </c>
      <c r="B30" s="50">
        <f>ROUND(+B$4/+'Age Factors'!B30,0)</f>
        <v>232</v>
      </c>
      <c r="C30" s="50">
        <f>ROUND(+C$4/+'Age Factors'!C30,0)</f>
        <v>769</v>
      </c>
      <c r="D30" s="50">
        <f>ROUND(+D$4/+'Age Factors'!D30,0)</f>
        <v>930</v>
      </c>
      <c r="E30" s="50">
        <f>ROUND(+E$4/+'Age Factors'!E30,0)</f>
        <v>1000</v>
      </c>
      <c r="F30" s="50">
        <f>ROUND(+F$4/+'Age Factors'!F30,0)</f>
        <v>1256</v>
      </c>
      <c r="G30" s="50">
        <f>ROUND(+G$4/+'Age Factors'!G30,0)</f>
        <v>1265</v>
      </c>
      <c r="H30" s="50">
        <f>ROUND(+H$4/+'Age Factors'!H30,0)</f>
        <v>1586</v>
      </c>
      <c r="I30" s="50">
        <f>ROUND(+I$4/+'Age Factors'!I30,0)</f>
        <v>1917</v>
      </c>
      <c r="J30" s="50">
        <f>ROUND(+J$4/+'Age Factors'!J30,0)</f>
        <v>2416</v>
      </c>
      <c r="K30" s="50">
        <f>ROUND(+K$4/+'Age Factors'!K30,0)</f>
        <v>2596</v>
      </c>
      <c r="L30" s="50">
        <f>ROUND(+L$4/+'Age Factors'!L30,0)</f>
        <v>3260</v>
      </c>
      <c r="M30" s="50">
        <f>ROUND(+M$4/+'Age Factors'!M30,0)</f>
        <v>3451</v>
      </c>
      <c r="N30" s="50">
        <f>ROUND(+N$4/+'Age Factors'!N30,0)</f>
        <v>4110</v>
      </c>
      <c r="O30" s="50">
        <f>ROUND(+O$4/+'Age Factors'!O30,0)</f>
        <v>4980</v>
      </c>
      <c r="P30" s="50">
        <f>ROUND(+P$4/+'Age Factors'!P30,0)</f>
        <v>7235</v>
      </c>
      <c r="Q30" s="50">
        <f>ROUND(+Q$4/+'Age Factors'!Q30,0)</f>
        <v>8820</v>
      </c>
      <c r="R30" s="50">
        <f>ROUND(+R$4/+'Age Factors'!R30,0)</f>
        <v>16080</v>
      </c>
      <c r="S30" s="50">
        <f>ROUND(+S$4/+'Age Factors'!S30,0)</f>
        <v>21360</v>
      </c>
      <c r="T30" s="50">
        <f>ROUND(+T$4/+'Age Factors'!T30,0)</f>
        <v>36300</v>
      </c>
      <c r="U30" s="50">
        <f>ROUND(+U$4/+'Age Factors'!U30,0)</f>
        <v>39790</v>
      </c>
      <c r="V30" s="50">
        <f>ROUND(+V$4/+'Age Factors'!V30,0)</f>
        <v>52800</v>
      </c>
      <c r="W30" s="47"/>
    </row>
    <row r="31" spans="1:23">
      <c r="A31" s="54">
        <v>30</v>
      </c>
      <c r="B31" s="57">
        <f>ROUND(+B$4/+'Age Factors'!B31,0)</f>
        <v>232</v>
      </c>
      <c r="C31" s="57">
        <f>ROUND(+C$4/+'Age Factors'!C31,0)</f>
        <v>769</v>
      </c>
      <c r="D31" s="57">
        <f>ROUND(+D$4/+'Age Factors'!D31,0)</f>
        <v>931</v>
      </c>
      <c r="E31" s="57">
        <f>ROUND(+E$4/+'Age Factors'!E31,0)</f>
        <v>1001</v>
      </c>
      <c r="F31" s="57">
        <f>ROUND(+F$4/+'Age Factors'!F31,0)</f>
        <v>1257</v>
      </c>
      <c r="G31" s="57">
        <f>ROUND(+G$4/+'Age Factors'!G31,0)</f>
        <v>1266</v>
      </c>
      <c r="H31" s="57">
        <f>ROUND(+H$4/+'Age Factors'!H31,0)</f>
        <v>1587</v>
      </c>
      <c r="I31" s="57">
        <f>ROUND(+I$4/+'Age Factors'!I31,0)</f>
        <v>1918</v>
      </c>
      <c r="J31" s="57">
        <f>ROUND(+J$4/+'Age Factors'!J31,0)</f>
        <v>2417</v>
      </c>
      <c r="K31" s="57">
        <f>ROUND(+K$4/+'Age Factors'!K31,0)</f>
        <v>2597</v>
      </c>
      <c r="L31" s="57">
        <f>ROUND(+L$4/+'Age Factors'!L31,0)</f>
        <v>3261</v>
      </c>
      <c r="M31" s="57">
        <f>ROUND(+M$4/+'Age Factors'!M31,0)</f>
        <v>3451</v>
      </c>
      <c r="N31" s="57">
        <f>ROUND(+N$4/+'Age Factors'!N31,0)</f>
        <v>4110</v>
      </c>
      <c r="O31" s="57">
        <f>ROUND(+O$4/+'Age Factors'!O31,0)</f>
        <v>4980</v>
      </c>
      <c r="P31" s="57">
        <f>ROUND(+P$4/+'Age Factors'!P31,0)</f>
        <v>7235</v>
      </c>
      <c r="Q31" s="57">
        <f>ROUND(+Q$4/+'Age Factors'!Q31,0)</f>
        <v>8820</v>
      </c>
      <c r="R31" s="57">
        <f>ROUND(+R$4/+'Age Factors'!R31,0)</f>
        <v>16080</v>
      </c>
      <c r="S31" s="57">
        <f>ROUND(+S$4/+'Age Factors'!S31,0)</f>
        <v>21360</v>
      </c>
      <c r="T31" s="57">
        <f>ROUND(+T$4/+'Age Factors'!T31,0)</f>
        <v>36300</v>
      </c>
      <c r="U31" s="57">
        <f>ROUND(+U$4/+'Age Factors'!U31,0)</f>
        <v>39790</v>
      </c>
      <c r="V31" s="57">
        <f>ROUND(+V$4/+'Age Factors'!V31,0)</f>
        <v>52800</v>
      </c>
      <c r="W31" s="47"/>
    </row>
    <row r="32" spans="1:23">
      <c r="A32" s="49">
        <v>31</v>
      </c>
      <c r="B32" s="50">
        <f>ROUND(+B$4/+'Age Factors'!B32,0)</f>
        <v>232</v>
      </c>
      <c r="C32" s="50">
        <f>ROUND(+C$4/+'Age Factors'!C32,0)</f>
        <v>770</v>
      </c>
      <c r="D32" s="50">
        <f>ROUND(+D$4/+'Age Factors'!D32,0)</f>
        <v>932</v>
      </c>
      <c r="E32" s="50">
        <f>ROUND(+E$4/+'Age Factors'!E32,0)</f>
        <v>1002</v>
      </c>
      <c r="F32" s="50">
        <f>ROUND(+F$4/+'Age Factors'!F32,0)</f>
        <v>1259</v>
      </c>
      <c r="G32" s="50">
        <f>ROUND(+G$4/+'Age Factors'!G32,0)</f>
        <v>1268</v>
      </c>
      <c r="H32" s="50">
        <f>ROUND(+H$4/+'Age Factors'!H32,0)</f>
        <v>1590</v>
      </c>
      <c r="I32" s="50">
        <f>ROUND(+I$4/+'Age Factors'!I32,0)</f>
        <v>1921</v>
      </c>
      <c r="J32" s="50">
        <f>ROUND(+J$4/+'Age Factors'!J32,0)</f>
        <v>2419</v>
      </c>
      <c r="K32" s="50">
        <f>ROUND(+K$4/+'Age Factors'!K32,0)</f>
        <v>2599</v>
      </c>
      <c r="L32" s="50">
        <f>ROUND(+L$4/+'Age Factors'!L32,0)</f>
        <v>3261</v>
      </c>
      <c r="M32" s="50">
        <f>ROUND(+M$4/+'Age Factors'!M32,0)</f>
        <v>3451</v>
      </c>
      <c r="N32" s="50">
        <f>ROUND(+N$4/+'Age Factors'!N32,0)</f>
        <v>4110</v>
      </c>
      <c r="O32" s="50">
        <f>ROUND(+O$4/+'Age Factors'!O32,0)</f>
        <v>4980</v>
      </c>
      <c r="P32" s="50">
        <f>ROUND(+P$4/+'Age Factors'!P32,0)</f>
        <v>7235</v>
      </c>
      <c r="Q32" s="50">
        <f>ROUND(+Q$4/+'Age Factors'!Q32,0)</f>
        <v>8820</v>
      </c>
      <c r="R32" s="50">
        <f>ROUND(+R$4/+'Age Factors'!R32,0)</f>
        <v>16080</v>
      </c>
      <c r="S32" s="50">
        <f>ROUND(+S$4/+'Age Factors'!S32,0)</f>
        <v>21360</v>
      </c>
      <c r="T32" s="50">
        <f>ROUND(+T$4/+'Age Factors'!T32,0)</f>
        <v>36300</v>
      </c>
      <c r="U32" s="50">
        <f>ROUND(+U$4/+'Age Factors'!U32,0)</f>
        <v>39790</v>
      </c>
      <c r="V32" s="50">
        <f>ROUND(+V$4/+'Age Factors'!V32,0)</f>
        <v>52800</v>
      </c>
      <c r="W32" s="47"/>
    </row>
    <row r="33" spans="1:23">
      <c r="A33" s="49">
        <v>32</v>
      </c>
      <c r="B33" s="50">
        <f>ROUND(+B$4/+'Age Factors'!B33,0)</f>
        <v>232</v>
      </c>
      <c r="C33" s="50">
        <f>ROUND(+C$4/+'Age Factors'!C33,0)</f>
        <v>772</v>
      </c>
      <c r="D33" s="50">
        <f>ROUND(+D$4/+'Age Factors'!D33,0)</f>
        <v>934</v>
      </c>
      <c r="E33" s="50">
        <f>ROUND(+E$4/+'Age Factors'!E33,0)</f>
        <v>1005</v>
      </c>
      <c r="F33" s="50">
        <f>ROUND(+F$4/+'Age Factors'!F33,0)</f>
        <v>1262</v>
      </c>
      <c r="G33" s="50">
        <f>ROUND(+G$4/+'Age Factors'!G33,0)</f>
        <v>1271</v>
      </c>
      <c r="H33" s="50">
        <f>ROUND(+H$4/+'Age Factors'!H33,0)</f>
        <v>1594</v>
      </c>
      <c r="I33" s="50">
        <f>ROUND(+I$4/+'Age Factors'!I33,0)</f>
        <v>1924</v>
      </c>
      <c r="J33" s="50">
        <f>ROUND(+J$4/+'Age Factors'!J33,0)</f>
        <v>2422</v>
      </c>
      <c r="K33" s="50">
        <f>ROUND(+K$4/+'Age Factors'!K33,0)</f>
        <v>2601</v>
      </c>
      <c r="L33" s="50">
        <f>ROUND(+L$4/+'Age Factors'!L33,0)</f>
        <v>3262</v>
      </c>
      <c r="M33" s="50">
        <f>ROUND(+M$4/+'Age Factors'!M33,0)</f>
        <v>3452</v>
      </c>
      <c r="N33" s="50">
        <f>ROUND(+N$4/+'Age Factors'!N33,0)</f>
        <v>4111</v>
      </c>
      <c r="O33" s="50">
        <f>ROUND(+O$4/+'Age Factors'!O33,0)</f>
        <v>4980</v>
      </c>
      <c r="P33" s="50">
        <f>ROUND(+P$4/+'Age Factors'!P33,0)</f>
        <v>7235</v>
      </c>
      <c r="Q33" s="50">
        <f>ROUND(+Q$4/+'Age Factors'!Q33,0)</f>
        <v>8820</v>
      </c>
      <c r="R33" s="50">
        <f>ROUND(+R$4/+'Age Factors'!R33,0)</f>
        <v>16080</v>
      </c>
      <c r="S33" s="50">
        <f>ROUND(+S$4/+'Age Factors'!S33,0)</f>
        <v>21360</v>
      </c>
      <c r="T33" s="50">
        <f>ROUND(+T$4/+'Age Factors'!T33,0)</f>
        <v>36300</v>
      </c>
      <c r="U33" s="50">
        <f>ROUND(+U$4/+'Age Factors'!U33,0)</f>
        <v>39790</v>
      </c>
      <c r="V33" s="50">
        <f>ROUND(+V$4/+'Age Factors'!V33,0)</f>
        <v>52800</v>
      </c>
      <c r="W33" s="47"/>
    </row>
    <row r="34" spans="1:23">
      <c r="A34" s="49">
        <v>33</v>
      </c>
      <c r="B34" s="50">
        <f>ROUND(+B$4/+'Age Factors'!B34,0)</f>
        <v>233</v>
      </c>
      <c r="C34" s="50">
        <f>ROUND(+C$4/+'Age Factors'!C34,0)</f>
        <v>775</v>
      </c>
      <c r="D34" s="50">
        <f>ROUND(+D$4/+'Age Factors'!D34,0)</f>
        <v>937</v>
      </c>
      <c r="E34" s="50">
        <f>ROUND(+E$4/+'Age Factors'!E34,0)</f>
        <v>1008</v>
      </c>
      <c r="F34" s="50">
        <f>ROUND(+F$4/+'Age Factors'!F34,0)</f>
        <v>1266</v>
      </c>
      <c r="G34" s="50">
        <f>ROUND(+G$4/+'Age Factors'!G34,0)</f>
        <v>1275</v>
      </c>
      <c r="H34" s="50">
        <f>ROUND(+H$4/+'Age Factors'!H34,0)</f>
        <v>1598</v>
      </c>
      <c r="I34" s="50">
        <f>ROUND(+I$4/+'Age Factors'!I34,0)</f>
        <v>1929</v>
      </c>
      <c r="J34" s="50">
        <f>ROUND(+J$4/+'Age Factors'!J34,0)</f>
        <v>2427</v>
      </c>
      <c r="K34" s="50">
        <f>ROUND(+K$4/+'Age Factors'!K34,0)</f>
        <v>2606</v>
      </c>
      <c r="L34" s="50">
        <f>ROUND(+L$4/+'Age Factors'!L34,0)</f>
        <v>3266</v>
      </c>
      <c r="M34" s="50">
        <f>ROUND(+M$4/+'Age Factors'!M34,0)</f>
        <v>3456</v>
      </c>
      <c r="N34" s="50">
        <f>ROUND(+N$4/+'Age Factors'!N34,0)</f>
        <v>4115</v>
      </c>
      <c r="O34" s="50">
        <f>ROUND(+O$4/+'Age Factors'!O34,0)</f>
        <v>4983</v>
      </c>
      <c r="P34" s="50">
        <f>ROUND(+P$4/+'Age Factors'!P34,0)</f>
        <v>7235</v>
      </c>
      <c r="Q34" s="50">
        <f>ROUND(+Q$4/+'Age Factors'!Q34,0)</f>
        <v>8820</v>
      </c>
      <c r="R34" s="50">
        <f>ROUND(+R$4/+'Age Factors'!R34,0)</f>
        <v>16080</v>
      </c>
      <c r="S34" s="50">
        <f>ROUND(+S$4/+'Age Factors'!S34,0)</f>
        <v>21360</v>
      </c>
      <c r="T34" s="50">
        <f>ROUND(+T$4/+'Age Factors'!T34,0)</f>
        <v>36300</v>
      </c>
      <c r="U34" s="50">
        <f>ROUND(+U$4/+'Age Factors'!U34,0)</f>
        <v>39790</v>
      </c>
      <c r="V34" s="50">
        <f>ROUND(+V$4/+'Age Factors'!V34,0)</f>
        <v>52800</v>
      </c>
      <c r="W34" s="47"/>
    </row>
    <row r="35" spans="1:23">
      <c r="A35" s="49">
        <v>34</v>
      </c>
      <c r="B35" s="50">
        <f>ROUND(+B$4/+'Age Factors'!B35,0)</f>
        <v>233</v>
      </c>
      <c r="C35" s="50">
        <f>ROUND(+C$4/+'Age Factors'!C35,0)</f>
        <v>779</v>
      </c>
      <c r="D35" s="50">
        <f>ROUND(+D$4/+'Age Factors'!D35,0)</f>
        <v>942</v>
      </c>
      <c r="E35" s="50">
        <f>ROUND(+E$4/+'Age Factors'!E35,0)</f>
        <v>1013</v>
      </c>
      <c r="F35" s="50">
        <f>ROUND(+F$4/+'Age Factors'!F35,0)</f>
        <v>1271</v>
      </c>
      <c r="G35" s="50">
        <f>ROUND(+G$4/+'Age Factors'!G35,0)</f>
        <v>1280</v>
      </c>
      <c r="H35" s="50">
        <f>ROUND(+H$4/+'Age Factors'!H35,0)</f>
        <v>1604</v>
      </c>
      <c r="I35" s="50">
        <f>ROUND(+I$4/+'Age Factors'!I35,0)</f>
        <v>1935</v>
      </c>
      <c r="J35" s="50">
        <f>ROUND(+J$4/+'Age Factors'!J35,0)</f>
        <v>2433</v>
      </c>
      <c r="K35" s="50">
        <f>ROUND(+K$4/+'Age Factors'!K35,0)</f>
        <v>2613</v>
      </c>
      <c r="L35" s="50">
        <f>ROUND(+L$4/+'Age Factors'!L35,0)</f>
        <v>3273</v>
      </c>
      <c r="M35" s="50">
        <f>ROUND(+M$4/+'Age Factors'!M35,0)</f>
        <v>3463</v>
      </c>
      <c r="N35" s="50">
        <f>ROUND(+N$4/+'Age Factors'!N35,0)</f>
        <v>4121</v>
      </c>
      <c r="O35" s="50">
        <f>ROUND(+O$4/+'Age Factors'!O35,0)</f>
        <v>4988</v>
      </c>
      <c r="P35" s="50">
        <f>ROUND(+P$4/+'Age Factors'!P35,0)</f>
        <v>7235</v>
      </c>
      <c r="Q35" s="50">
        <f>ROUND(+Q$4/+'Age Factors'!Q35,0)</f>
        <v>8820</v>
      </c>
      <c r="R35" s="50">
        <f>ROUND(+R$4/+'Age Factors'!R35,0)</f>
        <v>16080</v>
      </c>
      <c r="S35" s="50">
        <f>ROUND(+S$4/+'Age Factors'!S35,0)</f>
        <v>21360</v>
      </c>
      <c r="T35" s="50">
        <f>ROUND(+T$4/+'Age Factors'!T35,0)</f>
        <v>36300</v>
      </c>
      <c r="U35" s="50">
        <f>ROUND(+U$4/+'Age Factors'!U35,0)</f>
        <v>39790</v>
      </c>
      <c r="V35" s="50">
        <f>ROUND(+V$4/+'Age Factors'!V35,0)</f>
        <v>52800</v>
      </c>
      <c r="W35" s="47"/>
    </row>
    <row r="36" spans="1:23">
      <c r="A36" s="54">
        <v>35</v>
      </c>
      <c r="B36" s="57">
        <f>ROUND(+B$4/+'Age Factors'!B36,0)</f>
        <v>234</v>
      </c>
      <c r="C36" s="57">
        <f>ROUND(+C$4/+'Age Factors'!C36,0)</f>
        <v>784</v>
      </c>
      <c r="D36" s="57">
        <f>ROUND(+D$4/+'Age Factors'!D36,0)</f>
        <v>947</v>
      </c>
      <c r="E36" s="57">
        <f>ROUND(+E$4/+'Age Factors'!E36,0)</f>
        <v>1018</v>
      </c>
      <c r="F36" s="57">
        <f>ROUND(+F$4/+'Age Factors'!F36,0)</f>
        <v>1277</v>
      </c>
      <c r="G36" s="57">
        <f>ROUND(+G$4/+'Age Factors'!G36,0)</f>
        <v>1286</v>
      </c>
      <c r="H36" s="57">
        <f>ROUND(+H$4/+'Age Factors'!H36,0)</f>
        <v>1610</v>
      </c>
      <c r="I36" s="57">
        <f>ROUND(+I$4/+'Age Factors'!I36,0)</f>
        <v>1942</v>
      </c>
      <c r="J36" s="57">
        <f>ROUND(+J$4/+'Age Factors'!J36,0)</f>
        <v>2441</v>
      </c>
      <c r="K36" s="57">
        <f>ROUND(+K$4/+'Age Factors'!K36,0)</f>
        <v>2621</v>
      </c>
      <c r="L36" s="57">
        <f>ROUND(+L$4/+'Age Factors'!L36,0)</f>
        <v>3284</v>
      </c>
      <c r="M36" s="57">
        <f>ROUND(+M$4/+'Age Factors'!M36,0)</f>
        <v>3474</v>
      </c>
      <c r="N36" s="57">
        <f>ROUND(+N$4/+'Age Factors'!N36,0)</f>
        <v>4130</v>
      </c>
      <c r="O36" s="57">
        <f>ROUND(+O$4/+'Age Factors'!O36,0)</f>
        <v>4996</v>
      </c>
      <c r="P36" s="57">
        <f>ROUND(+P$4/+'Age Factors'!P36,0)</f>
        <v>7235</v>
      </c>
      <c r="Q36" s="57">
        <f>ROUND(+Q$4/+'Age Factors'!Q36,0)</f>
        <v>8820</v>
      </c>
      <c r="R36" s="57">
        <f>ROUND(+R$4/+'Age Factors'!R36,0)</f>
        <v>16080</v>
      </c>
      <c r="S36" s="57">
        <f>ROUND(+S$4/+'Age Factors'!S36,0)</f>
        <v>21360</v>
      </c>
      <c r="T36" s="57">
        <f>ROUND(+T$4/+'Age Factors'!T36,0)</f>
        <v>36300</v>
      </c>
      <c r="U36" s="57">
        <f>ROUND(+U$4/+'Age Factors'!U36,0)</f>
        <v>39790</v>
      </c>
      <c r="V36" s="57">
        <f>ROUND(+V$4/+'Age Factors'!V36,0)</f>
        <v>52800</v>
      </c>
      <c r="W36" s="47"/>
    </row>
    <row r="37" spans="1:23">
      <c r="A37" s="49">
        <v>36</v>
      </c>
      <c r="B37" s="50">
        <f>ROUND(+B$4/+'Age Factors'!B37,0)</f>
        <v>235</v>
      </c>
      <c r="C37" s="50">
        <f>ROUND(+C$4/+'Age Factors'!C37,0)</f>
        <v>789</v>
      </c>
      <c r="D37" s="50">
        <f>ROUND(+D$4/+'Age Factors'!D37,0)</f>
        <v>953</v>
      </c>
      <c r="E37" s="50">
        <f>ROUND(+E$4/+'Age Factors'!E37,0)</f>
        <v>1024</v>
      </c>
      <c r="F37" s="50">
        <f>ROUND(+F$4/+'Age Factors'!F37,0)</f>
        <v>1283</v>
      </c>
      <c r="G37" s="50">
        <f>ROUND(+G$4/+'Age Factors'!G37,0)</f>
        <v>1292</v>
      </c>
      <c r="H37" s="50">
        <f>ROUND(+H$4/+'Age Factors'!H37,0)</f>
        <v>1617</v>
      </c>
      <c r="I37" s="50">
        <f>ROUND(+I$4/+'Age Factors'!I37,0)</f>
        <v>1950</v>
      </c>
      <c r="J37" s="50">
        <f>ROUND(+J$4/+'Age Factors'!J37,0)</f>
        <v>2452</v>
      </c>
      <c r="K37" s="50">
        <f>ROUND(+K$4/+'Age Factors'!K37,0)</f>
        <v>2632</v>
      </c>
      <c r="L37" s="50">
        <f>ROUND(+L$4/+'Age Factors'!L37,0)</f>
        <v>3297</v>
      </c>
      <c r="M37" s="50">
        <f>ROUND(+M$4/+'Age Factors'!M37,0)</f>
        <v>3488</v>
      </c>
      <c r="N37" s="50">
        <f>ROUND(+N$4/+'Age Factors'!N37,0)</f>
        <v>4144</v>
      </c>
      <c r="O37" s="50">
        <f>ROUND(+O$4/+'Age Factors'!O37,0)</f>
        <v>5008</v>
      </c>
      <c r="P37" s="50">
        <f>ROUND(+P$4/+'Age Factors'!P37,0)</f>
        <v>7242</v>
      </c>
      <c r="Q37" s="50">
        <f>ROUND(+Q$4/+'Age Factors'!Q37,0)</f>
        <v>8828</v>
      </c>
      <c r="R37" s="50">
        <f>ROUND(+R$4/+'Age Factors'!R37,0)</f>
        <v>16094</v>
      </c>
      <c r="S37" s="50">
        <f>ROUND(+S$4/+'Age Factors'!S37,0)</f>
        <v>21379</v>
      </c>
      <c r="T37" s="50">
        <f>ROUND(+T$4/+'Age Factors'!T37,0)</f>
        <v>36333</v>
      </c>
      <c r="U37" s="50">
        <f>ROUND(+U$4/+'Age Factors'!U37,0)</f>
        <v>39826</v>
      </c>
      <c r="V37" s="50">
        <f>ROUND(+V$4/+'Age Factors'!V37,0)</f>
        <v>52848</v>
      </c>
      <c r="W37" s="47"/>
    </row>
    <row r="38" spans="1:23">
      <c r="A38" s="49">
        <v>37</v>
      </c>
      <c r="B38" s="50">
        <f>ROUND(+B$4/+'Age Factors'!B38,0)</f>
        <v>236</v>
      </c>
      <c r="C38" s="50">
        <f>ROUND(+C$4/+'Age Factors'!C38,0)</f>
        <v>795</v>
      </c>
      <c r="D38" s="50">
        <f>ROUND(+D$4/+'Age Factors'!D38,0)</f>
        <v>960</v>
      </c>
      <c r="E38" s="50">
        <f>ROUND(+E$4/+'Age Factors'!E38,0)</f>
        <v>1031</v>
      </c>
      <c r="F38" s="50">
        <f>ROUND(+F$4/+'Age Factors'!F38,0)</f>
        <v>1290</v>
      </c>
      <c r="G38" s="50">
        <f>ROUND(+G$4/+'Age Factors'!G38,0)</f>
        <v>1300</v>
      </c>
      <c r="H38" s="50">
        <f>ROUND(+H$4/+'Age Factors'!H38,0)</f>
        <v>1625</v>
      </c>
      <c r="I38" s="50">
        <f>ROUND(+I$4/+'Age Factors'!I38,0)</f>
        <v>1959</v>
      </c>
      <c r="J38" s="50">
        <f>ROUND(+J$4/+'Age Factors'!J38,0)</f>
        <v>2464</v>
      </c>
      <c r="K38" s="50">
        <f>ROUND(+K$4/+'Age Factors'!K38,0)</f>
        <v>2645</v>
      </c>
      <c r="L38" s="50">
        <f>ROUND(+L$4/+'Age Factors'!L38,0)</f>
        <v>3313</v>
      </c>
      <c r="M38" s="50">
        <f>ROUND(+M$4/+'Age Factors'!M38,0)</f>
        <v>3505</v>
      </c>
      <c r="N38" s="50">
        <f>ROUND(+N$4/+'Age Factors'!N38,0)</f>
        <v>4162</v>
      </c>
      <c r="O38" s="50">
        <f>ROUND(+O$4/+'Age Factors'!O38,0)</f>
        <v>5027</v>
      </c>
      <c r="P38" s="50">
        <f>ROUND(+P$4/+'Age Factors'!P38,0)</f>
        <v>7260</v>
      </c>
      <c r="Q38" s="50">
        <f>ROUND(+Q$4/+'Age Factors'!Q38,0)</f>
        <v>8851</v>
      </c>
      <c r="R38" s="50">
        <f>ROUND(+R$4/+'Age Factors'!R38,0)</f>
        <v>16136</v>
      </c>
      <c r="S38" s="50">
        <f>ROUND(+S$4/+'Age Factors'!S38,0)</f>
        <v>21435</v>
      </c>
      <c r="T38" s="50">
        <f>ROUND(+T$4/+'Age Factors'!T38,0)</f>
        <v>36427</v>
      </c>
      <c r="U38" s="50">
        <f>ROUND(+U$4/+'Age Factors'!U38,0)</f>
        <v>39930</v>
      </c>
      <c r="V38" s="50">
        <f>ROUND(+V$4/+'Age Factors'!V38,0)</f>
        <v>52985</v>
      </c>
      <c r="W38" s="47"/>
    </row>
    <row r="39" spans="1:23">
      <c r="A39" s="49">
        <v>38</v>
      </c>
      <c r="B39" s="50">
        <f>ROUND(+B$4/+'Age Factors'!B39,0)</f>
        <v>238</v>
      </c>
      <c r="C39" s="50">
        <f>ROUND(+C$4/+'Age Factors'!C39,0)</f>
        <v>801</v>
      </c>
      <c r="D39" s="50">
        <f>ROUND(+D$4/+'Age Factors'!D39,0)</f>
        <v>966</v>
      </c>
      <c r="E39" s="50">
        <f>ROUND(+E$4/+'Age Factors'!E39,0)</f>
        <v>1038</v>
      </c>
      <c r="F39" s="50">
        <f>ROUND(+F$4/+'Age Factors'!F39,0)</f>
        <v>1298</v>
      </c>
      <c r="G39" s="50">
        <f>ROUND(+G$4/+'Age Factors'!G39,0)</f>
        <v>1307</v>
      </c>
      <c r="H39" s="50">
        <f>ROUND(+H$4/+'Age Factors'!H39,0)</f>
        <v>1633</v>
      </c>
      <c r="I39" s="50">
        <f>ROUND(+I$4/+'Age Factors'!I39,0)</f>
        <v>1970</v>
      </c>
      <c r="J39" s="50">
        <f>ROUND(+J$4/+'Age Factors'!J39,0)</f>
        <v>2478</v>
      </c>
      <c r="K39" s="50">
        <f>ROUND(+K$4/+'Age Factors'!K39,0)</f>
        <v>2660</v>
      </c>
      <c r="L39" s="50">
        <f>ROUND(+L$4/+'Age Factors'!L39,0)</f>
        <v>3333</v>
      </c>
      <c r="M39" s="50">
        <f>ROUND(+M$4/+'Age Factors'!M39,0)</f>
        <v>3526</v>
      </c>
      <c r="N39" s="50">
        <f>ROUND(+N$4/+'Age Factors'!N39,0)</f>
        <v>4185</v>
      </c>
      <c r="O39" s="50">
        <f>ROUND(+O$4/+'Age Factors'!O39,0)</f>
        <v>5053</v>
      </c>
      <c r="P39" s="50">
        <f>ROUND(+P$4/+'Age Factors'!P39,0)</f>
        <v>7293</v>
      </c>
      <c r="Q39" s="50">
        <f>ROUND(+Q$4/+'Age Factors'!Q39,0)</f>
        <v>8890</v>
      </c>
      <c r="R39" s="50">
        <f>ROUND(+R$4/+'Age Factors'!R39,0)</f>
        <v>16208</v>
      </c>
      <c r="S39" s="50">
        <f>ROUND(+S$4/+'Age Factors'!S39,0)</f>
        <v>21530</v>
      </c>
      <c r="T39" s="50">
        <f>ROUND(+T$4/+'Age Factors'!T39,0)</f>
        <v>36589</v>
      </c>
      <c r="U39" s="50">
        <f>ROUND(+U$4/+'Age Factors'!U39,0)</f>
        <v>40107</v>
      </c>
      <c r="V39" s="50">
        <f>ROUND(+V$4/+'Age Factors'!V39,0)</f>
        <v>53220</v>
      </c>
      <c r="W39" s="47"/>
    </row>
    <row r="40" spans="1:23">
      <c r="A40" s="49">
        <v>39</v>
      </c>
      <c r="B40" s="50">
        <f>ROUND(+B$4/+'Age Factors'!B40,0)</f>
        <v>239</v>
      </c>
      <c r="C40" s="50">
        <f>ROUND(+C$4/+'Age Factors'!C40,0)</f>
        <v>807</v>
      </c>
      <c r="D40" s="50">
        <f>ROUND(+D$4/+'Age Factors'!D40,0)</f>
        <v>973</v>
      </c>
      <c r="E40" s="50">
        <f>ROUND(+E$4/+'Age Factors'!E40,0)</f>
        <v>1045</v>
      </c>
      <c r="F40" s="50">
        <f>ROUND(+F$4/+'Age Factors'!F40,0)</f>
        <v>1307</v>
      </c>
      <c r="G40" s="50">
        <f>ROUND(+G$4/+'Age Factors'!G40,0)</f>
        <v>1316</v>
      </c>
      <c r="H40" s="50">
        <f>ROUND(+H$4/+'Age Factors'!H40,0)</f>
        <v>1643</v>
      </c>
      <c r="I40" s="50">
        <f>ROUND(+I$4/+'Age Factors'!I40,0)</f>
        <v>1983</v>
      </c>
      <c r="J40" s="50">
        <f>ROUND(+J$4/+'Age Factors'!J40,0)</f>
        <v>2494</v>
      </c>
      <c r="K40" s="50">
        <f>ROUND(+K$4/+'Age Factors'!K40,0)</f>
        <v>2678</v>
      </c>
      <c r="L40" s="50">
        <f>ROUND(+L$4/+'Age Factors'!L40,0)</f>
        <v>3356</v>
      </c>
      <c r="M40" s="50">
        <f>ROUND(+M$4/+'Age Factors'!M40,0)</f>
        <v>3551</v>
      </c>
      <c r="N40" s="50">
        <f>ROUND(+N$4/+'Age Factors'!N40,0)</f>
        <v>4214</v>
      </c>
      <c r="O40" s="50">
        <f>ROUND(+O$4/+'Age Factors'!O40,0)</f>
        <v>5086</v>
      </c>
      <c r="P40" s="50">
        <f>ROUND(+P$4/+'Age Factors'!P40,0)</f>
        <v>7338</v>
      </c>
      <c r="Q40" s="50">
        <f>ROUND(+Q$4/+'Age Factors'!Q40,0)</f>
        <v>8945</v>
      </c>
      <c r="R40" s="50">
        <f>ROUND(+R$4/+'Age Factors'!R40,0)</f>
        <v>16308</v>
      </c>
      <c r="S40" s="50">
        <f>ROUND(+S$4/+'Age Factors'!S40,0)</f>
        <v>21663</v>
      </c>
      <c r="T40" s="50">
        <f>ROUND(+T$4/+'Age Factors'!T40,0)</f>
        <v>36815</v>
      </c>
      <c r="U40" s="50">
        <f>ROUND(+U$4/+'Age Factors'!U40,0)</f>
        <v>40355</v>
      </c>
      <c r="V40" s="50">
        <f>ROUND(+V$4/+'Age Factors'!V40,0)</f>
        <v>53550</v>
      </c>
      <c r="W40" s="47"/>
    </row>
    <row r="41" spans="1:23">
      <c r="A41" s="54">
        <v>40</v>
      </c>
      <c r="B41" s="57">
        <f>ROUND(+B$4/+'Age Factors'!B41,0)</f>
        <v>241</v>
      </c>
      <c r="C41" s="57">
        <f>ROUND(+C$4/+'Age Factors'!C41,0)</f>
        <v>813</v>
      </c>
      <c r="D41" s="57">
        <f>ROUND(+D$4/+'Age Factors'!D41,0)</f>
        <v>980</v>
      </c>
      <c r="E41" s="57">
        <f>ROUND(+E$4/+'Age Factors'!E41,0)</f>
        <v>1052</v>
      </c>
      <c r="F41" s="57">
        <f>ROUND(+F$4/+'Age Factors'!F41,0)</f>
        <v>1316</v>
      </c>
      <c r="G41" s="57">
        <f>ROUND(+G$4/+'Age Factors'!G41,0)</f>
        <v>1325</v>
      </c>
      <c r="H41" s="57">
        <f>ROUND(+H$4/+'Age Factors'!H41,0)</f>
        <v>1654</v>
      </c>
      <c r="I41" s="57">
        <f>ROUND(+I$4/+'Age Factors'!I41,0)</f>
        <v>1996</v>
      </c>
      <c r="J41" s="57">
        <f>ROUND(+J$4/+'Age Factors'!J41,0)</f>
        <v>2512</v>
      </c>
      <c r="K41" s="57">
        <f>ROUND(+K$4/+'Age Factors'!K41,0)</f>
        <v>2698</v>
      </c>
      <c r="L41" s="57">
        <f>ROUND(+L$4/+'Age Factors'!L41,0)</f>
        <v>3383</v>
      </c>
      <c r="M41" s="57">
        <f>ROUND(+M$4/+'Age Factors'!M41,0)</f>
        <v>3579</v>
      </c>
      <c r="N41" s="57">
        <f>ROUND(+N$4/+'Age Factors'!N41,0)</f>
        <v>4247</v>
      </c>
      <c r="O41" s="57">
        <f>ROUND(+O$4/+'Age Factors'!O41,0)</f>
        <v>5127</v>
      </c>
      <c r="P41" s="57">
        <f>ROUND(+P$4/+'Age Factors'!P41,0)</f>
        <v>7395</v>
      </c>
      <c r="Q41" s="57">
        <f>ROUND(+Q$4/+'Age Factors'!Q41,0)</f>
        <v>9016</v>
      </c>
      <c r="R41" s="57">
        <f>ROUND(+R$4/+'Age Factors'!R41,0)</f>
        <v>16437</v>
      </c>
      <c r="S41" s="57">
        <f>ROUND(+S$4/+'Age Factors'!S41,0)</f>
        <v>21834</v>
      </c>
      <c r="T41" s="57">
        <f>ROUND(+T$4/+'Age Factors'!T41,0)</f>
        <v>37105</v>
      </c>
      <c r="U41" s="57">
        <f>ROUND(+U$4/+'Age Factors'!U41,0)</f>
        <v>40673</v>
      </c>
      <c r="V41" s="57">
        <f>ROUND(+V$4/+'Age Factors'!V41,0)</f>
        <v>53971</v>
      </c>
      <c r="W41" s="47"/>
    </row>
    <row r="42" spans="1:23">
      <c r="A42" s="49">
        <v>41</v>
      </c>
      <c r="B42" s="50">
        <f>ROUND(+B$4/+'Age Factors'!B42,0)</f>
        <v>243</v>
      </c>
      <c r="C42" s="50">
        <f>ROUND(+C$4/+'Age Factors'!C42,0)</f>
        <v>819</v>
      </c>
      <c r="D42" s="50">
        <f>ROUND(+D$4/+'Age Factors'!D42,0)</f>
        <v>987</v>
      </c>
      <c r="E42" s="50">
        <f>ROUND(+E$4/+'Age Factors'!E42,0)</f>
        <v>1060</v>
      </c>
      <c r="F42" s="50">
        <f>ROUND(+F$4/+'Age Factors'!F42,0)</f>
        <v>1325</v>
      </c>
      <c r="G42" s="50">
        <f>ROUND(+G$4/+'Age Factors'!G42,0)</f>
        <v>1334</v>
      </c>
      <c r="H42" s="50">
        <f>ROUND(+H$4/+'Age Factors'!H42,0)</f>
        <v>1666</v>
      </c>
      <c r="I42" s="50">
        <f>ROUND(+I$4/+'Age Factors'!I42,0)</f>
        <v>2011</v>
      </c>
      <c r="J42" s="50">
        <f>ROUND(+J$4/+'Age Factors'!J42,0)</f>
        <v>2532</v>
      </c>
      <c r="K42" s="50">
        <f>ROUND(+K$4/+'Age Factors'!K42,0)</f>
        <v>2719</v>
      </c>
      <c r="L42" s="50">
        <f>ROUND(+L$4/+'Age Factors'!L42,0)</f>
        <v>3410</v>
      </c>
      <c r="M42" s="50">
        <f>ROUND(+M$4/+'Age Factors'!M42,0)</f>
        <v>3608</v>
      </c>
      <c r="N42" s="50">
        <f>ROUND(+N$4/+'Age Factors'!N42,0)</f>
        <v>4282</v>
      </c>
      <c r="O42" s="50">
        <f>ROUND(+O$4/+'Age Factors'!O42,0)</f>
        <v>5169</v>
      </c>
      <c r="P42" s="50">
        <f>ROUND(+P$4/+'Age Factors'!P42,0)</f>
        <v>7458</v>
      </c>
      <c r="Q42" s="50">
        <f>ROUND(+Q$4/+'Age Factors'!Q42,0)</f>
        <v>9092</v>
      </c>
      <c r="R42" s="50">
        <f>ROUND(+R$4/+'Age Factors'!R42,0)</f>
        <v>16576</v>
      </c>
      <c r="S42" s="50">
        <f>ROUND(+S$4/+'Age Factors'!S42,0)</f>
        <v>22018</v>
      </c>
      <c r="T42" s="50">
        <f>ROUND(+T$4/+'Age Factors'!T42,0)</f>
        <v>37419</v>
      </c>
      <c r="U42" s="50">
        <f>ROUND(+U$4/+'Age Factors'!U42,0)</f>
        <v>41016</v>
      </c>
      <c r="V42" s="50">
        <f>ROUND(+V$4/+'Age Factors'!V42,0)</f>
        <v>54427</v>
      </c>
      <c r="W42" s="47"/>
    </row>
    <row r="43" spans="1:23">
      <c r="A43" s="49">
        <v>42</v>
      </c>
      <c r="B43" s="50">
        <f>ROUND(+B$4/+'Age Factors'!B43,0)</f>
        <v>245</v>
      </c>
      <c r="C43" s="50">
        <f>ROUND(+C$4/+'Age Factors'!C43,0)</f>
        <v>825</v>
      </c>
      <c r="D43" s="50">
        <f>ROUND(+D$4/+'Age Factors'!D43,0)</f>
        <v>994</v>
      </c>
      <c r="E43" s="50">
        <f>ROUND(+E$4/+'Age Factors'!E43,0)</f>
        <v>1068</v>
      </c>
      <c r="F43" s="50">
        <f>ROUND(+F$4/+'Age Factors'!F43,0)</f>
        <v>1335</v>
      </c>
      <c r="G43" s="50">
        <f>ROUND(+G$4/+'Age Factors'!G43,0)</f>
        <v>1345</v>
      </c>
      <c r="H43" s="50">
        <f>ROUND(+H$4/+'Age Factors'!H43,0)</f>
        <v>1678</v>
      </c>
      <c r="I43" s="50">
        <f>ROUND(+I$4/+'Age Factors'!I43,0)</f>
        <v>2026</v>
      </c>
      <c r="J43" s="50">
        <f>ROUND(+J$4/+'Age Factors'!J43,0)</f>
        <v>2552</v>
      </c>
      <c r="K43" s="50">
        <f>ROUND(+K$4/+'Age Factors'!K43,0)</f>
        <v>2741</v>
      </c>
      <c r="L43" s="50">
        <f>ROUND(+L$4/+'Age Factors'!L43,0)</f>
        <v>3438</v>
      </c>
      <c r="M43" s="50">
        <f>ROUND(+M$4/+'Age Factors'!M43,0)</f>
        <v>3638</v>
      </c>
      <c r="N43" s="50">
        <f>ROUND(+N$4/+'Age Factors'!N43,0)</f>
        <v>4318</v>
      </c>
      <c r="O43" s="50">
        <f>ROUND(+O$4/+'Age Factors'!O43,0)</f>
        <v>5212</v>
      </c>
      <c r="P43" s="50">
        <f>ROUND(+P$4/+'Age Factors'!P43,0)</f>
        <v>7522</v>
      </c>
      <c r="Q43" s="50">
        <f>ROUND(+Q$4/+'Age Factors'!Q43,0)</f>
        <v>9169</v>
      </c>
      <c r="R43" s="50">
        <f>ROUND(+R$4/+'Age Factors'!R43,0)</f>
        <v>16717</v>
      </c>
      <c r="S43" s="50">
        <f>ROUND(+S$4/+'Age Factors'!S43,0)</f>
        <v>22206</v>
      </c>
      <c r="T43" s="50">
        <f>ROUND(+T$4/+'Age Factors'!T43,0)</f>
        <v>37738</v>
      </c>
      <c r="U43" s="50">
        <f>ROUND(+U$4/+'Age Factors'!U43,0)</f>
        <v>41366</v>
      </c>
      <c r="V43" s="50">
        <f>ROUND(+V$4/+'Age Factors'!V43,0)</f>
        <v>54891</v>
      </c>
      <c r="W43" s="47"/>
    </row>
    <row r="44" spans="1:23">
      <c r="A44" s="49">
        <v>43</v>
      </c>
      <c r="B44" s="50">
        <f>ROUND(+B$4/+'Age Factors'!B44,0)</f>
        <v>247</v>
      </c>
      <c r="C44" s="50">
        <f>ROUND(+C$4/+'Age Factors'!C44,0)</f>
        <v>831</v>
      </c>
      <c r="D44" s="50">
        <f>ROUND(+D$4/+'Age Factors'!D44,0)</f>
        <v>1002</v>
      </c>
      <c r="E44" s="50">
        <f>ROUND(+E$4/+'Age Factors'!E44,0)</f>
        <v>1076</v>
      </c>
      <c r="F44" s="50">
        <f>ROUND(+F$4/+'Age Factors'!F44,0)</f>
        <v>1346</v>
      </c>
      <c r="G44" s="50">
        <f>ROUND(+G$4/+'Age Factors'!G44,0)</f>
        <v>1355</v>
      </c>
      <c r="H44" s="50">
        <f>ROUND(+H$4/+'Age Factors'!H44,0)</f>
        <v>1692</v>
      </c>
      <c r="I44" s="50">
        <f>ROUND(+I$4/+'Age Factors'!I44,0)</f>
        <v>2043</v>
      </c>
      <c r="J44" s="50">
        <f>ROUND(+J$4/+'Age Factors'!J44,0)</f>
        <v>2572</v>
      </c>
      <c r="K44" s="50">
        <f>ROUND(+K$4/+'Age Factors'!K44,0)</f>
        <v>2763</v>
      </c>
      <c r="L44" s="50">
        <f>ROUND(+L$4/+'Age Factors'!L44,0)</f>
        <v>3466</v>
      </c>
      <c r="M44" s="50">
        <f>ROUND(+M$4/+'Age Factors'!M44,0)</f>
        <v>3668</v>
      </c>
      <c r="N44" s="50">
        <f>ROUND(+N$4/+'Age Factors'!N44,0)</f>
        <v>4354</v>
      </c>
      <c r="O44" s="50">
        <f>ROUND(+O$4/+'Age Factors'!O44,0)</f>
        <v>5256</v>
      </c>
      <c r="P44" s="50">
        <f>ROUND(+P$4/+'Age Factors'!P44,0)</f>
        <v>7586</v>
      </c>
      <c r="Q44" s="50">
        <f>ROUND(+Q$4/+'Age Factors'!Q44,0)</f>
        <v>9248</v>
      </c>
      <c r="R44" s="50">
        <f>ROUND(+R$4/+'Age Factors'!R44,0)</f>
        <v>16861</v>
      </c>
      <c r="S44" s="50">
        <f>ROUND(+S$4/+'Age Factors'!S44,0)</f>
        <v>22397</v>
      </c>
      <c r="T44" s="50">
        <f>ROUND(+T$4/+'Age Factors'!T44,0)</f>
        <v>38062</v>
      </c>
      <c r="U44" s="50">
        <f>ROUND(+U$4/+'Age Factors'!U44,0)</f>
        <v>41722</v>
      </c>
      <c r="V44" s="50">
        <f>ROUND(+V$4/+'Age Factors'!V44,0)</f>
        <v>55363</v>
      </c>
      <c r="W44" s="47"/>
    </row>
    <row r="45" spans="1:23">
      <c r="A45" s="49">
        <v>44</v>
      </c>
      <c r="B45" s="50">
        <f>ROUND(+B$4/+'Age Factors'!B45,0)</f>
        <v>249</v>
      </c>
      <c r="C45" s="50">
        <f>ROUND(+C$4/+'Age Factors'!C45,0)</f>
        <v>838</v>
      </c>
      <c r="D45" s="50">
        <f>ROUND(+D$4/+'Age Factors'!D45,0)</f>
        <v>1010</v>
      </c>
      <c r="E45" s="50">
        <f>ROUND(+E$4/+'Age Factors'!E45,0)</f>
        <v>1085</v>
      </c>
      <c r="F45" s="50">
        <f>ROUND(+F$4/+'Age Factors'!F45,0)</f>
        <v>1356</v>
      </c>
      <c r="G45" s="50">
        <f>ROUND(+G$4/+'Age Factors'!G45,0)</f>
        <v>1366</v>
      </c>
      <c r="H45" s="50">
        <f>ROUND(+H$4/+'Age Factors'!H45,0)</f>
        <v>1705</v>
      </c>
      <c r="I45" s="50">
        <f>ROUND(+I$4/+'Age Factors'!I45,0)</f>
        <v>2059</v>
      </c>
      <c r="J45" s="50">
        <f>ROUND(+J$4/+'Age Factors'!J45,0)</f>
        <v>2594</v>
      </c>
      <c r="K45" s="50">
        <f>ROUND(+K$4/+'Age Factors'!K45,0)</f>
        <v>2786</v>
      </c>
      <c r="L45" s="50">
        <f>ROUND(+L$4/+'Age Factors'!L45,0)</f>
        <v>3495</v>
      </c>
      <c r="M45" s="50">
        <f>ROUND(+M$4/+'Age Factors'!M45,0)</f>
        <v>3698</v>
      </c>
      <c r="N45" s="50">
        <f>ROUND(+N$4/+'Age Factors'!N45,0)</f>
        <v>4391</v>
      </c>
      <c r="O45" s="50">
        <f>ROUND(+O$4/+'Age Factors'!O45,0)</f>
        <v>5301</v>
      </c>
      <c r="P45" s="50">
        <f>ROUND(+P$4/+'Age Factors'!P45,0)</f>
        <v>7652</v>
      </c>
      <c r="Q45" s="50">
        <f>ROUND(+Q$4/+'Age Factors'!Q45,0)</f>
        <v>9328</v>
      </c>
      <c r="R45" s="50">
        <f>ROUND(+R$4/+'Age Factors'!R45,0)</f>
        <v>17007</v>
      </c>
      <c r="S45" s="50">
        <f>ROUND(+S$4/+'Age Factors'!S45,0)</f>
        <v>22591</v>
      </c>
      <c r="T45" s="50">
        <f>ROUND(+T$4/+'Age Factors'!T45,0)</f>
        <v>38392</v>
      </c>
      <c r="U45" s="50">
        <f>ROUND(+U$4/+'Age Factors'!U45,0)</f>
        <v>42084</v>
      </c>
      <c r="V45" s="50">
        <f>ROUND(+V$4/+'Age Factors'!V45,0)</f>
        <v>55843</v>
      </c>
      <c r="W45" s="47"/>
    </row>
    <row r="46" spans="1:23">
      <c r="A46" s="54">
        <v>45</v>
      </c>
      <c r="B46" s="57">
        <f>ROUND(+B$4/+'Age Factors'!B46,0)</f>
        <v>252</v>
      </c>
      <c r="C46" s="57">
        <f>ROUND(+C$4/+'Age Factors'!C46,0)</f>
        <v>844</v>
      </c>
      <c r="D46" s="57">
        <f>ROUND(+D$4/+'Age Factors'!D46,0)</f>
        <v>1018</v>
      </c>
      <c r="E46" s="57">
        <f>ROUND(+E$4/+'Age Factors'!E46,0)</f>
        <v>1093</v>
      </c>
      <c r="F46" s="57">
        <f>ROUND(+F$4/+'Age Factors'!F46,0)</f>
        <v>1367</v>
      </c>
      <c r="G46" s="57">
        <f>ROUND(+G$4/+'Age Factors'!G46,0)</f>
        <v>1377</v>
      </c>
      <c r="H46" s="57">
        <f>ROUND(+H$4/+'Age Factors'!H46,0)</f>
        <v>1719</v>
      </c>
      <c r="I46" s="57">
        <f>ROUND(+I$4/+'Age Factors'!I46,0)</f>
        <v>2076</v>
      </c>
      <c r="J46" s="57">
        <f>ROUND(+J$4/+'Age Factors'!J46,0)</f>
        <v>2615</v>
      </c>
      <c r="K46" s="57">
        <f>ROUND(+K$4/+'Age Factors'!K46,0)</f>
        <v>2809</v>
      </c>
      <c r="L46" s="57">
        <f>ROUND(+L$4/+'Age Factors'!L46,0)</f>
        <v>3524</v>
      </c>
      <c r="M46" s="57">
        <f>ROUND(+M$4/+'Age Factors'!M46,0)</f>
        <v>3730</v>
      </c>
      <c r="N46" s="57">
        <f>ROUND(+N$4/+'Age Factors'!N46,0)</f>
        <v>4428</v>
      </c>
      <c r="O46" s="57">
        <f>ROUND(+O$4/+'Age Factors'!O46,0)</f>
        <v>5347</v>
      </c>
      <c r="P46" s="57">
        <f>ROUND(+P$4/+'Age Factors'!P46,0)</f>
        <v>7719</v>
      </c>
      <c r="Q46" s="57">
        <f>ROUND(+Q$4/+'Age Factors'!Q46,0)</f>
        <v>9410</v>
      </c>
      <c r="R46" s="57">
        <f>ROUND(+R$4/+'Age Factors'!R46,0)</f>
        <v>17156</v>
      </c>
      <c r="S46" s="57">
        <f>ROUND(+S$4/+'Age Factors'!S46,0)</f>
        <v>22789</v>
      </c>
      <c r="T46" s="57">
        <f>ROUND(+T$4/+'Age Factors'!T46,0)</f>
        <v>38728</v>
      </c>
      <c r="U46" s="57">
        <f>ROUND(+U$4/+'Age Factors'!U46,0)</f>
        <v>42452</v>
      </c>
      <c r="V46" s="57">
        <f>ROUND(+V$4/+'Age Factors'!V46,0)</f>
        <v>56332</v>
      </c>
      <c r="W46" s="47"/>
    </row>
    <row r="47" spans="1:23">
      <c r="A47" s="49">
        <v>46</v>
      </c>
      <c r="B47" s="50">
        <f>ROUND(+B$4/+'Age Factors'!B47,0)</f>
        <v>254</v>
      </c>
      <c r="C47" s="50">
        <f>ROUND(+C$4/+'Age Factors'!C47,0)</f>
        <v>851</v>
      </c>
      <c r="D47" s="50">
        <f>ROUND(+D$4/+'Age Factors'!D47,0)</f>
        <v>1026</v>
      </c>
      <c r="E47" s="50">
        <f>ROUND(+E$4/+'Age Factors'!E47,0)</f>
        <v>1102</v>
      </c>
      <c r="F47" s="50">
        <f>ROUND(+F$4/+'Age Factors'!F47,0)</f>
        <v>1378</v>
      </c>
      <c r="G47" s="50">
        <f>ROUND(+G$4/+'Age Factors'!G47,0)</f>
        <v>1388</v>
      </c>
      <c r="H47" s="50">
        <f>ROUND(+H$4/+'Age Factors'!H47,0)</f>
        <v>1733</v>
      </c>
      <c r="I47" s="50">
        <f>ROUND(+I$4/+'Age Factors'!I47,0)</f>
        <v>2094</v>
      </c>
      <c r="J47" s="50">
        <f>ROUND(+J$4/+'Age Factors'!J47,0)</f>
        <v>2637</v>
      </c>
      <c r="K47" s="50">
        <f>ROUND(+K$4/+'Age Factors'!K47,0)</f>
        <v>2832</v>
      </c>
      <c r="L47" s="50">
        <f>ROUND(+L$4/+'Age Factors'!L47,0)</f>
        <v>3554</v>
      </c>
      <c r="M47" s="50">
        <f>ROUND(+M$4/+'Age Factors'!M47,0)</f>
        <v>3761</v>
      </c>
      <c r="N47" s="50">
        <f>ROUND(+N$4/+'Age Factors'!N47,0)</f>
        <v>4466</v>
      </c>
      <c r="O47" s="50">
        <f>ROUND(+O$4/+'Age Factors'!O47,0)</f>
        <v>5393</v>
      </c>
      <c r="P47" s="50">
        <f>ROUND(+P$4/+'Age Factors'!P47,0)</f>
        <v>7787</v>
      </c>
      <c r="Q47" s="50">
        <f>ROUND(+Q$4/+'Age Factors'!Q47,0)</f>
        <v>9493</v>
      </c>
      <c r="R47" s="50">
        <f>ROUND(+R$4/+'Age Factors'!R47,0)</f>
        <v>17307</v>
      </c>
      <c r="S47" s="50">
        <f>ROUND(+S$4/+'Age Factors'!S47,0)</f>
        <v>22990</v>
      </c>
      <c r="T47" s="50">
        <f>ROUND(+T$4/+'Age Factors'!T47,0)</f>
        <v>39070</v>
      </c>
      <c r="U47" s="50">
        <f>ROUND(+U$4/+'Age Factors'!U47,0)</f>
        <v>42826</v>
      </c>
      <c r="V47" s="50">
        <f>ROUND(+V$4/+'Age Factors'!V47,0)</f>
        <v>56829</v>
      </c>
      <c r="W47" s="47"/>
    </row>
    <row r="48" spans="1:23">
      <c r="A48" s="49">
        <v>47</v>
      </c>
      <c r="B48" s="50">
        <f>ROUND(+B$4/+'Age Factors'!B48,0)</f>
        <v>256</v>
      </c>
      <c r="C48" s="50">
        <f>ROUND(+C$4/+'Age Factors'!C48,0)</f>
        <v>857</v>
      </c>
      <c r="D48" s="50">
        <f>ROUND(+D$4/+'Age Factors'!D48,0)</f>
        <v>1034</v>
      </c>
      <c r="E48" s="50">
        <f>ROUND(+E$4/+'Age Factors'!E48,0)</f>
        <v>1110</v>
      </c>
      <c r="F48" s="50">
        <f>ROUND(+F$4/+'Age Factors'!F48,0)</f>
        <v>1389</v>
      </c>
      <c r="G48" s="50">
        <f>ROUND(+G$4/+'Age Factors'!G48,0)</f>
        <v>1399</v>
      </c>
      <c r="H48" s="50">
        <f>ROUND(+H$4/+'Age Factors'!H48,0)</f>
        <v>1748</v>
      </c>
      <c r="I48" s="50">
        <f>ROUND(+I$4/+'Age Factors'!I48,0)</f>
        <v>2111</v>
      </c>
      <c r="J48" s="50">
        <f>ROUND(+J$4/+'Age Factors'!J48,0)</f>
        <v>2659</v>
      </c>
      <c r="K48" s="50">
        <f>ROUND(+K$4/+'Age Factors'!K48,0)</f>
        <v>2856</v>
      </c>
      <c r="L48" s="50">
        <f>ROUND(+L$4/+'Age Factors'!L48,0)</f>
        <v>3584</v>
      </c>
      <c r="M48" s="50">
        <f>ROUND(+M$4/+'Age Factors'!M48,0)</f>
        <v>3793</v>
      </c>
      <c r="N48" s="50">
        <f>ROUND(+N$4/+'Age Factors'!N48,0)</f>
        <v>4504</v>
      </c>
      <c r="O48" s="50">
        <f>ROUND(+O$4/+'Age Factors'!O48,0)</f>
        <v>5440</v>
      </c>
      <c r="P48" s="50">
        <f>ROUND(+P$4/+'Age Factors'!P48,0)</f>
        <v>7856</v>
      </c>
      <c r="Q48" s="50">
        <f>ROUND(+Q$4/+'Age Factors'!Q48,0)</f>
        <v>9578</v>
      </c>
      <c r="R48" s="50">
        <f>ROUND(+R$4/+'Age Factors'!R48,0)</f>
        <v>17461</v>
      </c>
      <c r="S48" s="50">
        <f>ROUND(+S$4/+'Age Factors'!S48,0)</f>
        <v>23195</v>
      </c>
      <c r="T48" s="50">
        <f>ROUND(+T$4/+'Age Factors'!T48,0)</f>
        <v>39418</v>
      </c>
      <c r="U48" s="50">
        <f>ROUND(+U$4/+'Age Factors'!U48,0)</f>
        <v>43208</v>
      </c>
      <c r="V48" s="50">
        <f>ROUND(+V$4/+'Age Factors'!V48,0)</f>
        <v>57335</v>
      </c>
      <c r="W48" s="47"/>
    </row>
    <row r="49" spans="1:23">
      <c r="A49" s="49">
        <v>48</v>
      </c>
      <c r="B49" s="50">
        <f>ROUND(+B$4/+'Age Factors'!B49,0)</f>
        <v>258</v>
      </c>
      <c r="C49" s="50">
        <f>ROUND(+C$4/+'Age Factors'!C49,0)</f>
        <v>864</v>
      </c>
      <c r="D49" s="50">
        <f>ROUND(+D$4/+'Age Factors'!D49,0)</f>
        <v>1042</v>
      </c>
      <c r="E49" s="50">
        <f>ROUND(+E$4/+'Age Factors'!E49,0)</f>
        <v>1119</v>
      </c>
      <c r="F49" s="50">
        <f>ROUND(+F$4/+'Age Factors'!F49,0)</f>
        <v>1401</v>
      </c>
      <c r="G49" s="50">
        <f>ROUND(+G$4/+'Age Factors'!G49,0)</f>
        <v>1411</v>
      </c>
      <c r="H49" s="50">
        <f>ROUND(+H$4/+'Age Factors'!H49,0)</f>
        <v>1762</v>
      </c>
      <c r="I49" s="50">
        <f>ROUND(+I$4/+'Age Factors'!I49,0)</f>
        <v>2129</v>
      </c>
      <c r="J49" s="50">
        <f>ROUND(+J$4/+'Age Factors'!J49,0)</f>
        <v>2682</v>
      </c>
      <c r="K49" s="50">
        <f>ROUND(+K$4/+'Age Factors'!K49,0)</f>
        <v>2881</v>
      </c>
      <c r="L49" s="50">
        <f>ROUND(+L$4/+'Age Factors'!L49,0)</f>
        <v>3615</v>
      </c>
      <c r="M49" s="50">
        <f>ROUND(+M$4/+'Age Factors'!M49,0)</f>
        <v>3826</v>
      </c>
      <c r="N49" s="50">
        <f>ROUND(+N$4/+'Age Factors'!N49,0)</f>
        <v>4543</v>
      </c>
      <c r="O49" s="50">
        <f>ROUND(+O$4/+'Age Factors'!O49,0)</f>
        <v>5488</v>
      </c>
      <c r="P49" s="50">
        <f>ROUND(+P$4/+'Age Factors'!P49,0)</f>
        <v>7927</v>
      </c>
      <c r="Q49" s="50">
        <f>ROUND(+Q$4/+'Age Factors'!Q49,0)</f>
        <v>9664</v>
      </c>
      <c r="R49" s="50">
        <f>ROUND(+R$4/+'Age Factors'!R49,0)</f>
        <v>17618</v>
      </c>
      <c r="S49" s="50">
        <f>ROUND(+S$4/+'Age Factors'!S49,0)</f>
        <v>23403</v>
      </c>
      <c r="T49" s="50">
        <f>ROUND(+T$4/+'Age Factors'!T49,0)</f>
        <v>39772</v>
      </c>
      <c r="U49" s="50">
        <f>ROUND(+U$4/+'Age Factors'!U49,0)</f>
        <v>43596</v>
      </c>
      <c r="V49" s="50">
        <f>ROUND(+V$4/+'Age Factors'!V49,0)</f>
        <v>57850</v>
      </c>
      <c r="W49" s="47"/>
    </row>
    <row r="50" spans="1:23">
      <c r="A50" s="49">
        <v>49</v>
      </c>
      <c r="B50" s="50">
        <f>ROUND(+B$4/+'Age Factors'!B50,0)</f>
        <v>261</v>
      </c>
      <c r="C50" s="50">
        <f>ROUND(+C$4/+'Age Factors'!C50,0)</f>
        <v>871</v>
      </c>
      <c r="D50" s="50">
        <f>ROUND(+D$4/+'Age Factors'!D50,0)</f>
        <v>1050</v>
      </c>
      <c r="E50" s="50">
        <f>ROUND(+E$4/+'Age Factors'!E50,0)</f>
        <v>1129</v>
      </c>
      <c r="F50" s="50">
        <f>ROUND(+F$4/+'Age Factors'!F50,0)</f>
        <v>1412</v>
      </c>
      <c r="G50" s="50">
        <f>ROUND(+G$4/+'Age Factors'!G50,0)</f>
        <v>1422</v>
      </c>
      <c r="H50" s="50">
        <f>ROUND(+H$4/+'Age Factors'!H50,0)</f>
        <v>1777</v>
      </c>
      <c r="I50" s="50">
        <f>ROUND(+I$4/+'Age Factors'!I50,0)</f>
        <v>2147</v>
      </c>
      <c r="J50" s="50">
        <f>ROUND(+J$4/+'Age Factors'!J50,0)</f>
        <v>2705</v>
      </c>
      <c r="K50" s="50">
        <f>ROUND(+K$4/+'Age Factors'!K50,0)</f>
        <v>2906</v>
      </c>
      <c r="L50" s="50">
        <f>ROUND(+L$4/+'Age Factors'!L50,0)</f>
        <v>3647</v>
      </c>
      <c r="M50" s="50">
        <f>ROUND(+M$4/+'Age Factors'!M50,0)</f>
        <v>3859</v>
      </c>
      <c r="N50" s="50">
        <f>ROUND(+N$4/+'Age Factors'!N50,0)</f>
        <v>4583</v>
      </c>
      <c r="O50" s="50">
        <f>ROUND(+O$4/+'Age Factors'!O50,0)</f>
        <v>5537</v>
      </c>
      <c r="P50" s="50">
        <f>ROUND(+P$4/+'Age Factors'!P50,0)</f>
        <v>7999</v>
      </c>
      <c r="Q50" s="50">
        <f>ROUND(+Q$4/+'Age Factors'!Q50,0)</f>
        <v>9751</v>
      </c>
      <c r="R50" s="50">
        <f>ROUND(+R$4/+'Age Factors'!R50,0)</f>
        <v>17778</v>
      </c>
      <c r="S50" s="50">
        <f>ROUND(+S$4/+'Age Factors'!S50,0)</f>
        <v>23615</v>
      </c>
      <c r="T50" s="50">
        <f>ROUND(+T$4/+'Age Factors'!T50,0)</f>
        <v>40133</v>
      </c>
      <c r="U50" s="50">
        <f>ROUND(+U$4/+'Age Factors'!U50,0)</f>
        <v>43991</v>
      </c>
      <c r="V50" s="50">
        <f>ROUND(+V$4/+'Age Factors'!V50,0)</f>
        <v>58375</v>
      </c>
      <c r="W50" s="47"/>
    </row>
    <row r="51" spans="1:23">
      <c r="A51" s="54">
        <v>50</v>
      </c>
      <c r="B51" s="57">
        <f>ROUND(+B$4/+'Age Factors'!B51,0)</f>
        <v>263</v>
      </c>
      <c r="C51" s="57">
        <f>ROUND(+C$4/+'Age Factors'!C51,0)</f>
        <v>878</v>
      </c>
      <c r="D51" s="57">
        <f>ROUND(+D$4/+'Age Factors'!D51,0)</f>
        <v>1059</v>
      </c>
      <c r="E51" s="57">
        <f>ROUND(+E$4/+'Age Factors'!E51,0)</f>
        <v>1138</v>
      </c>
      <c r="F51" s="57">
        <f>ROUND(+F$4/+'Age Factors'!F51,0)</f>
        <v>1424</v>
      </c>
      <c r="G51" s="57">
        <f>ROUND(+G$4/+'Age Factors'!G51,0)</f>
        <v>1434</v>
      </c>
      <c r="H51" s="57">
        <f>ROUND(+H$4/+'Age Factors'!H51,0)</f>
        <v>1792</v>
      </c>
      <c r="I51" s="57">
        <f>ROUND(+I$4/+'Age Factors'!I51,0)</f>
        <v>2165</v>
      </c>
      <c r="J51" s="57">
        <f>ROUND(+J$4/+'Age Factors'!J51,0)</f>
        <v>2728</v>
      </c>
      <c r="K51" s="57">
        <f>ROUND(+K$4/+'Age Factors'!K51,0)</f>
        <v>2931</v>
      </c>
      <c r="L51" s="57">
        <f>ROUND(+L$4/+'Age Factors'!L51,0)</f>
        <v>3679</v>
      </c>
      <c r="M51" s="57">
        <f>ROUND(+M$4/+'Age Factors'!M51,0)</f>
        <v>3893</v>
      </c>
      <c r="N51" s="57">
        <f>ROUND(+N$4/+'Age Factors'!N51,0)</f>
        <v>4624</v>
      </c>
      <c r="O51" s="57">
        <f>ROUND(+O$4/+'Age Factors'!O51,0)</f>
        <v>5587</v>
      </c>
      <c r="P51" s="57">
        <f>ROUND(+P$4/+'Age Factors'!P51,0)</f>
        <v>8072</v>
      </c>
      <c r="Q51" s="57">
        <f>ROUND(+Q$4/+'Age Factors'!Q51,0)</f>
        <v>9840</v>
      </c>
      <c r="R51" s="57">
        <f>ROUND(+R$4/+'Age Factors'!R51,0)</f>
        <v>17940</v>
      </c>
      <c r="S51" s="57">
        <f>ROUND(+S$4/+'Age Factors'!S51,0)</f>
        <v>23831</v>
      </c>
      <c r="T51" s="57">
        <f>ROUND(+T$4/+'Age Factors'!T51,0)</f>
        <v>40500</v>
      </c>
      <c r="U51" s="57">
        <f>ROUND(+U$4/+'Age Factors'!U51,0)</f>
        <v>44394</v>
      </c>
      <c r="V51" s="57">
        <f>ROUND(+V$4/+'Age Factors'!V51,0)</f>
        <v>58909</v>
      </c>
      <c r="W51" s="47"/>
    </row>
    <row r="52" spans="1:23">
      <c r="A52" s="49">
        <v>51</v>
      </c>
      <c r="B52" s="50">
        <f>ROUND(+B$4/+'Age Factors'!B52,0)</f>
        <v>265</v>
      </c>
      <c r="C52" s="50">
        <f>ROUND(+C$4/+'Age Factors'!C52,0)</f>
        <v>885</v>
      </c>
      <c r="D52" s="50">
        <f>ROUND(+D$4/+'Age Factors'!D52,0)</f>
        <v>1068</v>
      </c>
      <c r="E52" s="50">
        <f>ROUND(+E$4/+'Age Factors'!E52,0)</f>
        <v>1147</v>
      </c>
      <c r="F52" s="50">
        <f>ROUND(+F$4/+'Age Factors'!F52,0)</f>
        <v>1436</v>
      </c>
      <c r="G52" s="50">
        <f>ROUND(+G$4/+'Age Factors'!G52,0)</f>
        <v>1446</v>
      </c>
      <c r="H52" s="50">
        <f>ROUND(+H$4/+'Age Factors'!H52,0)</f>
        <v>1808</v>
      </c>
      <c r="I52" s="50">
        <f>ROUND(+I$4/+'Age Factors'!I52,0)</f>
        <v>2184</v>
      </c>
      <c r="J52" s="50">
        <f>ROUND(+J$4/+'Age Factors'!J52,0)</f>
        <v>2752</v>
      </c>
      <c r="K52" s="50">
        <f>ROUND(+K$4/+'Age Factors'!K52,0)</f>
        <v>2956</v>
      </c>
      <c r="L52" s="50">
        <f>ROUND(+L$4/+'Age Factors'!L52,0)</f>
        <v>3711</v>
      </c>
      <c r="M52" s="50">
        <f>ROUND(+M$4/+'Age Factors'!M52,0)</f>
        <v>3928</v>
      </c>
      <c r="N52" s="50">
        <f>ROUND(+N$4/+'Age Factors'!N52,0)</f>
        <v>4666</v>
      </c>
      <c r="O52" s="50">
        <f>ROUND(+O$4/+'Age Factors'!O52,0)</f>
        <v>5637</v>
      </c>
      <c r="P52" s="50">
        <f>ROUND(+P$4/+'Age Factors'!P52,0)</f>
        <v>8147</v>
      </c>
      <c r="Q52" s="50">
        <f>ROUND(+Q$4/+'Age Factors'!Q52,0)</f>
        <v>9931</v>
      </c>
      <c r="R52" s="50">
        <f>ROUND(+R$4/+'Age Factors'!R52,0)</f>
        <v>18106</v>
      </c>
      <c r="S52" s="50">
        <f>ROUND(+S$4/+'Age Factors'!S52,0)</f>
        <v>24051</v>
      </c>
      <c r="T52" s="50">
        <f>ROUND(+T$4/+'Age Factors'!T52,0)</f>
        <v>40874</v>
      </c>
      <c r="U52" s="50">
        <f>ROUND(+U$4/+'Age Factors'!U52,0)</f>
        <v>44804</v>
      </c>
      <c r="V52" s="50">
        <f>ROUND(+V$4/+'Age Factors'!V52,0)</f>
        <v>59453</v>
      </c>
      <c r="W52" s="47"/>
    </row>
    <row r="53" spans="1:23">
      <c r="A53" s="49">
        <v>52</v>
      </c>
      <c r="B53" s="50">
        <f>ROUND(+B$4/+'Age Factors'!B53,0)</f>
        <v>268</v>
      </c>
      <c r="C53" s="50">
        <f>ROUND(+C$4/+'Age Factors'!C53,0)</f>
        <v>892</v>
      </c>
      <c r="D53" s="50">
        <f>ROUND(+D$4/+'Age Factors'!D53,0)</f>
        <v>1077</v>
      </c>
      <c r="E53" s="50">
        <f>ROUND(+E$4/+'Age Factors'!E53,0)</f>
        <v>1157</v>
      </c>
      <c r="F53" s="50">
        <f>ROUND(+F$4/+'Age Factors'!F53,0)</f>
        <v>1448</v>
      </c>
      <c r="G53" s="50">
        <f>ROUND(+G$4/+'Age Factors'!G53,0)</f>
        <v>1458</v>
      </c>
      <c r="H53" s="50">
        <f>ROUND(+H$4/+'Age Factors'!H53,0)</f>
        <v>1823</v>
      </c>
      <c r="I53" s="50">
        <f>ROUND(+I$4/+'Age Factors'!I53,0)</f>
        <v>2203</v>
      </c>
      <c r="J53" s="50">
        <f>ROUND(+J$4/+'Age Factors'!J53,0)</f>
        <v>2776</v>
      </c>
      <c r="K53" s="50">
        <f>ROUND(+K$4/+'Age Factors'!K53,0)</f>
        <v>2982</v>
      </c>
      <c r="L53" s="50">
        <f>ROUND(+L$4/+'Age Factors'!L53,0)</f>
        <v>3744</v>
      </c>
      <c r="M53" s="50">
        <f>ROUND(+M$4/+'Age Factors'!M53,0)</f>
        <v>3963</v>
      </c>
      <c r="N53" s="50">
        <f>ROUND(+N$4/+'Age Factors'!N53,0)</f>
        <v>4707</v>
      </c>
      <c r="O53" s="50">
        <f>ROUND(+O$4/+'Age Factors'!O53,0)</f>
        <v>5688</v>
      </c>
      <c r="P53" s="50">
        <f>ROUND(+P$4/+'Age Factors'!P53,0)</f>
        <v>8223</v>
      </c>
      <c r="Q53" s="50">
        <f>ROUND(+Q$4/+'Age Factors'!Q53,0)</f>
        <v>10024</v>
      </c>
      <c r="R53" s="50">
        <f>ROUND(+R$4/+'Age Factors'!R53,0)</f>
        <v>18275</v>
      </c>
      <c r="S53" s="50">
        <f>ROUND(+S$4/+'Age Factors'!S53,0)</f>
        <v>24275</v>
      </c>
      <c r="T53" s="50">
        <f>ROUND(+T$4/+'Age Factors'!T53,0)</f>
        <v>41255</v>
      </c>
      <c r="U53" s="50">
        <f>ROUND(+U$4/+'Age Factors'!U53,0)</f>
        <v>45221</v>
      </c>
      <c r="V53" s="50">
        <f>ROUND(+V$4/+'Age Factors'!V53,0)</f>
        <v>60007</v>
      </c>
      <c r="W53" s="47"/>
    </row>
    <row r="54" spans="1:23">
      <c r="A54" s="49">
        <v>53</v>
      </c>
      <c r="B54" s="50">
        <f>ROUND(+B$4/+'Age Factors'!B54,0)</f>
        <v>270</v>
      </c>
      <c r="C54" s="50">
        <f>ROUND(+C$4/+'Age Factors'!C54,0)</f>
        <v>899</v>
      </c>
      <c r="D54" s="50">
        <f>ROUND(+D$4/+'Age Factors'!D54,0)</f>
        <v>1086</v>
      </c>
      <c r="E54" s="50">
        <f>ROUND(+E$4/+'Age Factors'!E54,0)</f>
        <v>1166</v>
      </c>
      <c r="F54" s="50">
        <f>ROUND(+F$4/+'Age Factors'!F54,0)</f>
        <v>1460</v>
      </c>
      <c r="G54" s="50">
        <f>ROUND(+G$4/+'Age Factors'!G54,0)</f>
        <v>1471</v>
      </c>
      <c r="H54" s="50">
        <f>ROUND(+H$4/+'Age Factors'!H54,0)</f>
        <v>1839</v>
      </c>
      <c r="I54" s="50">
        <f>ROUND(+I$4/+'Age Factors'!I54,0)</f>
        <v>2222</v>
      </c>
      <c r="J54" s="50">
        <f>ROUND(+J$4/+'Age Factors'!J54,0)</f>
        <v>2801</v>
      </c>
      <c r="K54" s="50">
        <f>ROUND(+K$4/+'Age Factors'!K54,0)</f>
        <v>3009</v>
      </c>
      <c r="L54" s="50">
        <f>ROUND(+L$4/+'Age Factors'!L54,0)</f>
        <v>3778</v>
      </c>
      <c r="M54" s="50">
        <f>ROUND(+M$4/+'Age Factors'!M54,0)</f>
        <v>3998</v>
      </c>
      <c r="N54" s="50">
        <f>ROUND(+N$4/+'Age Factors'!N54,0)</f>
        <v>4750</v>
      </c>
      <c r="O54" s="50">
        <f>ROUND(+O$4/+'Age Factors'!O54,0)</f>
        <v>5741</v>
      </c>
      <c r="P54" s="50">
        <f>ROUND(+P$4/+'Age Factors'!P54,0)</f>
        <v>8300</v>
      </c>
      <c r="Q54" s="50">
        <f>ROUND(+Q$4/+'Age Factors'!Q54,0)</f>
        <v>10118</v>
      </c>
      <c r="R54" s="50">
        <f>ROUND(+R$4/+'Age Factors'!R54,0)</f>
        <v>18447</v>
      </c>
      <c r="S54" s="50">
        <f>ROUND(+S$4/+'Age Factors'!S54,0)</f>
        <v>24504</v>
      </c>
      <c r="T54" s="50">
        <f>ROUND(+T$4/+'Age Factors'!T54,0)</f>
        <v>41643</v>
      </c>
      <c r="U54" s="50">
        <f>ROUND(+U$4/+'Age Factors'!U54,0)</f>
        <v>45646</v>
      </c>
      <c r="V54" s="50">
        <f>ROUND(+V$4/+'Age Factors'!V54,0)</f>
        <v>60571</v>
      </c>
      <c r="W54" s="47"/>
    </row>
    <row r="55" spans="1:23">
      <c r="A55" s="49">
        <v>54</v>
      </c>
      <c r="B55" s="50">
        <f>ROUND(+B$4/+'Age Factors'!B55,0)</f>
        <v>273</v>
      </c>
      <c r="C55" s="50">
        <f>ROUND(+C$4/+'Age Factors'!C55,0)</f>
        <v>907</v>
      </c>
      <c r="D55" s="50">
        <f>ROUND(+D$4/+'Age Factors'!D55,0)</f>
        <v>1095</v>
      </c>
      <c r="E55" s="50">
        <f>ROUND(+E$4/+'Age Factors'!E55,0)</f>
        <v>1176</v>
      </c>
      <c r="F55" s="50">
        <f>ROUND(+F$4/+'Age Factors'!F55,0)</f>
        <v>1473</v>
      </c>
      <c r="G55" s="50">
        <f>ROUND(+G$4/+'Age Factors'!G55,0)</f>
        <v>1484</v>
      </c>
      <c r="H55" s="50">
        <f>ROUND(+H$4/+'Age Factors'!H55,0)</f>
        <v>1855</v>
      </c>
      <c r="I55" s="50">
        <f>ROUND(+I$4/+'Age Factors'!I55,0)</f>
        <v>2242</v>
      </c>
      <c r="J55" s="50">
        <f>ROUND(+J$4/+'Age Factors'!J55,0)</f>
        <v>2826</v>
      </c>
      <c r="K55" s="50">
        <f>ROUND(+K$4/+'Age Factors'!K55,0)</f>
        <v>3036</v>
      </c>
      <c r="L55" s="50">
        <f>ROUND(+L$4/+'Age Factors'!L55,0)</f>
        <v>3812</v>
      </c>
      <c r="M55" s="50">
        <f>ROUND(+M$4/+'Age Factors'!M55,0)</f>
        <v>4035</v>
      </c>
      <c r="N55" s="50">
        <f>ROUND(+N$4/+'Age Factors'!N55,0)</f>
        <v>4794</v>
      </c>
      <c r="O55" s="50">
        <f>ROUND(+O$4/+'Age Factors'!O55,0)</f>
        <v>5794</v>
      </c>
      <c r="P55" s="50">
        <f>ROUND(+P$4/+'Age Factors'!P55,0)</f>
        <v>8379</v>
      </c>
      <c r="Q55" s="50">
        <f>ROUND(+Q$4/+'Age Factors'!Q55,0)</f>
        <v>10214</v>
      </c>
      <c r="R55" s="50">
        <f>ROUND(+R$4/+'Age Factors'!R55,0)</f>
        <v>18622</v>
      </c>
      <c r="S55" s="50">
        <f>ROUND(+S$4/+'Age Factors'!S55,0)</f>
        <v>24737</v>
      </c>
      <c r="T55" s="50">
        <f>ROUND(+T$4/+'Age Factors'!T55,0)</f>
        <v>42038</v>
      </c>
      <c r="U55" s="50">
        <f>ROUND(+U$4/+'Age Factors'!U55,0)</f>
        <v>46080</v>
      </c>
      <c r="V55" s="50">
        <f>ROUND(+V$4/+'Age Factors'!V55,0)</f>
        <v>61146</v>
      </c>
      <c r="W55" s="47"/>
    </row>
    <row r="56" spans="1:23">
      <c r="A56" s="54">
        <v>55</v>
      </c>
      <c r="B56" s="57">
        <f>ROUND(+B$4/+'Age Factors'!B56,0)</f>
        <v>275</v>
      </c>
      <c r="C56" s="57">
        <f>ROUND(+C$4/+'Age Factors'!C56,0)</f>
        <v>914</v>
      </c>
      <c r="D56" s="57">
        <f>ROUND(+D$4/+'Age Factors'!D56,0)</f>
        <v>1104</v>
      </c>
      <c r="E56" s="57">
        <f>ROUND(+E$4/+'Age Factors'!E56,0)</f>
        <v>1186</v>
      </c>
      <c r="F56" s="57">
        <f>ROUND(+F$4/+'Age Factors'!F56,0)</f>
        <v>1486</v>
      </c>
      <c r="G56" s="57">
        <f>ROUND(+G$4/+'Age Factors'!G56,0)</f>
        <v>1496</v>
      </c>
      <c r="H56" s="57">
        <f>ROUND(+H$4/+'Age Factors'!H56,0)</f>
        <v>1872</v>
      </c>
      <c r="I56" s="57">
        <f>ROUND(+I$4/+'Age Factors'!I56,0)</f>
        <v>2262</v>
      </c>
      <c r="J56" s="57">
        <f>ROUND(+J$4/+'Age Factors'!J56,0)</f>
        <v>2851</v>
      </c>
      <c r="K56" s="57">
        <f>ROUND(+K$4/+'Age Factors'!K56,0)</f>
        <v>3063</v>
      </c>
      <c r="L56" s="57">
        <f>ROUND(+L$4/+'Age Factors'!L56,0)</f>
        <v>3847</v>
      </c>
      <c r="M56" s="57">
        <f>ROUND(+M$4/+'Age Factors'!M56,0)</f>
        <v>4072</v>
      </c>
      <c r="N56" s="57">
        <f>ROUND(+N$4/+'Age Factors'!N56,0)</f>
        <v>4839</v>
      </c>
      <c r="O56" s="57">
        <f>ROUND(+O$4/+'Age Factors'!O56,0)</f>
        <v>5849</v>
      </c>
      <c r="P56" s="57">
        <f>ROUND(+P$4/+'Age Factors'!P56,0)</f>
        <v>8459</v>
      </c>
      <c r="Q56" s="57">
        <f>ROUND(+Q$4/+'Age Factors'!Q56,0)</f>
        <v>10312</v>
      </c>
      <c r="R56" s="57">
        <f>ROUND(+R$4/+'Age Factors'!R56,0)</f>
        <v>18800</v>
      </c>
      <c r="S56" s="57">
        <f>ROUND(+S$4/+'Age Factors'!S56,0)</f>
        <v>24974</v>
      </c>
      <c r="T56" s="57">
        <f>ROUND(+T$4/+'Age Factors'!T56,0)</f>
        <v>42441</v>
      </c>
      <c r="U56" s="57">
        <f>ROUND(+U$4/+'Age Factors'!U56,0)</f>
        <v>46522</v>
      </c>
      <c r="V56" s="57">
        <f>ROUND(+V$4/+'Age Factors'!V56,0)</f>
        <v>61733</v>
      </c>
      <c r="W56" s="47"/>
    </row>
    <row r="57" spans="1:23">
      <c r="A57" s="49">
        <v>56</v>
      </c>
      <c r="B57" s="50">
        <f>ROUND(+B$4/+'Age Factors'!B57,0)</f>
        <v>278</v>
      </c>
      <c r="C57" s="50">
        <f>ROUND(+C$4/+'Age Factors'!C57,0)</f>
        <v>922</v>
      </c>
      <c r="D57" s="50">
        <f>ROUND(+D$4/+'Age Factors'!D57,0)</f>
        <v>1113</v>
      </c>
      <c r="E57" s="50">
        <f>ROUND(+E$4/+'Age Factors'!E57,0)</f>
        <v>1196</v>
      </c>
      <c r="F57" s="50">
        <f>ROUND(+F$4/+'Age Factors'!F57,0)</f>
        <v>1499</v>
      </c>
      <c r="G57" s="50">
        <f>ROUND(+G$4/+'Age Factors'!G57,0)</f>
        <v>1510</v>
      </c>
      <c r="H57" s="50">
        <f>ROUND(+H$4/+'Age Factors'!H57,0)</f>
        <v>1888</v>
      </c>
      <c r="I57" s="50">
        <f>ROUND(+I$4/+'Age Factors'!I57,0)</f>
        <v>2282</v>
      </c>
      <c r="J57" s="50">
        <f>ROUND(+J$4/+'Age Factors'!J57,0)</f>
        <v>2877</v>
      </c>
      <c r="K57" s="50">
        <f>ROUND(+K$4/+'Age Factors'!K57,0)</f>
        <v>3091</v>
      </c>
      <c r="L57" s="50">
        <f>ROUND(+L$4/+'Age Factors'!L57,0)</f>
        <v>3883</v>
      </c>
      <c r="M57" s="50">
        <f>ROUND(+M$4/+'Age Factors'!M57,0)</f>
        <v>4110</v>
      </c>
      <c r="N57" s="50">
        <f>ROUND(+N$4/+'Age Factors'!N57,0)</f>
        <v>4884</v>
      </c>
      <c r="O57" s="50">
        <f>ROUND(+O$4/+'Age Factors'!O57,0)</f>
        <v>5904</v>
      </c>
      <c r="P57" s="50">
        <f>ROUND(+P$4/+'Age Factors'!P57,0)</f>
        <v>8541</v>
      </c>
      <c r="Q57" s="50">
        <f>ROUND(+Q$4/+'Age Factors'!Q57,0)</f>
        <v>10412</v>
      </c>
      <c r="R57" s="50">
        <f>ROUND(+R$4/+'Age Factors'!R57,0)</f>
        <v>18982</v>
      </c>
      <c r="S57" s="50">
        <f>ROUND(+S$4/+'Age Factors'!S57,0)</f>
        <v>25215</v>
      </c>
      <c r="T57" s="50">
        <f>ROUND(+T$4/+'Age Factors'!T57,0)</f>
        <v>42852</v>
      </c>
      <c r="U57" s="50">
        <f>ROUND(+U$4/+'Age Factors'!U57,0)</f>
        <v>46972</v>
      </c>
      <c r="V57" s="50">
        <f>ROUND(+V$4/+'Age Factors'!V57,0)</f>
        <v>62330</v>
      </c>
      <c r="W57" s="47"/>
    </row>
    <row r="58" spans="1:23">
      <c r="A58" s="49">
        <v>57</v>
      </c>
      <c r="B58" s="50">
        <f>ROUND(+B$4/+'Age Factors'!B58,0)</f>
        <v>281</v>
      </c>
      <c r="C58" s="50">
        <f>ROUND(+C$4/+'Age Factors'!C58,0)</f>
        <v>930</v>
      </c>
      <c r="D58" s="50">
        <f>ROUND(+D$4/+'Age Factors'!D58,0)</f>
        <v>1123</v>
      </c>
      <c r="E58" s="50">
        <f>ROUND(+E$4/+'Age Factors'!E58,0)</f>
        <v>1207</v>
      </c>
      <c r="F58" s="50">
        <f>ROUND(+F$4/+'Age Factors'!F58,0)</f>
        <v>1512</v>
      </c>
      <c r="G58" s="50">
        <f>ROUND(+G$4/+'Age Factors'!G58,0)</f>
        <v>1523</v>
      </c>
      <c r="H58" s="50">
        <f>ROUND(+H$4/+'Age Factors'!H58,0)</f>
        <v>1905</v>
      </c>
      <c r="I58" s="50">
        <f>ROUND(+I$4/+'Age Factors'!I58,0)</f>
        <v>2303</v>
      </c>
      <c r="J58" s="50">
        <f>ROUND(+J$4/+'Age Factors'!J58,0)</f>
        <v>2904</v>
      </c>
      <c r="K58" s="50">
        <f>ROUND(+K$4/+'Age Factors'!K58,0)</f>
        <v>3120</v>
      </c>
      <c r="L58" s="50">
        <f>ROUND(+L$4/+'Age Factors'!L58,0)</f>
        <v>3919</v>
      </c>
      <c r="M58" s="50">
        <f>ROUND(+M$4/+'Age Factors'!M58,0)</f>
        <v>4148</v>
      </c>
      <c r="N58" s="50">
        <f>ROUND(+N$4/+'Age Factors'!N58,0)</f>
        <v>4930</v>
      </c>
      <c r="O58" s="50">
        <f>ROUND(+O$4/+'Age Factors'!O58,0)</f>
        <v>5961</v>
      </c>
      <c r="P58" s="50">
        <f>ROUND(+P$4/+'Age Factors'!P58,0)</f>
        <v>8624</v>
      </c>
      <c r="Q58" s="50">
        <f>ROUND(+Q$4/+'Age Factors'!Q58,0)</f>
        <v>10514</v>
      </c>
      <c r="R58" s="50">
        <f>ROUND(+R$4/+'Age Factors'!R58,0)</f>
        <v>19168</v>
      </c>
      <c r="S58" s="50">
        <f>ROUND(+S$4/+'Age Factors'!S58,0)</f>
        <v>25462</v>
      </c>
      <c r="T58" s="50">
        <f>ROUND(+T$4/+'Age Factors'!T58,0)</f>
        <v>43271</v>
      </c>
      <c r="U58" s="50">
        <f>ROUND(+U$4/+'Age Factors'!U58,0)</f>
        <v>47431</v>
      </c>
      <c r="V58" s="50">
        <f>ROUND(+V$4/+'Age Factors'!V58,0)</f>
        <v>62940</v>
      </c>
      <c r="W58" s="47"/>
    </row>
    <row r="59" spans="1:23">
      <c r="A59" s="49">
        <v>58</v>
      </c>
      <c r="B59" s="50">
        <f>ROUND(+B$4/+'Age Factors'!B59,0)</f>
        <v>283</v>
      </c>
      <c r="C59" s="50">
        <f>ROUND(+C$4/+'Age Factors'!C59,0)</f>
        <v>938</v>
      </c>
      <c r="D59" s="50">
        <f>ROUND(+D$4/+'Age Factors'!D59,0)</f>
        <v>1133</v>
      </c>
      <c r="E59" s="50">
        <f>ROUND(+E$4/+'Age Factors'!E59,0)</f>
        <v>1217</v>
      </c>
      <c r="F59" s="50">
        <f>ROUND(+F$4/+'Age Factors'!F59,0)</f>
        <v>1526</v>
      </c>
      <c r="G59" s="50">
        <f>ROUND(+G$4/+'Age Factors'!G59,0)</f>
        <v>1537</v>
      </c>
      <c r="H59" s="50">
        <f>ROUND(+H$4/+'Age Factors'!H59,0)</f>
        <v>1923</v>
      </c>
      <c r="I59" s="50">
        <f>ROUND(+I$4/+'Age Factors'!I59,0)</f>
        <v>2324</v>
      </c>
      <c r="J59" s="50">
        <f>ROUND(+J$4/+'Age Factors'!J59,0)</f>
        <v>2931</v>
      </c>
      <c r="K59" s="50">
        <f>ROUND(+K$4/+'Age Factors'!K59,0)</f>
        <v>3149</v>
      </c>
      <c r="L59" s="50">
        <f>ROUND(+L$4/+'Age Factors'!L59,0)</f>
        <v>3955</v>
      </c>
      <c r="M59" s="50">
        <f>ROUND(+M$4/+'Age Factors'!M59,0)</f>
        <v>4187</v>
      </c>
      <c r="N59" s="50">
        <f>ROUND(+N$4/+'Age Factors'!N59,0)</f>
        <v>4977</v>
      </c>
      <c r="O59" s="50">
        <f>ROUND(+O$4/+'Age Factors'!O59,0)</f>
        <v>6018</v>
      </c>
      <c r="P59" s="50">
        <f>ROUND(+P$4/+'Age Factors'!P59,0)</f>
        <v>8710</v>
      </c>
      <c r="Q59" s="50">
        <f>ROUND(+Q$4/+'Age Factors'!Q59,0)</f>
        <v>10618</v>
      </c>
      <c r="R59" s="50">
        <f>ROUND(+R$4/+'Age Factors'!R59,0)</f>
        <v>19357</v>
      </c>
      <c r="S59" s="50">
        <f>ROUND(+S$4/+'Age Factors'!S59,0)</f>
        <v>25713</v>
      </c>
      <c r="T59" s="50">
        <f>ROUND(+T$4/+'Age Factors'!T59,0)</f>
        <v>43698</v>
      </c>
      <c r="U59" s="50">
        <f>ROUND(+U$4/+'Age Factors'!U59,0)</f>
        <v>47899</v>
      </c>
      <c r="V59" s="50">
        <f>ROUND(+V$4/+'Age Factors'!V59,0)</f>
        <v>63561</v>
      </c>
      <c r="W59" s="47"/>
    </row>
    <row r="60" spans="1:23">
      <c r="A60" s="49">
        <v>59</v>
      </c>
      <c r="B60" s="50">
        <f>ROUND(+B$4/+'Age Factors'!B60,0)</f>
        <v>286</v>
      </c>
      <c r="C60" s="50">
        <f>ROUND(+C$4/+'Age Factors'!C60,0)</f>
        <v>946</v>
      </c>
      <c r="D60" s="50">
        <f>ROUND(+D$4/+'Age Factors'!D60,0)</f>
        <v>1143</v>
      </c>
      <c r="E60" s="50">
        <f>ROUND(+E$4/+'Age Factors'!E60,0)</f>
        <v>1228</v>
      </c>
      <c r="F60" s="50">
        <f>ROUND(+F$4/+'Age Factors'!F60,0)</f>
        <v>1539</v>
      </c>
      <c r="G60" s="50">
        <f>ROUND(+G$4/+'Age Factors'!G60,0)</f>
        <v>1550</v>
      </c>
      <c r="H60" s="50">
        <f>ROUND(+H$4/+'Age Factors'!H60,0)</f>
        <v>1940</v>
      </c>
      <c r="I60" s="50">
        <f>ROUND(+I$4/+'Age Factors'!I60,0)</f>
        <v>2346</v>
      </c>
      <c r="J60" s="50">
        <f>ROUND(+J$4/+'Age Factors'!J60,0)</f>
        <v>2958</v>
      </c>
      <c r="K60" s="50">
        <f>ROUND(+K$4/+'Age Factors'!K60,0)</f>
        <v>3179</v>
      </c>
      <c r="L60" s="50">
        <f>ROUND(+L$4/+'Age Factors'!L60,0)</f>
        <v>3993</v>
      </c>
      <c r="M60" s="50">
        <f>ROUND(+M$4/+'Age Factors'!M60,0)</f>
        <v>4227</v>
      </c>
      <c r="N60" s="50">
        <f>ROUND(+N$4/+'Age Factors'!N60,0)</f>
        <v>5025</v>
      </c>
      <c r="O60" s="50">
        <f>ROUND(+O$4/+'Age Factors'!O60,0)</f>
        <v>6077</v>
      </c>
      <c r="P60" s="50">
        <f>ROUND(+P$4/+'Age Factors'!P60,0)</f>
        <v>8796</v>
      </c>
      <c r="Q60" s="50">
        <f>ROUND(+Q$4/+'Age Factors'!Q60,0)</f>
        <v>10723</v>
      </c>
      <c r="R60" s="50">
        <f>ROUND(+R$4/+'Age Factors'!R60,0)</f>
        <v>19550</v>
      </c>
      <c r="S60" s="50">
        <f>ROUND(+S$4/+'Age Factors'!S60,0)</f>
        <v>25970</v>
      </c>
      <c r="T60" s="50">
        <f>ROUND(+T$4/+'Age Factors'!T60,0)</f>
        <v>44134</v>
      </c>
      <c r="U60" s="50">
        <f>ROUND(+U$4/+'Age Factors'!U60,0)</f>
        <v>48377</v>
      </c>
      <c r="V60" s="50">
        <f>ROUND(+V$4/+'Age Factors'!V60,0)</f>
        <v>64195</v>
      </c>
      <c r="W60" s="47"/>
    </row>
    <row r="61" spans="1:23">
      <c r="A61" s="54">
        <v>60</v>
      </c>
      <c r="B61" s="57">
        <f>ROUND(+B$4/+'Age Factors'!B61,0)</f>
        <v>289</v>
      </c>
      <c r="C61" s="57">
        <f>ROUND(+C$4/+'Age Factors'!C61,0)</f>
        <v>954</v>
      </c>
      <c r="D61" s="57">
        <f>ROUND(+D$4/+'Age Factors'!D61,0)</f>
        <v>1153</v>
      </c>
      <c r="E61" s="57">
        <f>ROUND(+E$4/+'Age Factors'!E61,0)</f>
        <v>1239</v>
      </c>
      <c r="F61" s="57">
        <f>ROUND(+F$4/+'Age Factors'!F61,0)</f>
        <v>1553</v>
      </c>
      <c r="G61" s="57">
        <f>ROUND(+G$4/+'Age Factors'!G61,0)</f>
        <v>1564</v>
      </c>
      <c r="H61" s="57">
        <f>ROUND(+H$4/+'Age Factors'!H61,0)</f>
        <v>1958</v>
      </c>
      <c r="I61" s="57">
        <f>ROUND(+I$4/+'Age Factors'!I61,0)</f>
        <v>2368</v>
      </c>
      <c r="J61" s="57">
        <f>ROUND(+J$4/+'Age Factors'!J61,0)</f>
        <v>2986</v>
      </c>
      <c r="K61" s="57">
        <f>ROUND(+K$4/+'Age Factors'!K61,0)</f>
        <v>3209</v>
      </c>
      <c r="L61" s="57">
        <f>ROUND(+L$4/+'Age Factors'!L61,0)</f>
        <v>4032</v>
      </c>
      <c r="M61" s="57">
        <f>ROUND(+M$4/+'Age Factors'!M61,0)</f>
        <v>4268</v>
      </c>
      <c r="N61" s="57">
        <f>ROUND(+N$4/+'Age Factors'!N61,0)</f>
        <v>5074</v>
      </c>
      <c r="O61" s="57">
        <f>ROUND(+O$4/+'Age Factors'!O61,0)</f>
        <v>6137</v>
      </c>
      <c r="P61" s="57">
        <f>ROUND(+P$4/+'Age Factors'!P61,0)</f>
        <v>8885</v>
      </c>
      <c r="Q61" s="57">
        <f>ROUND(+Q$4/+'Age Factors'!Q61,0)</f>
        <v>10831</v>
      </c>
      <c r="R61" s="57">
        <f>ROUND(+R$4/+'Age Factors'!R61,0)</f>
        <v>19747</v>
      </c>
      <c r="S61" s="57">
        <f>ROUND(+S$4/+'Age Factors'!S61,0)</f>
        <v>26231</v>
      </c>
      <c r="T61" s="57">
        <f>ROUND(+T$4/+'Age Factors'!T61,0)</f>
        <v>44578</v>
      </c>
      <c r="U61" s="57">
        <f>ROUND(+U$4/+'Age Factors'!U61,0)</f>
        <v>48864</v>
      </c>
      <c r="V61" s="57">
        <f>ROUND(+V$4/+'Age Factors'!V61,0)</f>
        <v>64841</v>
      </c>
      <c r="W61" s="47"/>
    </row>
    <row r="62" spans="1:23">
      <c r="A62" s="49">
        <v>61</v>
      </c>
      <c r="B62" s="50">
        <f>ROUND(+B$4/+'Age Factors'!B62,0)</f>
        <v>292</v>
      </c>
      <c r="C62" s="50">
        <f>ROUND(+C$4/+'Age Factors'!C62,0)</f>
        <v>962</v>
      </c>
      <c r="D62" s="50">
        <f>ROUND(+D$4/+'Age Factors'!D62,0)</f>
        <v>1163</v>
      </c>
      <c r="E62" s="50">
        <f>ROUND(+E$4/+'Age Factors'!E62,0)</f>
        <v>1250</v>
      </c>
      <c r="F62" s="50">
        <f>ROUND(+F$4/+'Age Factors'!F62,0)</f>
        <v>1568</v>
      </c>
      <c r="G62" s="50">
        <f>ROUND(+G$4/+'Age Factors'!G62,0)</f>
        <v>1579</v>
      </c>
      <c r="H62" s="50">
        <f>ROUND(+H$4/+'Age Factors'!H62,0)</f>
        <v>1977</v>
      </c>
      <c r="I62" s="50">
        <f>ROUND(+I$4/+'Age Factors'!I62,0)</f>
        <v>2390</v>
      </c>
      <c r="J62" s="50">
        <f>ROUND(+J$4/+'Age Factors'!J62,0)</f>
        <v>3015</v>
      </c>
      <c r="K62" s="50">
        <f>ROUND(+K$4/+'Age Factors'!K62,0)</f>
        <v>3240</v>
      </c>
      <c r="L62" s="50">
        <f>ROUND(+L$4/+'Age Factors'!L62,0)</f>
        <v>4071</v>
      </c>
      <c r="M62" s="50">
        <f>ROUND(+M$4/+'Age Factors'!M62,0)</f>
        <v>4309</v>
      </c>
      <c r="N62" s="50">
        <f>ROUND(+N$4/+'Age Factors'!N62,0)</f>
        <v>5124</v>
      </c>
      <c r="O62" s="50">
        <f>ROUND(+O$4/+'Age Factors'!O62,0)</f>
        <v>6198</v>
      </c>
      <c r="P62" s="50">
        <f>ROUND(+P$4/+'Age Factors'!P62,0)</f>
        <v>8975</v>
      </c>
      <c r="Q62" s="50">
        <f>ROUND(+Q$4/+'Age Factors'!Q62,0)</f>
        <v>10942</v>
      </c>
      <c r="R62" s="50">
        <f>ROUND(+R$4/+'Age Factors'!R62,0)</f>
        <v>19948</v>
      </c>
      <c r="S62" s="50">
        <f>ROUND(+S$4/+'Age Factors'!S62,0)</f>
        <v>26498</v>
      </c>
      <c r="T62" s="50">
        <f>ROUND(+T$4/+'Age Factors'!T62,0)</f>
        <v>45032</v>
      </c>
      <c r="U62" s="50">
        <f>ROUND(+U$4/+'Age Factors'!U62,0)</f>
        <v>49361</v>
      </c>
      <c r="V62" s="50">
        <f>ROUND(+V$4/+'Age Factors'!V62,0)</f>
        <v>65501</v>
      </c>
      <c r="W62" s="47"/>
    </row>
    <row r="63" spans="1:23">
      <c r="A63" s="49">
        <v>62</v>
      </c>
      <c r="B63" s="50">
        <f>ROUND(+B$4/+'Age Factors'!B63,0)</f>
        <v>295</v>
      </c>
      <c r="C63" s="50">
        <f>ROUND(+C$4/+'Age Factors'!C63,0)</f>
        <v>971</v>
      </c>
      <c r="D63" s="50">
        <f>ROUND(+D$4/+'Age Factors'!D63,0)</f>
        <v>1174</v>
      </c>
      <c r="E63" s="50">
        <f>ROUND(+E$4/+'Age Factors'!E63,0)</f>
        <v>1262</v>
      </c>
      <c r="F63" s="50">
        <f>ROUND(+F$4/+'Age Factors'!F63,0)</f>
        <v>1582</v>
      </c>
      <c r="G63" s="50">
        <f>ROUND(+G$4/+'Age Factors'!G63,0)</f>
        <v>1593</v>
      </c>
      <c r="H63" s="50">
        <f>ROUND(+H$4/+'Age Factors'!H63,0)</f>
        <v>1995</v>
      </c>
      <c r="I63" s="50">
        <f>ROUND(+I$4/+'Age Factors'!I63,0)</f>
        <v>2413</v>
      </c>
      <c r="J63" s="50">
        <f>ROUND(+J$4/+'Age Factors'!J63,0)</f>
        <v>3044</v>
      </c>
      <c r="K63" s="50">
        <f>ROUND(+K$4/+'Age Factors'!K63,0)</f>
        <v>3271</v>
      </c>
      <c r="L63" s="50">
        <f>ROUND(+L$4/+'Age Factors'!L63,0)</f>
        <v>4110</v>
      </c>
      <c r="M63" s="50">
        <f>ROUND(+M$4/+'Age Factors'!M63,0)</f>
        <v>4351</v>
      </c>
      <c r="N63" s="50">
        <f>ROUND(+N$4/+'Age Factors'!N63,0)</f>
        <v>5174</v>
      </c>
      <c r="O63" s="50">
        <f>ROUND(+O$4/+'Age Factors'!O63,0)</f>
        <v>6260</v>
      </c>
      <c r="P63" s="50">
        <f>ROUND(+P$4/+'Age Factors'!P63,0)</f>
        <v>9068</v>
      </c>
      <c r="Q63" s="50">
        <f>ROUND(+Q$4/+'Age Factors'!Q63,0)</f>
        <v>11054</v>
      </c>
      <c r="R63" s="50">
        <f>ROUND(+R$4/+'Age Factors'!R63,0)</f>
        <v>20153</v>
      </c>
      <c r="S63" s="50">
        <f>ROUND(+S$4/+'Age Factors'!S63,0)</f>
        <v>26770</v>
      </c>
      <c r="T63" s="50">
        <f>ROUND(+T$4/+'Age Factors'!T63,0)</f>
        <v>45494</v>
      </c>
      <c r="U63" s="50">
        <f>ROUND(+U$4/+'Age Factors'!U63,0)</f>
        <v>49868</v>
      </c>
      <c r="V63" s="50">
        <f>ROUND(+V$4/+'Age Factors'!V63,0)</f>
        <v>66174</v>
      </c>
      <c r="W63" s="47"/>
    </row>
    <row r="64" spans="1:23">
      <c r="A64" s="49">
        <v>63</v>
      </c>
      <c r="B64" s="50">
        <f>ROUND(+B$4/+'Age Factors'!B64,0)</f>
        <v>298</v>
      </c>
      <c r="C64" s="50">
        <f>ROUND(+C$4/+'Age Factors'!C64,0)</f>
        <v>979</v>
      </c>
      <c r="D64" s="50">
        <f>ROUND(+D$4/+'Age Factors'!D64,0)</f>
        <v>1184</v>
      </c>
      <c r="E64" s="50">
        <f>ROUND(+E$4/+'Age Factors'!E64,0)</f>
        <v>1273</v>
      </c>
      <c r="F64" s="50">
        <f>ROUND(+F$4/+'Age Factors'!F64,0)</f>
        <v>1597</v>
      </c>
      <c r="G64" s="50">
        <f>ROUND(+G$4/+'Age Factors'!G64,0)</f>
        <v>1608</v>
      </c>
      <c r="H64" s="50">
        <f>ROUND(+H$4/+'Age Factors'!H64,0)</f>
        <v>2014</v>
      </c>
      <c r="I64" s="50">
        <f>ROUND(+I$4/+'Age Factors'!I64,0)</f>
        <v>2436</v>
      </c>
      <c r="J64" s="50">
        <f>ROUND(+J$4/+'Age Factors'!J64,0)</f>
        <v>3073</v>
      </c>
      <c r="K64" s="50">
        <f>ROUND(+K$4/+'Age Factors'!K64,0)</f>
        <v>3303</v>
      </c>
      <c r="L64" s="50">
        <f>ROUND(+L$4/+'Age Factors'!L64,0)</f>
        <v>4151</v>
      </c>
      <c r="M64" s="50">
        <f>ROUND(+M$4/+'Age Factors'!M64,0)</f>
        <v>4394</v>
      </c>
      <c r="N64" s="50">
        <f>ROUND(+N$4/+'Age Factors'!N64,0)</f>
        <v>5226</v>
      </c>
      <c r="O64" s="50">
        <f>ROUND(+O$4/+'Age Factors'!O64,0)</f>
        <v>6324</v>
      </c>
      <c r="P64" s="50">
        <f>ROUND(+P$4/+'Age Factors'!P64,0)</f>
        <v>9162</v>
      </c>
      <c r="Q64" s="50">
        <f>ROUND(+Q$4/+'Age Factors'!Q64,0)</f>
        <v>11169</v>
      </c>
      <c r="R64" s="50">
        <f>ROUND(+R$4/+'Age Factors'!R64,0)</f>
        <v>20362</v>
      </c>
      <c r="S64" s="50">
        <f>ROUND(+S$4/+'Age Factors'!S64,0)</f>
        <v>27048</v>
      </c>
      <c r="T64" s="50">
        <f>ROUND(+T$4/+'Age Factors'!T64,0)</f>
        <v>45967</v>
      </c>
      <c r="U64" s="50">
        <f>ROUND(+U$4/+'Age Factors'!U64,0)</f>
        <v>50386</v>
      </c>
      <c r="V64" s="50">
        <f>ROUND(+V$4/+'Age Factors'!V64,0)</f>
        <v>66861</v>
      </c>
      <c r="W64" s="47"/>
    </row>
    <row r="65" spans="1:23">
      <c r="A65" s="49">
        <v>64</v>
      </c>
      <c r="B65" s="50">
        <f>ROUND(+B$4/+'Age Factors'!B65,0)</f>
        <v>301</v>
      </c>
      <c r="C65" s="50">
        <f>ROUND(+C$4/+'Age Factors'!C65,0)</f>
        <v>988</v>
      </c>
      <c r="D65" s="50">
        <f>ROUND(+D$4/+'Age Factors'!D65,0)</f>
        <v>1195</v>
      </c>
      <c r="E65" s="50">
        <f>ROUND(+E$4/+'Age Factors'!E65,0)</f>
        <v>1285</v>
      </c>
      <c r="F65" s="50">
        <f>ROUND(+F$4/+'Age Factors'!F65,0)</f>
        <v>1612</v>
      </c>
      <c r="G65" s="50">
        <f>ROUND(+G$4/+'Age Factors'!G65,0)</f>
        <v>1623</v>
      </c>
      <c r="H65" s="50">
        <f>ROUND(+H$4/+'Age Factors'!H65,0)</f>
        <v>2034</v>
      </c>
      <c r="I65" s="50">
        <f>ROUND(+I$4/+'Age Factors'!I65,0)</f>
        <v>2460</v>
      </c>
      <c r="J65" s="50">
        <f>ROUND(+J$4/+'Age Factors'!J65,0)</f>
        <v>3104</v>
      </c>
      <c r="K65" s="50">
        <f>ROUND(+K$4/+'Age Factors'!K65,0)</f>
        <v>3335</v>
      </c>
      <c r="L65" s="50">
        <f>ROUND(+L$4/+'Age Factors'!L65,0)</f>
        <v>4192</v>
      </c>
      <c r="M65" s="50">
        <f>ROUND(+M$4/+'Age Factors'!M65,0)</f>
        <v>4439</v>
      </c>
      <c r="N65" s="50">
        <f>ROUND(+N$4/+'Age Factors'!N65,0)</f>
        <v>5279</v>
      </c>
      <c r="O65" s="50">
        <f>ROUND(+O$4/+'Age Factors'!O65,0)</f>
        <v>6389</v>
      </c>
      <c r="P65" s="50">
        <f>ROUND(+P$4/+'Age Factors'!P65,0)</f>
        <v>9258</v>
      </c>
      <c r="Q65" s="50">
        <f>ROUND(+Q$4/+'Age Factors'!Q65,0)</f>
        <v>11286</v>
      </c>
      <c r="R65" s="50">
        <f>ROUND(+R$4/+'Age Factors'!R65,0)</f>
        <v>20576</v>
      </c>
      <c r="S65" s="50">
        <f>ROUND(+S$4/+'Age Factors'!S65,0)</f>
        <v>27332</v>
      </c>
      <c r="T65" s="50">
        <f>ROUND(+T$4/+'Age Factors'!T65,0)</f>
        <v>46449</v>
      </c>
      <c r="U65" s="50">
        <f>ROUND(+U$4/+'Age Factors'!U65,0)</f>
        <v>50915</v>
      </c>
      <c r="V65" s="50">
        <f>ROUND(+V$4/+'Age Factors'!V65,0)</f>
        <v>67562</v>
      </c>
      <c r="W65" s="47"/>
    </row>
    <row r="66" spans="1:23">
      <c r="A66" s="54">
        <v>65</v>
      </c>
      <c r="B66" s="57">
        <f>ROUND(+B$4/+'Age Factors'!B66,0)</f>
        <v>304</v>
      </c>
      <c r="C66" s="57">
        <f>ROUND(+C$4/+'Age Factors'!C66,0)</f>
        <v>997</v>
      </c>
      <c r="D66" s="57">
        <f>ROUND(+D$4/+'Age Factors'!D66,0)</f>
        <v>1206</v>
      </c>
      <c r="E66" s="57">
        <f>ROUND(+E$4/+'Age Factors'!E66,0)</f>
        <v>1297</v>
      </c>
      <c r="F66" s="57">
        <f>ROUND(+F$4/+'Age Factors'!F66,0)</f>
        <v>1627</v>
      </c>
      <c r="G66" s="57">
        <f>ROUND(+G$4/+'Age Factors'!G66,0)</f>
        <v>1639</v>
      </c>
      <c r="H66" s="57">
        <f>ROUND(+H$4/+'Age Factors'!H66,0)</f>
        <v>2054</v>
      </c>
      <c r="I66" s="57">
        <f>ROUND(+I$4/+'Age Factors'!I66,0)</f>
        <v>2484</v>
      </c>
      <c r="J66" s="57">
        <f>ROUND(+J$4/+'Age Factors'!J66,0)</f>
        <v>3135</v>
      </c>
      <c r="K66" s="57">
        <f>ROUND(+K$4/+'Age Factors'!K66,0)</f>
        <v>3369</v>
      </c>
      <c r="L66" s="57">
        <f>ROUND(+L$4/+'Age Factors'!L66,0)</f>
        <v>4235</v>
      </c>
      <c r="M66" s="57">
        <f>ROUND(+M$4/+'Age Factors'!M66,0)</f>
        <v>4484</v>
      </c>
      <c r="N66" s="57">
        <f>ROUND(+N$4/+'Age Factors'!N66,0)</f>
        <v>5334</v>
      </c>
      <c r="O66" s="57">
        <f>ROUND(+O$4/+'Age Factors'!O66,0)</f>
        <v>6455</v>
      </c>
      <c r="P66" s="57">
        <f>ROUND(+P$4/+'Age Factors'!P66,0)</f>
        <v>9356</v>
      </c>
      <c r="Q66" s="57">
        <f>ROUND(+Q$4/+'Age Factors'!Q66,0)</f>
        <v>11406</v>
      </c>
      <c r="R66" s="57">
        <f>ROUND(+R$4/+'Age Factors'!R66,0)</f>
        <v>20794</v>
      </c>
      <c r="S66" s="57">
        <f>ROUND(+S$4/+'Age Factors'!S66,0)</f>
        <v>27622</v>
      </c>
      <c r="T66" s="57">
        <f>ROUND(+T$4/+'Age Factors'!T66,0)</f>
        <v>46942</v>
      </c>
      <c r="U66" s="57">
        <f>ROUND(+U$4/+'Age Factors'!U66,0)</f>
        <v>51455</v>
      </c>
      <c r="V66" s="57">
        <f>ROUND(+V$4/+'Age Factors'!V66,0)</f>
        <v>68279</v>
      </c>
      <c r="W66" s="47"/>
    </row>
    <row r="67" spans="1:23">
      <c r="A67" s="49">
        <v>66</v>
      </c>
      <c r="B67" s="50">
        <f>ROUND(+B$4/+'Age Factors'!B67,0)</f>
        <v>308</v>
      </c>
      <c r="C67" s="50">
        <f>ROUND(+C$4/+'Age Factors'!C67,0)</f>
        <v>1006</v>
      </c>
      <c r="D67" s="50">
        <f>ROUND(+D$4/+'Age Factors'!D67,0)</f>
        <v>1217</v>
      </c>
      <c r="E67" s="50">
        <f>ROUND(+E$4/+'Age Factors'!E67,0)</f>
        <v>1309</v>
      </c>
      <c r="F67" s="50">
        <f>ROUND(+F$4/+'Age Factors'!F67,0)</f>
        <v>1643</v>
      </c>
      <c r="G67" s="50">
        <f>ROUND(+G$4/+'Age Factors'!G67,0)</f>
        <v>1655</v>
      </c>
      <c r="H67" s="50">
        <f>ROUND(+H$4/+'Age Factors'!H67,0)</f>
        <v>2074</v>
      </c>
      <c r="I67" s="50">
        <f>ROUND(+I$4/+'Age Factors'!I67,0)</f>
        <v>2509</v>
      </c>
      <c r="J67" s="50">
        <f>ROUND(+J$4/+'Age Factors'!J67,0)</f>
        <v>3166</v>
      </c>
      <c r="K67" s="50">
        <f>ROUND(+K$4/+'Age Factors'!K67,0)</f>
        <v>3403</v>
      </c>
      <c r="L67" s="50">
        <f>ROUND(+L$4/+'Age Factors'!L67,0)</f>
        <v>4278</v>
      </c>
      <c r="M67" s="50">
        <f>ROUND(+M$4/+'Age Factors'!M67,0)</f>
        <v>4529</v>
      </c>
      <c r="N67" s="50">
        <f>ROUND(+N$4/+'Age Factors'!N67,0)</f>
        <v>5389</v>
      </c>
      <c r="O67" s="50">
        <f>ROUND(+O$4/+'Age Factors'!O67,0)</f>
        <v>6523</v>
      </c>
      <c r="P67" s="50">
        <f>ROUND(+P$4/+'Age Factors'!P67,0)</f>
        <v>9456</v>
      </c>
      <c r="Q67" s="50">
        <f>ROUND(+Q$4/+'Age Factors'!Q67,0)</f>
        <v>11528</v>
      </c>
      <c r="R67" s="50">
        <f>ROUND(+R$4/+'Age Factors'!R67,0)</f>
        <v>21017</v>
      </c>
      <c r="S67" s="50">
        <f>ROUND(+S$4/+'Age Factors'!S67,0)</f>
        <v>27918</v>
      </c>
      <c r="T67" s="50">
        <f>ROUND(+T$4/+'Age Factors'!T67,0)</f>
        <v>47445</v>
      </c>
      <c r="U67" s="50">
        <f>ROUND(+U$4/+'Age Factors'!U67,0)</f>
        <v>52006</v>
      </c>
      <c r="V67" s="50">
        <f>ROUND(+V$4/+'Age Factors'!V67,0)</f>
        <v>69011</v>
      </c>
      <c r="W67" s="47"/>
    </row>
    <row r="68" spans="1:23">
      <c r="A68" s="49">
        <v>67</v>
      </c>
      <c r="B68" s="50">
        <f>ROUND(+B$4/+'Age Factors'!B68,0)</f>
        <v>311</v>
      </c>
      <c r="C68" s="50">
        <f>ROUND(+C$4/+'Age Factors'!C68,0)</f>
        <v>1016</v>
      </c>
      <c r="D68" s="50">
        <f>ROUND(+D$4/+'Age Factors'!D68,0)</f>
        <v>1229</v>
      </c>
      <c r="E68" s="50">
        <f>ROUND(+E$4/+'Age Factors'!E68,0)</f>
        <v>1321</v>
      </c>
      <c r="F68" s="50">
        <f>ROUND(+F$4/+'Age Factors'!F68,0)</f>
        <v>1659</v>
      </c>
      <c r="G68" s="50">
        <f>ROUND(+G$4/+'Age Factors'!G68,0)</f>
        <v>1671</v>
      </c>
      <c r="H68" s="50">
        <f>ROUND(+H$4/+'Age Factors'!H68,0)</f>
        <v>2094</v>
      </c>
      <c r="I68" s="50">
        <f>ROUND(+I$4/+'Age Factors'!I68,0)</f>
        <v>2534</v>
      </c>
      <c r="J68" s="50">
        <f>ROUND(+J$4/+'Age Factors'!J68,0)</f>
        <v>3198</v>
      </c>
      <c r="K68" s="50">
        <f>ROUND(+K$4/+'Age Factors'!K68,0)</f>
        <v>3437</v>
      </c>
      <c r="L68" s="50">
        <f>ROUND(+L$4/+'Age Factors'!L68,0)</f>
        <v>4321</v>
      </c>
      <c r="M68" s="50">
        <f>ROUND(+M$4/+'Age Factors'!M68,0)</f>
        <v>4576</v>
      </c>
      <c r="N68" s="50">
        <f>ROUND(+N$4/+'Age Factors'!N68,0)</f>
        <v>5444</v>
      </c>
      <c r="O68" s="50">
        <f>ROUND(+O$4/+'Age Factors'!O68,0)</f>
        <v>6591</v>
      </c>
      <c r="P68" s="50">
        <f>ROUND(+P$4/+'Age Factors'!P68,0)</f>
        <v>9559</v>
      </c>
      <c r="Q68" s="50">
        <f>ROUND(+Q$4/+'Age Factors'!Q68,0)</f>
        <v>11653</v>
      </c>
      <c r="R68" s="50">
        <f>ROUND(+R$4/+'Age Factors'!R68,0)</f>
        <v>21245</v>
      </c>
      <c r="S68" s="50">
        <f>ROUND(+S$4/+'Age Factors'!S68,0)</f>
        <v>28220</v>
      </c>
      <c r="T68" s="50">
        <f>ROUND(+T$4/+'Age Factors'!T68,0)</f>
        <v>47959</v>
      </c>
      <c r="U68" s="50">
        <f>ROUND(+U$4/+'Age Factors'!U68,0)</f>
        <v>52570</v>
      </c>
      <c r="V68" s="50">
        <f>ROUND(+V$4/+'Age Factors'!V68,0)</f>
        <v>69758</v>
      </c>
      <c r="W68" s="47"/>
    </row>
    <row r="69" spans="1:23">
      <c r="A69" s="49">
        <v>68</v>
      </c>
      <c r="B69" s="50">
        <f>ROUND(+B$4/+'Age Factors'!B69,0)</f>
        <v>315</v>
      </c>
      <c r="C69" s="50">
        <f>ROUND(+C$4/+'Age Factors'!C69,0)</f>
        <v>1025</v>
      </c>
      <c r="D69" s="50">
        <f>ROUND(+D$4/+'Age Factors'!D69,0)</f>
        <v>1240</v>
      </c>
      <c r="E69" s="50">
        <f>ROUND(+E$4/+'Age Factors'!E69,0)</f>
        <v>1334</v>
      </c>
      <c r="F69" s="50">
        <f>ROUND(+F$4/+'Age Factors'!F69,0)</f>
        <v>1675</v>
      </c>
      <c r="G69" s="50">
        <f>ROUND(+G$4/+'Age Factors'!G69,0)</f>
        <v>1687</v>
      </c>
      <c r="H69" s="50">
        <f>ROUND(+H$4/+'Age Factors'!H69,0)</f>
        <v>2115</v>
      </c>
      <c r="I69" s="50">
        <f>ROUND(+I$4/+'Age Factors'!I69,0)</f>
        <v>2559</v>
      </c>
      <c r="J69" s="50">
        <f>ROUND(+J$4/+'Age Factors'!J69,0)</f>
        <v>3231</v>
      </c>
      <c r="K69" s="50">
        <f>ROUND(+K$4/+'Age Factors'!K69,0)</f>
        <v>3473</v>
      </c>
      <c r="L69" s="50">
        <f>ROUND(+L$4/+'Age Factors'!L69,0)</f>
        <v>4366</v>
      </c>
      <c r="M69" s="50">
        <f>ROUND(+M$4/+'Age Factors'!M69,0)</f>
        <v>4624</v>
      </c>
      <c r="N69" s="50">
        <f>ROUND(+N$4/+'Age Factors'!N69,0)</f>
        <v>5502</v>
      </c>
      <c r="O69" s="50">
        <f>ROUND(+O$4/+'Age Factors'!O69,0)</f>
        <v>6661</v>
      </c>
      <c r="P69" s="50">
        <f>ROUND(+P$4/+'Age Factors'!P69,0)</f>
        <v>9663</v>
      </c>
      <c r="Q69" s="50">
        <f>ROUND(+Q$4/+'Age Factors'!Q69,0)</f>
        <v>11780</v>
      </c>
      <c r="R69" s="50">
        <f>ROUND(+R$4/+'Age Factors'!R69,0)</f>
        <v>21477</v>
      </c>
      <c r="S69" s="50">
        <f>ROUND(+S$4/+'Age Factors'!S69,0)</f>
        <v>28529</v>
      </c>
      <c r="T69" s="50">
        <f>ROUND(+T$4/+'Age Factors'!T69,0)</f>
        <v>48484</v>
      </c>
      <c r="U69" s="50">
        <f>ROUND(+U$4/+'Age Factors'!U69,0)</f>
        <v>53145</v>
      </c>
      <c r="V69" s="50">
        <f>ROUND(+V$4/+'Age Factors'!V69,0)</f>
        <v>70522</v>
      </c>
      <c r="W69" s="47"/>
    </row>
    <row r="70" spans="1:23">
      <c r="A70" s="49">
        <v>69</v>
      </c>
      <c r="B70" s="50">
        <f>ROUND(+B$4/+'Age Factors'!B70,0)</f>
        <v>319</v>
      </c>
      <c r="C70" s="50">
        <f>ROUND(+C$4/+'Age Factors'!C70,0)</f>
        <v>1036</v>
      </c>
      <c r="D70" s="50">
        <f>ROUND(+D$4/+'Age Factors'!D70,0)</f>
        <v>1253</v>
      </c>
      <c r="E70" s="50">
        <f>ROUND(+E$4/+'Age Factors'!E70,0)</f>
        <v>1348</v>
      </c>
      <c r="F70" s="50">
        <f>ROUND(+F$4/+'Age Factors'!F70,0)</f>
        <v>1692</v>
      </c>
      <c r="G70" s="50">
        <f>ROUND(+G$4/+'Age Factors'!G70,0)</f>
        <v>1704</v>
      </c>
      <c r="H70" s="50">
        <f>ROUND(+H$4/+'Age Factors'!H70,0)</f>
        <v>2137</v>
      </c>
      <c r="I70" s="50">
        <f>ROUND(+I$4/+'Age Factors'!I70,0)</f>
        <v>2586</v>
      </c>
      <c r="J70" s="50">
        <f>ROUND(+J$4/+'Age Factors'!J70,0)</f>
        <v>3265</v>
      </c>
      <c r="K70" s="50">
        <f>ROUND(+K$4/+'Age Factors'!K70,0)</f>
        <v>3509</v>
      </c>
      <c r="L70" s="50">
        <f>ROUND(+L$4/+'Age Factors'!L70,0)</f>
        <v>4414</v>
      </c>
      <c r="M70" s="50">
        <f>ROUND(+M$4/+'Age Factors'!M70,0)</f>
        <v>4674</v>
      </c>
      <c r="N70" s="50">
        <f>ROUND(+N$4/+'Age Factors'!N70,0)</f>
        <v>5562</v>
      </c>
      <c r="O70" s="50">
        <f>ROUND(+O$4/+'Age Factors'!O70,0)</f>
        <v>6734</v>
      </c>
      <c r="P70" s="50">
        <f>ROUND(+P$4/+'Age Factors'!P70,0)</f>
        <v>9770</v>
      </c>
      <c r="Q70" s="50">
        <f>ROUND(+Q$4/+'Age Factors'!Q70,0)</f>
        <v>11911</v>
      </c>
      <c r="R70" s="50">
        <f>ROUND(+R$4/+'Age Factors'!R70,0)</f>
        <v>21715</v>
      </c>
      <c r="S70" s="50">
        <f>ROUND(+S$4/+'Age Factors'!S70,0)</f>
        <v>28845</v>
      </c>
      <c r="T70" s="50">
        <f>ROUND(+T$4/+'Age Factors'!T70,0)</f>
        <v>49021</v>
      </c>
      <c r="U70" s="50">
        <f>ROUND(+U$4/+'Age Factors'!U70,0)</f>
        <v>53734</v>
      </c>
      <c r="V70" s="50">
        <f>ROUND(+V$4/+'Age Factors'!V70,0)</f>
        <v>71303</v>
      </c>
      <c r="W70" s="47"/>
    </row>
    <row r="71" spans="1:23">
      <c r="A71" s="54">
        <v>70</v>
      </c>
      <c r="B71" s="57">
        <f>ROUND(+B$4/+'Age Factors'!B71,0)</f>
        <v>324</v>
      </c>
      <c r="C71" s="57">
        <f>ROUND(+C$4/+'Age Factors'!C71,0)</f>
        <v>1048</v>
      </c>
      <c r="D71" s="57">
        <f>ROUND(+D$4/+'Age Factors'!D71,0)</f>
        <v>1267</v>
      </c>
      <c r="E71" s="57">
        <f>ROUND(+E$4/+'Age Factors'!E71,0)</f>
        <v>1363</v>
      </c>
      <c r="F71" s="57">
        <f>ROUND(+F$4/+'Age Factors'!F71,0)</f>
        <v>1710</v>
      </c>
      <c r="G71" s="57">
        <f>ROUND(+G$4/+'Age Factors'!G71,0)</f>
        <v>1723</v>
      </c>
      <c r="H71" s="57">
        <f>ROUND(+H$4/+'Age Factors'!H71,0)</f>
        <v>2159</v>
      </c>
      <c r="I71" s="57">
        <f>ROUND(+I$4/+'Age Factors'!I71,0)</f>
        <v>2614</v>
      </c>
      <c r="J71" s="57">
        <f>ROUND(+J$4/+'Age Factors'!J71,0)</f>
        <v>3301</v>
      </c>
      <c r="K71" s="57">
        <f>ROUND(+K$4/+'Age Factors'!K71,0)</f>
        <v>3549</v>
      </c>
      <c r="L71" s="57">
        <f>ROUND(+L$4/+'Age Factors'!L71,0)</f>
        <v>4465</v>
      </c>
      <c r="M71" s="57">
        <f>ROUND(+M$4/+'Age Factors'!M71,0)</f>
        <v>4729</v>
      </c>
      <c r="N71" s="57">
        <f>ROUND(+N$4/+'Age Factors'!N71,0)</f>
        <v>5627</v>
      </c>
      <c r="O71" s="57">
        <f>ROUND(+O$4/+'Age Factors'!O71,0)</f>
        <v>6812</v>
      </c>
      <c r="P71" s="57">
        <f>ROUND(+P$4/+'Age Factors'!P71,0)</f>
        <v>9880</v>
      </c>
      <c r="Q71" s="57">
        <f>ROUND(+Q$4/+'Age Factors'!Q71,0)</f>
        <v>12044</v>
      </c>
      <c r="R71" s="57">
        <f>ROUND(+R$4/+'Age Factors'!R71,0)</f>
        <v>21958</v>
      </c>
      <c r="S71" s="57">
        <f>ROUND(+S$4/+'Age Factors'!S71,0)</f>
        <v>29168</v>
      </c>
      <c r="T71" s="57">
        <f>ROUND(+T$4/+'Age Factors'!T71,0)</f>
        <v>49570</v>
      </c>
      <c r="U71" s="57">
        <f>ROUND(+U$4/+'Age Factors'!U71,0)</f>
        <v>54336</v>
      </c>
      <c r="V71" s="57">
        <f>ROUND(+V$4/+'Age Factors'!V71,0)</f>
        <v>72102</v>
      </c>
      <c r="W71" s="47"/>
    </row>
    <row r="72" spans="1:23">
      <c r="A72" s="49">
        <v>71</v>
      </c>
      <c r="B72" s="50">
        <f>ROUND(+B$4/+'Age Factors'!B72,0)</f>
        <v>329</v>
      </c>
      <c r="C72" s="50">
        <f>ROUND(+C$4/+'Age Factors'!C72,0)</f>
        <v>1061</v>
      </c>
      <c r="D72" s="50">
        <f>ROUND(+D$4/+'Age Factors'!D72,0)</f>
        <v>1282</v>
      </c>
      <c r="E72" s="50">
        <f>ROUND(+E$4/+'Age Factors'!E72,0)</f>
        <v>1379</v>
      </c>
      <c r="F72" s="50">
        <f>ROUND(+F$4/+'Age Factors'!F72,0)</f>
        <v>1730</v>
      </c>
      <c r="G72" s="50">
        <f>ROUND(+G$4/+'Age Factors'!G72,0)</f>
        <v>1742</v>
      </c>
      <c r="H72" s="50">
        <f>ROUND(+H$4/+'Age Factors'!H72,0)</f>
        <v>2182</v>
      </c>
      <c r="I72" s="50">
        <f>ROUND(+I$4/+'Age Factors'!I72,0)</f>
        <v>2643</v>
      </c>
      <c r="J72" s="50">
        <f>ROUND(+J$4/+'Age Factors'!J72,0)</f>
        <v>3340</v>
      </c>
      <c r="K72" s="50">
        <f>ROUND(+K$4/+'Age Factors'!K72,0)</f>
        <v>3592</v>
      </c>
      <c r="L72" s="50">
        <f>ROUND(+L$4/+'Age Factors'!L72,0)</f>
        <v>4522</v>
      </c>
      <c r="M72" s="50">
        <f>ROUND(+M$4/+'Age Factors'!M72,0)</f>
        <v>4790</v>
      </c>
      <c r="N72" s="50">
        <f>ROUND(+N$4/+'Age Factors'!N72,0)</f>
        <v>5697</v>
      </c>
      <c r="O72" s="50">
        <f>ROUND(+O$4/+'Age Factors'!O72,0)</f>
        <v>6895</v>
      </c>
      <c r="P72" s="50">
        <f>ROUND(+P$4/+'Age Factors'!P72,0)</f>
        <v>9992</v>
      </c>
      <c r="Q72" s="50">
        <f>ROUND(+Q$4/+'Age Factors'!Q72,0)</f>
        <v>12181</v>
      </c>
      <c r="R72" s="50">
        <f>ROUND(+R$4/+'Age Factors'!R72,0)</f>
        <v>22207</v>
      </c>
      <c r="S72" s="50">
        <f>ROUND(+S$4/+'Age Factors'!S72,0)</f>
        <v>29499</v>
      </c>
      <c r="T72" s="50">
        <f>ROUND(+T$4/+'Age Factors'!T72,0)</f>
        <v>50131</v>
      </c>
      <c r="U72" s="50">
        <f>ROUND(+U$4/+'Age Factors'!U72,0)</f>
        <v>54951</v>
      </c>
      <c r="V72" s="50">
        <f>ROUND(+V$4/+'Age Factors'!V72,0)</f>
        <v>72918</v>
      </c>
      <c r="W72" s="47"/>
    </row>
    <row r="73" spans="1:23">
      <c r="A73" s="49">
        <v>72</v>
      </c>
      <c r="B73" s="50">
        <f>ROUND(+B$4/+'Age Factors'!B73,0)</f>
        <v>335</v>
      </c>
      <c r="C73" s="50">
        <f>ROUND(+C$4/+'Age Factors'!C73,0)</f>
        <v>1075</v>
      </c>
      <c r="D73" s="50">
        <f>ROUND(+D$4/+'Age Factors'!D73,0)</f>
        <v>1299</v>
      </c>
      <c r="E73" s="50">
        <f>ROUND(+E$4/+'Age Factors'!E73,0)</f>
        <v>1396</v>
      </c>
      <c r="F73" s="50">
        <f>ROUND(+F$4/+'Age Factors'!F73,0)</f>
        <v>1751</v>
      </c>
      <c r="G73" s="50">
        <f>ROUND(+G$4/+'Age Factors'!G73,0)</f>
        <v>1764</v>
      </c>
      <c r="H73" s="50">
        <f>ROUND(+H$4/+'Age Factors'!H73,0)</f>
        <v>2208</v>
      </c>
      <c r="I73" s="50">
        <f>ROUND(+I$4/+'Age Factors'!I73,0)</f>
        <v>2676</v>
      </c>
      <c r="J73" s="50">
        <f>ROUND(+J$4/+'Age Factors'!J73,0)</f>
        <v>3384</v>
      </c>
      <c r="K73" s="50">
        <f>ROUND(+K$4/+'Age Factors'!K73,0)</f>
        <v>3640</v>
      </c>
      <c r="L73" s="50">
        <f>ROUND(+L$4/+'Age Factors'!L73,0)</f>
        <v>4584</v>
      </c>
      <c r="M73" s="50">
        <f>ROUND(+M$4/+'Age Factors'!M73,0)</f>
        <v>4856</v>
      </c>
      <c r="N73" s="50">
        <f>ROUND(+N$4/+'Age Factors'!N73,0)</f>
        <v>5774</v>
      </c>
      <c r="O73" s="50">
        <f>ROUND(+O$4/+'Age Factors'!O73,0)</f>
        <v>6985</v>
      </c>
      <c r="P73" s="50">
        <f>ROUND(+P$4/+'Age Factors'!P73,0)</f>
        <v>10113</v>
      </c>
      <c r="Q73" s="50">
        <f>ROUND(+Q$4/+'Age Factors'!Q73,0)</f>
        <v>12329</v>
      </c>
      <c r="R73" s="50">
        <f>ROUND(+R$4/+'Age Factors'!R73,0)</f>
        <v>22477</v>
      </c>
      <c r="S73" s="50">
        <f>ROUND(+S$4/+'Age Factors'!S73,0)</f>
        <v>29857</v>
      </c>
      <c r="T73" s="50">
        <f>ROUND(+T$4/+'Age Factors'!T73,0)</f>
        <v>50741</v>
      </c>
      <c r="U73" s="50">
        <f>ROUND(+U$4/+'Age Factors'!U73,0)</f>
        <v>55619</v>
      </c>
      <c r="V73" s="50">
        <f>ROUND(+V$4/+'Age Factors'!V73,0)</f>
        <v>73805</v>
      </c>
      <c r="W73" s="47"/>
    </row>
    <row r="74" spans="1:23">
      <c r="A74" s="49">
        <v>73</v>
      </c>
      <c r="B74" s="50">
        <f>ROUND(+B$4/+'Age Factors'!B74,0)</f>
        <v>341</v>
      </c>
      <c r="C74" s="50">
        <f>ROUND(+C$4/+'Age Factors'!C74,0)</f>
        <v>1090</v>
      </c>
      <c r="D74" s="50">
        <f>ROUND(+D$4/+'Age Factors'!D74,0)</f>
        <v>1317</v>
      </c>
      <c r="E74" s="50">
        <f>ROUND(+E$4/+'Age Factors'!E74,0)</f>
        <v>1416</v>
      </c>
      <c r="F74" s="50">
        <f>ROUND(+F$4/+'Age Factors'!F74,0)</f>
        <v>1775</v>
      </c>
      <c r="G74" s="50">
        <f>ROUND(+G$4/+'Age Factors'!G74,0)</f>
        <v>1787</v>
      </c>
      <c r="H74" s="50">
        <f>ROUND(+H$4/+'Age Factors'!H74,0)</f>
        <v>2237</v>
      </c>
      <c r="I74" s="50">
        <f>ROUND(+I$4/+'Age Factors'!I74,0)</f>
        <v>2712</v>
      </c>
      <c r="J74" s="50">
        <f>ROUND(+J$4/+'Age Factors'!J74,0)</f>
        <v>3432</v>
      </c>
      <c r="K74" s="50">
        <f>ROUND(+K$4/+'Age Factors'!K74,0)</f>
        <v>3692</v>
      </c>
      <c r="L74" s="50">
        <f>ROUND(+L$4/+'Age Factors'!L74,0)</f>
        <v>4654</v>
      </c>
      <c r="M74" s="50">
        <f>ROUND(+M$4/+'Age Factors'!M74,0)</f>
        <v>4931</v>
      </c>
      <c r="N74" s="50">
        <f>ROUND(+N$4/+'Age Factors'!N74,0)</f>
        <v>5861</v>
      </c>
      <c r="O74" s="50">
        <f>ROUND(+O$4/+'Age Factors'!O74,0)</f>
        <v>7085</v>
      </c>
      <c r="P74" s="50">
        <f>ROUND(+P$4/+'Age Factors'!P74,0)</f>
        <v>10251</v>
      </c>
      <c r="Q74" s="50">
        <f>ROUND(+Q$4/+'Age Factors'!Q74,0)</f>
        <v>12496</v>
      </c>
      <c r="R74" s="50">
        <f>ROUND(+R$4/+'Age Factors'!R74,0)</f>
        <v>22783</v>
      </c>
      <c r="S74" s="50">
        <f>ROUND(+S$4/+'Age Factors'!S74,0)</f>
        <v>30264</v>
      </c>
      <c r="T74" s="50">
        <f>ROUND(+T$4/+'Age Factors'!T74,0)</f>
        <v>51431</v>
      </c>
      <c r="U74" s="50">
        <f>ROUND(+U$4/+'Age Factors'!U74,0)</f>
        <v>56376</v>
      </c>
      <c r="V74" s="50">
        <f>ROUND(+V$4/+'Age Factors'!V74,0)</f>
        <v>74809</v>
      </c>
      <c r="W74" s="47"/>
    </row>
    <row r="75" spans="1:23">
      <c r="A75" s="49">
        <v>74</v>
      </c>
      <c r="B75" s="50">
        <f>ROUND(+B$4/+'Age Factors'!B75,0)</f>
        <v>348</v>
      </c>
      <c r="C75" s="50">
        <f>ROUND(+C$4/+'Age Factors'!C75,0)</f>
        <v>1107</v>
      </c>
      <c r="D75" s="50">
        <f>ROUND(+D$4/+'Age Factors'!D75,0)</f>
        <v>1337</v>
      </c>
      <c r="E75" s="50">
        <f>ROUND(+E$4/+'Age Factors'!E75,0)</f>
        <v>1437</v>
      </c>
      <c r="F75" s="50">
        <f>ROUND(+F$4/+'Age Factors'!F75,0)</f>
        <v>1800</v>
      </c>
      <c r="G75" s="50">
        <f>ROUND(+G$4/+'Age Factors'!G75,0)</f>
        <v>1813</v>
      </c>
      <c r="H75" s="50">
        <f>ROUND(+H$4/+'Age Factors'!H75,0)</f>
        <v>2268</v>
      </c>
      <c r="I75" s="50">
        <f>ROUND(+I$4/+'Age Factors'!I75,0)</f>
        <v>2752</v>
      </c>
      <c r="J75" s="50">
        <f>ROUND(+J$4/+'Age Factors'!J75,0)</f>
        <v>3485</v>
      </c>
      <c r="K75" s="50">
        <f>ROUND(+K$4/+'Age Factors'!K75,0)</f>
        <v>3749</v>
      </c>
      <c r="L75" s="50">
        <f>ROUND(+L$4/+'Age Factors'!L75,0)</f>
        <v>4729</v>
      </c>
      <c r="M75" s="50">
        <f>ROUND(+M$4/+'Age Factors'!M75,0)</f>
        <v>5012</v>
      </c>
      <c r="N75" s="50">
        <f>ROUND(+N$4/+'Age Factors'!N75,0)</f>
        <v>5954</v>
      </c>
      <c r="O75" s="50">
        <f>ROUND(+O$4/+'Age Factors'!O75,0)</f>
        <v>7195</v>
      </c>
      <c r="P75" s="50">
        <f>ROUND(+P$4/+'Age Factors'!P75,0)</f>
        <v>10404</v>
      </c>
      <c r="Q75" s="50">
        <f>ROUND(+Q$4/+'Age Factors'!Q75,0)</f>
        <v>12683</v>
      </c>
      <c r="R75" s="50">
        <f>ROUND(+R$4/+'Age Factors'!R75,0)</f>
        <v>23123</v>
      </c>
      <c r="S75" s="50">
        <f>ROUND(+S$4/+'Age Factors'!S75,0)</f>
        <v>30716</v>
      </c>
      <c r="T75" s="50">
        <f>ROUND(+T$4/+'Age Factors'!T75,0)</f>
        <v>52200</v>
      </c>
      <c r="U75" s="50">
        <f>ROUND(+U$4/+'Age Factors'!U75,0)</f>
        <v>57219</v>
      </c>
      <c r="V75" s="50">
        <f>ROUND(+V$4/+'Age Factors'!V75,0)</f>
        <v>75928</v>
      </c>
      <c r="W75" s="47"/>
    </row>
    <row r="76" spans="1:23">
      <c r="A76" s="54">
        <v>75</v>
      </c>
      <c r="B76" s="57">
        <f>ROUND(+B$4/+'Age Factors'!B76,0)</f>
        <v>356</v>
      </c>
      <c r="C76" s="57">
        <f>ROUND(+C$4/+'Age Factors'!C76,0)</f>
        <v>1125</v>
      </c>
      <c r="D76" s="57">
        <f>ROUND(+D$4/+'Age Factors'!D76,0)</f>
        <v>1359</v>
      </c>
      <c r="E76" s="57">
        <f>ROUND(+E$4/+'Age Factors'!E76,0)</f>
        <v>1460</v>
      </c>
      <c r="F76" s="57">
        <f>ROUND(+F$4/+'Age Factors'!F76,0)</f>
        <v>1829</v>
      </c>
      <c r="G76" s="57">
        <f>ROUND(+G$4/+'Age Factors'!G76,0)</f>
        <v>1842</v>
      </c>
      <c r="H76" s="57">
        <f>ROUND(+H$4/+'Age Factors'!H76,0)</f>
        <v>2303</v>
      </c>
      <c r="I76" s="57">
        <f>ROUND(+I$4/+'Age Factors'!I76,0)</f>
        <v>2796</v>
      </c>
      <c r="J76" s="57">
        <f>ROUND(+J$4/+'Age Factors'!J76,0)</f>
        <v>3543</v>
      </c>
      <c r="K76" s="57">
        <f>ROUND(+K$4/+'Age Factors'!K76,0)</f>
        <v>3813</v>
      </c>
      <c r="L76" s="57">
        <f>ROUND(+L$4/+'Age Factors'!L76,0)</f>
        <v>4813</v>
      </c>
      <c r="M76" s="57">
        <f>ROUND(+M$4/+'Age Factors'!M76,0)</f>
        <v>5101</v>
      </c>
      <c r="N76" s="57">
        <f>ROUND(+N$4/+'Age Factors'!N76,0)</f>
        <v>6057</v>
      </c>
      <c r="O76" s="57">
        <f>ROUND(+O$4/+'Age Factors'!O76,0)</f>
        <v>7318</v>
      </c>
      <c r="P76" s="57">
        <f>ROUND(+P$4/+'Age Factors'!P76,0)</f>
        <v>10574</v>
      </c>
      <c r="Q76" s="57">
        <f>ROUND(+Q$4/+'Age Factors'!Q76,0)</f>
        <v>12891</v>
      </c>
      <c r="R76" s="57">
        <f>ROUND(+R$4/+'Age Factors'!R76,0)</f>
        <v>23502</v>
      </c>
      <c r="S76" s="57">
        <f>ROUND(+S$4/+'Age Factors'!S76,0)</f>
        <v>31219</v>
      </c>
      <c r="T76" s="57">
        <f>ROUND(+T$4/+'Age Factors'!T76,0)</f>
        <v>53055</v>
      </c>
      <c r="U76" s="57">
        <f>ROUND(+U$4/+'Age Factors'!U76,0)</f>
        <v>58156</v>
      </c>
      <c r="V76" s="57">
        <f>ROUND(+V$4/+'Age Factors'!V76,0)</f>
        <v>77170</v>
      </c>
      <c r="W76" s="47"/>
    </row>
    <row r="77" spans="1:23">
      <c r="A77" s="49">
        <v>76</v>
      </c>
      <c r="B77" s="50">
        <f>ROUND(+B$4/+'Age Factors'!B77,0)</f>
        <v>365</v>
      </c>
      <c r="C77" s="50">
        <f>ROUND(+C$4/+'Age Factors'!C77,0)</f>
        <v>1145</v>
      </c>
      <c r="D77" s="50">
        <f>ROUND(+D$4/+'Age Factors'!D77,0)</f>
        <v>1382</v>
      </c>
      <c r="E77" s="50">
        <f>ROUND(+E$4/+'Age Factors'!E77,0)</f>
        <v>1485</v>
      </c>
      <c r="F77" s="50">
        <f>ROUND(+F$4/+'Age Factors'!F77,0)</f>
        <v>1860</v>
      </c>
      <c r="G77" s="50">
        <f>ROUND(+G$4/+'Age Factors'!G77,0)</f>
        <v>1873</v>
      </c>
      <c r="H77" s="50">
        <f>ROUND(+H$4/+'Age Factors'!H77,0)</f>
        <v>2341</v>
      </c>
      <c r="I77" s="50">
        <f>ROUND(+I$4/+'Age Factors'!I77,0)</f>
        <v>2844</v>
      </c>
      <c r="J77" s="50">
        <f>ROUND(+J$4/+'Age Factors'!J77,0)</f>
        <v>3606</v>
      </c>
      <c r="K77" s="50">
        <f>ROUND(+K$4/+'Age Factors'!K77,0)</f>
        <v>3882</v>
      </c>
      <c r="L77" s="50">
        <f>ROUND(+L$4/+'Age Factors'!L77,0)</f>
        <v>4904</v>
      </c>
      <c r="M77" s="50">
        <f>ROUND(+M$4/+'Age Factors'!M77,0)</f>
        <v>5198</v>
      </c>
      <c r="N77" s="50">
        <f>ROUND(+N$4/+'Age Factors'!N77,0)</f>
        <v>6172</v>
      </c>
      <c r="O77" s="50">
        <f>ROUND(+O$4/+'Age Factors'!O77,0)</f>
        <v>7454</v>
      </c>
      <c r="P77" s="50">
        <f>ROUND(+P$4/+'Age Factors'!P77,0)</f>
        <v>10765</v>
      </c>
      <c r="Q77" s="50">
        <f>ROUND(+Q$4/+'Age Factors'!Q77,0)</f>
        <v>13123</v>
      </c>
      <c r="R77" s="50">
        <f>ROUND(+R$4/+'Age Factors'!R77,0)</f>
        <v>23925</v>
      </c>
      <c r="S77" s="50">
        <f>ROUND(+S$4/+'Age Factors'!S77,0)</f>
        <v>31781</v>
      </c>
      <c r="T77" s="50">
        <f>ROUND(+T$4/+'Age Factors'!T77,0)</f>
        <v>54010</v>
      </c>
      <c r="U77" s="50">
        <f>ROUND(+U$4/+'Age Factors'!U77,0)</f>
        <v>59202</v>
      </c>
      <c r="V77" s="50">
        <f>ROUND(+V$4/+'Age Factors'!V77,0)</f>
        <v>78560</v>
      </c>
      <c r="W77" s="47"/>
    </row>
    <row r="78" spans="1:23">
      <c r="A78" s="49">
        <v>77</v>
      </c>
      <c r="B78" s="50">
        <f>ROUND(+B$4/+'Age Factors'!B78,0)</f>
        <v>374</v>
      </c>
      <c r="C78" s="50">
        <f>ROUND(+C$4/+'Age Factors'!C78,0)</f>
        <v>1167</v>
      </c>
      <c r="D78" s="50">
        <f>ROUND(+D$4/+'Age Factors'!D78,0)</f>
        <v>1408</v>
      </c>
      <c r="E78" s="50">
        <f>ROUND(+E$4/+'Age Factors'!E78,0)</f>
        <v>1513</v>
      </c>
      <c r="F78" s="50">
        <f>ROUND(+F$4/+'Age Factors'!F78,0)</f>
        <v>1893</v>
      </c>
      <c r="G78" s="50">
        <f>ROUND(+G$4/+'Age Factors'!G78,0)</f>
        <v>1907</v>
      </c>
      <c r="H78" s="50">
        <f>ROUND(+H$4/+'Age Factors'!H78,0)</f>
        <v>2383</v>
      </c>
      <c r="I78" s="50">
        <f>ROUND(+I$4/+'Age Factors'!I78,0)</f>
        <v>2896</v>
      </c>
      <c r="J78" s="50">
        <f>ROUND(+J$4/+'Age Factors'!J78,0)</f>
        <v>3676</v>
      </c>
      <c r="K78" s="50">
        <f>ROUND(+K$4/+'Age Factors'!K78,0)</f>
        <v>3958</v>
      </c>
      <c r="L78" s="50">
        <f>ROUND(+L$4/+'Age Factors'!L78,0)</f>
        <v>5004</v>
      </c>
      <c r="M78" s="50">
        <f>ROUND(+M$4/+'Age Factors'!M78,0)</f>
        <v>5305</v>
      </c>
      <c r="N78" s="50">
        <f>ROUND(+N$4/+'Age Factors'!N78,0)</f>
        <v>6298</v>
      </c>
      <c r="O78" s="50">
        <f>ROUND(+O$4/+'Age Factors'!O78,0)</f>
        <v>7604</v>
      </c>
      <c r="P78" s="50">
        <f>ROUND(+P$4/+'Age Factors'!P78,0)</f>
        <v>10975</v>
      </c>
      <c r="Q78" s="50">
        <f>ROUND(+Q$4/+'Age Factors'!Q78,0)</f>
        <v>13380</v>
      </c>
      <c r="R78" s="50">
        <f>ROUND(+R$4/+'Age Factors'!R78,0)</f>
        <v>24393</v>
      </c>
      <c r="S78" s="50">
        <f>ROUND(+S$4/+'Age Factors'!S78,0)</f>
        <v>32403</v>
      </c>
      <c r="T78" s="50">
        <f>ROUND(+T$4/+'Age Factors'!T78,0)</f>
        <v>55067</v>
      </c>
      <c r="U78" s="50">
        <f>ROUND(+U$4/+'Age Factors'!U78,0)</f>
        <v>60361</v>
      </c>
      <c r="V78" s="50">
        <f>ROUND(+V$4/+'Age Factors'!V78,0)</f>
        <v>80097</v>
      </c>
      <c r="W78" s="47"/>
    </row>
    <row r="79" spans="1:23">
      <c r="A79" s="49">
        <v>78</v>
      </c>
      <c r="B79" s="50">
        <f>ROUND(+B$4/+'Age Factors'!B79,0)</f>
        <v>385</v>
      </c>
      <c r="C79" s="50">
        <f>ROUND(+C$4/+'Age Factors'!C79,0)</f>
        <v>1191</v>
      </c>
      <c r="D79" s="50">
        <f>ROUND(+D$4/+'Age Factors'!D79,0)</f>
        <v>1437</v>
      </c>
      <c r="E79" s="50">
        <f>ROUND(+E$4/+'Age Factors'!E79,0)</f>
        <v>1543</v>
      </c>
      <c r="F79" s="50">
        <f>ROUND(+F$4/+'Age Factors'!F79,0)</f>
        <v>1931</v>
      </c>
      <c r="G79" s="50">
        <f>ROUND(+G$4/+'Age Factors'!G79,0)</f>
        <v>1944</v>
      </c>
      <c r="H79" s="50">
        <f>ROUND(+H$4/+'Age Factors'!H79,0)</f>
        <v>2429</v>
      </c>
      <c r="I79" s="50">
        <f>ROUND(+I$4/+'Age Factors'!I79,0)</f>
        <v>2954</v>
      </c>
      <c r="J79" s="50">
        <f>ROUND(+J$4/+'Age Factors'!J79,0)</f>
        <v>3752</v>
      </c>
      <c r="K79" s="50">
        <f>ROUND(+K$4/+'Age Factors'!K79,0)</f>
        <v>4041</v>
      </c>
      <c r="L79" s="50">
        <f>ROUND(+L$4/+'Age Factors'!L79,0)</f>
        <v>5113</v>
      </c>
      <c r="M79" s="50">
        <f>ROUND(+M$4/+'Age Factors'!M79,0)</f>
        <v>5422</v>
      </c>
      <c r="N79" s="50">
        <f>ROUND(+N$4/+'Age Factors'!N79,0)</f>
        <v>6435</v>
      </c>
      <c r="O79" s="50">
        <f>ROUND(+O$4/+'Age Factors'!O79,0)</f>
        <v>7768</v>
      </c>
      <c r="P79" s="50">
        <f>ROUND(+P$4/+'Age Factors'!P79,0)</f>
        <v>11208</v>
      </c>
      <c r="Q79" s="50">
        <f>ROUND(+Q$4/+'Age Factors'!Q79,0)</f>
        <v>13664</v>
      </c>
      <c r="R79" s="50">
        <f>ROUND(+R$4/+'Age Factors'!R79,0)</f>
        <v>24911</v>
      </c>
      <c r="S79" s="50">
        <f>ROUND(+S$4/+'Age Factors'!S79,0)</f>
        <v>33091</v>
      </c>
      <c r="T79" s="50">
        <f>ROUND(+T$4/+'Age Factors'!T79,0)</f>
        <v>56235</v>
      </c>
      <c r="U79" s="50">
        <f>ROUND(+U$4/+'Age Factors'!U79,0)</f>
        <v>61642</v>
      </c>
      <c r="V79" s="50">
        <f>ROUND(+V$4/+'Age Factors'!V79,0)</f>
        <v>81797</v>
      </c>
      <c r="W79" s="47"/>
    </row>
    <row r="80" spans="1:23">
      <c r="A80" s="49">
        <v>79</v>
      </c>
      <c r="B80" s="50">
        <f>ROUND(+B$4/+'Age Factors'!B80,0)</f>
        <v>397</v>
      </c>
      <c r="C80" s="50">
        <f>ROUND(+C$4/+'Age Factors'!C80,0)</f>
        <v>1217</v>
      </c>
      <c r="D80" s="50">
        <f>ROUND(+D$4/+'Age Factors'!D80,0)</f>
        <v>1467</v>
      </c>
      <c r="E80" s="50">
        <f>ROUND(+E$4/+'Age Factors'!E80,0)</f>
        <v>1576</v>
      </c>
      <c r="F80" s="50">
        <f>ROUND(+F$4/+'Age Factors'!F80,0)</f>
        <v>1971</v>
      </c>
      <c r="G80" s="50">
        <f>ROUND(+G$4/+'Age Factors'!G80,0)</f>
        <v>1985</v>
      </c>
      <c r="H80" s="50">
        <f>ROUND(+H$4/+'Age Factors'!H80,0)</f>
        <v>2480</v>
      </c>
      <c r="I80" s="50">
        <f>ROUND(+I$4/+'Age Factors'!I80,0)</f>
        <v>3018</v>
      </c>
      <c r="J80" s="50">
        <f>ROUND(+J$4/+'Age Factors'!J80,0)</f>
        <v>3836</v>
      </c>
      <c r="K80" s="50">
        <f>ROUND(+K$4/+'Age Factors'!K80,0)</f>
        <v>4132</v>
      </c>
      <c r="L80" s="50">
        <f>ROUND(+L$4/+'Age Factors'!L80,0)</f>
        <v>5233</v>
      </c>
      <c r="M80" s="50">
        <f>ROUND(+M$4/+'Age Factors'!M80,0)</f>
        <v>5550</v>
      </c>
      <c r="N80" s="50">
        <f>ROUND(+N$4/+'Age Factors'!N80,0)</f>
        <v>6587</v>
      </c>
      <c r="O80" s="50">
        <f>ROUND(+O$4/+'Age Factors'!O80,0)</f>
        <v>7950</v>
      </c>
      <c r="P80" s="50">
        <f>ROUND(+P$4/+'Age Factors'!P80,0)</f>
        <v>11468</v>
      </c>
      <c r="Q80" s="50">
        <f>ROUND(+Q$4/+'Age Factors'!Q80,0)</f>
        <v>13980</v>
      </c>
      <c r="R80" s="50">
        <f>ROUND(+R$4/+'Age Factors'!R80,0)</f>
        <v>25487</v>
      </c>
      <c r="S80" s="50">
        <f>ROUND(+S$4/+'Age Factors'!S80,0)</f>
        <v>33856</v>
      </c>
      <c r="T80" s="50">
        <f>ROUND(+T$4/+'Age Factors'!T80,0)</f>
        <v>57537</v>
      </c>
      <c r="U80" s="50">
        <f>ROUND(+U$4/+'Age Factors'!U80,0)</f>
        <v>63069</v>
      </c>
      <c r="V80" s="50">
        <f>ROUND(+V$4/+'Age Factors'!V80,0)</f>
        <v>83690</v>
      </c>
      <c r="W80" s="47"/>
    </row>
    <row r="81" spans="1:23">
      <c r="A81" s="54">
        <v>80</v>
      </c>
      <c r="B81" s="57">
        <f>ROUND(+B$4/+'Age Factors'!B81,0)</f>
        <v>410</v>
      </c>
      <c r="C81" s="57">
        <f>ROUND(+C$4/+'Age Factors'!C81,0)</f>
        <v>1245</v>
      </c>
      <c r="D81" s="57">
        <f>ROUND(+D$4/+'Age Factors'!D81,0)</f>
        <v>1501</v>
      </c>
      <c r="E81" s="57">
        <f>ROUND(+E$4/+'Age Factors'!E81,0)</f>
        <v>1612</v>
      </c>
      <c r="F81" s="57">
        <f>ROUND(+F$4/+'Age Factors'!F81,0)</f>
        <v>2016</v>
      </c>
      <c r="G81" s="57">
        <f>ROUND(+G$4/+'Age Factors'!G81,0)</f>
        <v>2030</v>
      </c>
      <c r="H81" s="57">
        <f>ROUND(+H$4/+'Age Factors'!H81,0)</f>
        <v>2535</v>
      </c>
      <c r="I81" s="57">
        <f>ROUND(+I$4/+'Age Factors'!I81,0)</f>
        <v>3091</v>
      </c>
      <c r="J81" s="57">
        <f>ROUND(+J$4/+'Age Factors'!J81,0)</f>
        <v>3928</v>
      </c>
      <c r="K81" s="57">
        <f>ROUND(+K$4/+'Age Factors'!K81,0)</f>
        <v>4233</v>
      </c>
      <c r="L81" s="57">
        <f>ROUND(+L$4/+'Age Factors'!L81,0)</f>
        <v>5365</v>
      </c>
      <c r="M81" s="57">
        <f>ROUND(+M$4/+'Age Factors'!M81,0)</f>
        <v>5692</v>
      </c>
      <c r="N81" s="57">
        <f>ROUND(+N$4/+'Age Factors'!N81,0)</f>
        <v>6753</v>
      </c>
      <c r="O81" s="57">
        <f>ROUND(+O$4/+'Age Factors'!O81,0)</f>
        <v>8151</v>
      </c>
      <c r="P81" s="57">
        <f>ROUND(+P$4/+'Age Factors'!P81,0)</f>
        <v>11755</v>
      </c>
      <c r="Q81" s="57">
        <f>ROUND(+Q$4/+'Age Factors'!Q81,0)</f>
        <v>14330</v>
      </c>
      <c r="R81" s="57">
        <f>ROUND(+R$4/+'Age Factors'!R81,0)</f>
        <v>26125</v>
      </c>
      <c r="S81" s="57">
        <f>ROUND(+S$4/+'Age Factors'!S81,0)</f>
        <v>34703</v>
      </c>
      <c r="T81" s="57">
        <f>ROUND(+T$4/+'Age Factors'!T81,0)</f>
        <v>58976</v>
      </c>
      <c r="U81" s="57">
        <f>ROUND(+U$4/+'Age Factors'!U81,0)</f>
        <v>64647</v>
      </c>
      <c r="V81" s="57">
        <f>ROUND(+V$4/+'Age Factors'!V81,0)</f>
        <v>85784</v>
      </c>
      <c r="W81" s="47"/>
    </row>
    <row r="82" spans="1:23">
      <c r="A82" s="49">
        <v>81</v>
      </c>
      <c r="B82" s="50">
        <f>ROUND(+B$4/+'Age Factors'!B82,0)</f>
        <v>424</v>
      </c>
      <c r="C82" s="50">
        <f>ROUND(+C$4/+'Age Factors'!C82,0)</f>
        <v>1276</v>
      </c>
      <c r="D82" s="50">
        <f>ROUND(+D$4/+'Age Factors'!D82,0)</f>
        <v>1538</v>
      </c>
      <c r="E82" s="50">
        <f>ROUND(+E$4/+'Age Factors'!E82,0)</f>
        <v>1652</v>
      </c>
      <c r="F82" s="50">
        <f>ROUND(+F$4/+'Age Factors'!F82,0)</f>
        <v>2064</v>
      </c>
      <c r="G82" s="50">
        <f>ROUND(+G$4/+'Age Factors'!G82,0)</f>
        <v>2079</v>
      </c>
      <c r="H82" s="50">
        <f>ROUND(+H$4/+'Age Factors'!H82,0)</f>
        <v>2595</v>
      </c>
      <c r="I82" s="50">
        <f>ROUND(+I$4/+'Age Factors'!I82,0)</f>
        <v>3163</v>
      </c>
      <c r="J82" s="50">
        <f>ROUND(+J$4/+'Age Factors'!J82,0)</f>
        <v>4029</v>
      </c>
      <c r="K82" s="50">
        <f>ROUND(+K$4/+'Age Factors'!K82,0)</f>
        <v>4343</v>
      </c>
      <c r="L82" s="50">
        <f>ROUND(+L$4/+'Age Factors'!L82,0)</f>
        <v>5510</v>
      </c>
      <c r="M82" s="50">
        <f>ROUND(+M$4/+'Age Factors'!M82,0)</f>
        <v>5847</v>
      </c>
      <c r="N82" s="50">
        <f>ROUND(+N$4/+'Age Factors'!N82,0)</f>
        <v>6938</v>
      </c>
      <c r="O82" s="50">
        <f>ROUND(+O$4/+'Age Factors'!O82,0)</f>
        <v>8373</v>
      </c>
      <c r="P82" s="50">
        <f>ROUND(+P$4/+'Age Factors'!P82,0)</f>
        <v>12074</v>
      </c>
      <c r="Q82" s="50">
        <f>ROUND(+Q$4/+'Age Factors'!Q82,0)</f>
        <v>14720</v>
      </c>
      <c r="R82" s="50">
        <f>ROUND(+R$4/+'Age Factors'!R82,0)</f>
        <v>26836</v>
      </c>
      <c r="S82" s="50">
        <f>ROUND(+S$4/+'Age Factors'!S82,0)</f>
        <v>35648</v>
      </c>
      <c r="T82" s="50">
        <f>ROUND(+T$4/+'Age Factors'!T82,0)</f>
        <v>60581</v>
      </c>
      <c r="U82" s="50">
        <f>ROUND(+U$4/+'Age Factors'!U82,0)</f>
        <v>66405</v>
      </c>
      <c r="V82" s="50">
        <f>ROUND(+V$4/+'Age Factors'!V82,0)</f>
        <v>88117</v>
      </c>
      <c r="W82" s="47"/>
    </row>
    <row r="83" spans="1:23">
      <c r="A83" s="49">
        <v>82</v>
      </c>
      <c r="B83" s="50">
        <f>ROUND(+B$4/+'Age Factors'!B83,0)</f>
        <v>441</v>
      </c>
      <c r="C83" s="50">
        <f>ROUND(+C$4/+'Age Factors'!C83,0)</f>
        <v>1309</v>
      </c>
      <c r="D83" s="50">
        <f>ROUND(+D$4/+'Age Factors'!D83,0)</f>
        <v>1578</v>
      </c>
      <c r="E83" s="50">
        <f>ROUND(+E$4/+'Age Factors'!E83,0)</f>
        <v>1695</v>
      </c>
      <c r="F83" s="50">
        <f>ROUND(+F$4/+'Age Factors'!F83,0)</f>
        <v>2118</v>
      </c>
      <c r="G83" s="50">
        <f>ROUND(+G$4/+'Age Factors'!G83,0)</f>
        <v>2133</v>
      </c>
      <c r="H83" s="50">
        <f>ROUND(+H$4/+'Age Factors'!H83,0)</f>
        <v>2662</v>
      </c>
      <c r="I83" s="50">
        <f>ROUND(+I$4/+'Age Factors'!I83,0)</f>
        <v>3247</v>
      </c>
      <c r="J83" s="50">
        <f>ROUND(+J$4/+'Age Factors'!J83,0)</f>
        <v>4140</v>
      </c>
      <c r="K83" s="50">
        <f>ROUND(+K$4/+'Age Factors'!K83,0)</f>
        <v>4464</v>
      </c>
      <c r="L83" s="50">
        <f>ROUND(+L$4/+'Age Factors'!L83,0)</f>
        <v>5670</v>
      </c>
      <c r="M83" s="50">
        <f>ROUND(+M$4/+'Age Factors'!M83,0)</f>
        <v>6018</v>
      </c>
      <c r="N83" s="50">
        <f>ROUND(+N$4/+'Age Factors'!N83,0)</f>
        <v>7142</v>
      </c>
      <c r="O83" s="50">
        <f>ROUND(+O$4/+'Age Factors'!O83,0)</f>
        <v>8619</v>
      </c>
      <c r="P83" s="50">
        <f>ROUND(+P$4/+'Age Factors'!P83,0)</f>
        <v>12429</v>
      </c>
      <c r="Q83" s="50">
        <f>ROUND(+Q$4/+'Age Factors'!Q83,0)</f>
        <v>15152</v>
      </c>
      <c r="R83" s="50">
        <f>ROUND(+R$4/+'Age Factors'!R83,0)</f>
        <v>27624</v>
      </c>
      <c r="S83" s="50">
        <f>ROUND(+S$4/+'Age Factors'!S83,0)</f>
        <v>36695</v>
      </c>
      <c r="T83" s="50">
        <f>ROUND(+T$4/+'Age Factors'!T83,0)</f>
        <v>62360</v>
      </c>
      <c r="U83" s="50">
        <f>ROUND(+U$4/+'Age Factors'!U83,0)</f>
        <v>68356</v>
      </c>
      <c r="V83" s="50">
        <f>ROUND(+V$4/+'Age Factors'!V83,0)</f>
        <v>90706</v>
      </c>
      <c r="W83" s="47"/>
    </row>
    <row r="84" spans="1:23">
      <c r="A84" s="49">
        <v>83</v>
      </c>
      <c r="B84" s="50">
        <f>ROUND(+B$4/+'Age Factors'!B84,0)</f>
        <v>459</v>
      </c>
      <c r="C84" s="50">
        <f>ROUND(+C$4/+'Age Factors'!C84,0)</f>
        <v>1346</v>
      </c>
      <c r="D84" s="50">
        <f>ROUND(+D$4/+'Age Factors'!D84,0)</f>
        <v>1622</v>
      </c>
      <c r="E84" s="50">
        <f>ROUND(+E$4/+'Age Factors'!E84,0)</f>
        <v>1742</v>
      </c>
      <c r="F84" s="50">
        <f>ROUND(+F$4/+'Age Factors'!F84,0)</f>
        <v>2177</v>
      </c>
      <c r="G84" s="50">
        <f>ROUND(+G$4/+'Age Factors'!G84,0)</f>
        <v>2192</v>
      </c>
      <c r="H84" s="50">
        <f>ROUND(+H$4/+'Age Factors'!H84,0)</f>
        <v>2735</v>
      </c>
      <c r="I84" s="50">
        <f>ROUND(+I$4/+'Age Factors'!I84,0)</f>
        <v>3339</v>
      </c>
      <c r="J84" s="50">
        <f>ROUND(+J$4/+'Age Factors'!J84,0)</f>
        <v>4262</v>
      </c>
      <c r="K84" s="50">
        <f>ROUND(+K$4/+'Age Factors'!K84,0)</f>
        <v>4598</v>
      </c>
      <c r="L84" s="50">
        <f>ROUND(+L$4/+'Age Factors'!L84,0)</f>
        <v>5845</v>
      </c>
      <c r="M84" s="50">
        <f>ROUND(+M$4/+'Age Factors'!M84,0)</f>
        <v>6207</v>
      </c>
      <c r="N84" s="50">
        <f>ROUND(+N$4/+'Age Factors'!N84,0)</f>
        <v>7366</v>
      </c>
      <c r="O84" s="50">
        <f>ROUND(+O$4/+'Age Factors'!O84,0)</f>
        <v>8890</v>
      </c>
      <c r="P84" s="50">
        <f>ROUND(+P$4/+'Age Factors'!P84,0)</f>
        <v>12823</v>
      </c>
      <c r="Q84" s="50">
        <f>ROUND(+Q$4/+'Age Factors'!Q84,0)</f>
        <v>15633</v>
      </c>
      <c r="R84" s="50">
        <f>ROUND(+R$4/+'Age Factors'!R84,0)</f>
        <v>28501</v>
      </c>
      <c r="S84" s="50">
        <f>ROUND(+S$4/+'Age Factors'!S84,0)</f>
        <v>37859</v>
      </c>
      <c r="T84" s="50">
        <f>ROUND(+T$4/+'Age Factors'!T84,0)</f>
        <v>64339</v>
      </c>
      <c r="U84" s="50">
        <f>ROUND(+U$4/+'Age Factors'!U84,0)</f>
        <v>70525</v>
      </c>
      <c r="V84" s="50">
        <f>ROUND(+V$4/+'Age Factors'!V84,0)</f>
        <v>93584</v>
      </c>
      <c r="W84" s="47"/>
    </row>
    <row r="85" spans="1:23">
      <c r="A85" s="49">
        <v>84</v>
      </c>
      <c r="B85" s="50">
        <f>ROUND(+B$4/+'Age Factors'!B85,0)</f>
        <v>480</v>
      </c>
      <c r="C85" s="50">
        <f>ROUND(+C$4/+'Age Factors'!C85,0)</f>
        <v>1387</v>
      </c>
      <c r="D85" s="50">
        <f>ROUND(+D$4/+'Age Factors'!D85,0)</f>
        <v>1671</v>
      </c>
      <c r="E85" s="50">
        <f>ROUND(+E$4/+'Age Factors'!E85,0)</f>
        <v>1794</v>
      </c>
      <c r="F85" s="50">
        <f>ROUND(+F$4/+'Age Factors'!F85,0)</f>
        <v>2241</v>
      </c>
      <c r="G85" s="50">
        <f>ROUND(+G$4/+'Age Factors'!G85,0)</f>
        <v>2257</v>
      </c>
      <c r="H85" s="50">
        <f>ROUND(+H$4/+'Age Factors'!H85,0)</f>
        <v>2815</v>
      </c>
      <c r="I85" s="50">
        <f>ROUND(+I$4/+'Age Factors'!I85,0)</f>
        <v>3441</v>
      </c>
      <c r="J85" s="50">
        <f>ROUND(+J$4/+'Age Factors'!J85,0)</f>
        <v>4398</v>
      </c>
      <c r="K85" s="50">
        <f>ROUND(+K$4/+'Age Factors'!K85,0)</f>
        <v>4746</v>
      </c>
      <c r="L85" s="50">
        <f>ROUND(+L$4/+'Age Factors'!L85,0)</f>
        <v>6042</v>
      </c>
      <c r="M85" s="50">
        <f>ROUND(+M$4/+'Age Factors'!M85,0)</f>
        <v>6417</v>
      </c>
      <c r="N85" s="50">
        <f>ROUND(+N$4/+'Age Factors'!N85,0)</f>
        <v>7615</v>
      </c>
      <c r="O85" s="50">
        <f>ROUND(+O$4/+'Age Factors'!O85,0)</f>
        <v>9193</v>
      </c>
      <c r="P85" s="50">
        <f>ROUND(+P$4/+'Age Factors'!P85,0)</f>
        <v>13265</v>
      </c>
      <c r="Q85" s="50">
        <f>ROUND(+Q$4/+'Age Factors'!Q85,0)</f>
        <v>16172</v>
      </c>
      <c r="R85" s="50">
        <f>ROUND(+R$4/+'Age Factors'!R85,0)</f>
        <v>29483</v>
      </c>
      <c r="S85" s="50">
        <f>ROUND(+S$4/+'Age Factors'!S85,0)</f>
        <v>39164</v>
      </c>
      <c r="T85" s="50">
        <f>ROUND(+T$4/+'Age Factors'!T85,0)</f>
        <v>66557</v>
      </c>
      <c r="U85" s="50">
        <f>ROUND(+U$4/+'Age Factors'!U85,0)</f>
        <v>72956</v>
      </c>
      <c r="V85" s="50">
        <f>ROUND(+V$4/+'Age Factors'!V85,0)</f>
        <v>96810</v>
      </c>
      <c r="W85" s="47"/>
    </row>
    <row r="86" spans="1:23">
      <c r="A86" s="54">
        <v>85</v>
      </c>
      <c r="B86" s="57">
        <f>ROUND(+B$4/+'Age Factors'!B86,0)</f>
        <v>503</v>
      </c>
      <c r="C86" s="57">
        <f>ROUND(+C$4/+'Age Factors'!C86,0)</f>
        <v>1432</v>
      </c>
      <c r="D86" s="57">
        <f>ROUND(+D$4/+'Age Factors'!D86,0)</f>
        <v>1724</v>
      </c>
      <c r="E86" s="57">
        <f>ROUND(+E$4/+'Age Factors'!E86,0)</f>
        <v>1852</v>
      </c>
      <c r="F86" s="57">
        <f>ROUND(+F$4/+'Age Factors'!F86,0)</f>
        <v>2313</v>
      </c>
      <c r="G86" s="57">
        <f>ROUND(+G$4/+'Age Factors'!G86,0)</f>
        <v>2329</v>
      </c>
      <c r="H86" s="57">
        <f>ROUND(+H$4/+'Age Factors'!H86,0)</f>
        <v>2904</v>
      </c>
      <c r="I86" s="57">
        <f>ROUND(+I$4/+'Age Factors'!I86,0)</f>
        <v>3553</v>
      </c>
      <c r="J86" s="57">
        <f>ROUND(+J$4/+'Age Factors'!J86,0)</f>
        <v>4547</v>
      </c>
      <c r="K86" s="57">
        <f>ROUND(+K$4/+'Age Factors'!K86,0)</f>
        <v>4909</v>
      </c>
      <c r="L86" s="57">
        <f>ROUND(+L$4/+'Age Factors'!L86,0)</f>
        <v>6258</v>
      </c>
      <c r="M86" s="57">
        <f>ROUND(+M$4/+'Age Factors'!M86,0)</f>
        <v>6649</v>
      </c>
      <c r="N86" s="57">
        <f>ROUND(+N$4/+'Age Factors'!N86,0)</f>
        <v>7893</v>
      </c>
      <c r="O86" s="57">
        <f>ROUND(+O$4/+'Age Factors'!O86,0)</f>
        <v>9531</v>
      </c>
      <c r="P86" s="57">
        <f>ROUND(+P$4/+'Age Factors'!P86,0)</f>
        <v>13760</v>
      </c>
      <c r="Q86" s="57">
        <f>ROUND(+Q$4/+'Age Factors'!Q86,0)</f>
        <v>16774</v>
      </c>
      <c r="R86" s="57">
        <f>ROUND(+R$4/+'Age Factors'!R86,0)</f>
        <v>30582</v>
      </c>
      <c r="S86" s="57">
        <f>ROUND(+S$4/+'Age Factors'!S86,0)</f>
        <v>40624</v>
      </c>
      <c r="T86" s="57">
        <f>ROUND(+T$4/+'Age Factors'!T86,0)</f>
        <v>69038</v>
      </c>
      <c r="U86" s="57">
        <f>ROUND(+U$4/+'Age Factors'!U86,0)</f>
        <v>75675</v>
      </c>
      <c r="V86" s="57">
        <f>ROUND(+V$4/+'Age Factors'!V86,0)</f>
        <v>100418</v>
      </c>
      <c r="W86" s="47"/>
    </row>
    <row r="87" spans="1:23">
      <c r="A87" s="49">
        <v>86</v>
      </c>
      <c r="B87" s="50">
        <f>ROUND(+B$4/+'Age Factors'!B87,0)</f>
        <v>530</v>
      </c>
      <c r="C87" s="50">
        <f>ROUND(+C$4/+'Age Factors'!C87,0)</f>
        <v>1481</v>
      </c>
      <c r="D87" s="50">
        <f>ROUND(+D$4/+'Age Factors'!D87,0)</f>
        <v>1784</v>
      </c>
      <c r="E87" s="50">
        <f>ROUND(+E$4/+'Age Factors'!E87,0)</f>
        <v>1915</v>
      </c>
      <c r="F87" s="50">
        <f>ROUND(+F$4/+'Age Factors'!F87,0)</f>
        <v>2391</v>
      </c>
      <c r="G87" s="50">
        <f>ROUND(+G$4/+'Age Factors'!G87,0)</f>
        <v>2408</v>
      </c>
      <c r="H87" s="50">
        <f>ROUND(+H$4/+'Age Factors'!H87,0)</f>
        <v>3003</v>
      </c>
      <c r="I87" s="50">
        <f>ROUND(+I$4/+'Age Factors'!I87,0)</f>
        <v>3678</v>
      </c>
      <c r="J87" s="50">
        <f>ROUND(+J$4/+'Age Factors'!J87,0)</f>
        <v>4714</v>
      </c>
      <c r="K87" s="50">
        <f>ROUND(+K$4/+'Age Factors'!K87,0)</f>
        <v>5091</v>
      </c>
      <c r="L87" s="50">
        <f>ROUND(+L$4/+'Age Factors'!L87,0)</f>
        <v>6500</v>
      </c>
      <c r="M87" s="50">
        <f>ROUND(+M$4/+'Age Factors'!M87,0)</f>
        <v>6909</v>
      </c>
      <c r="N87" s="50">
        <f>ROUND(+N$4/+'Age Factors'!N87,0)</f>
        <v>8205</v>
      </c>
      <c r="O87" s="50">
        <f>ROUND(+O$4/+'Age Factors'!O87,0)</f>
        <v>9912</v>
      </c>
      <c r="P87" s="50">
        <f>ROUND(+P$4/+'Age Factors'!P87,0)</f>
        <v>14318</v>
      </c>
      <c r="Q87" s="50">
        <f>ROUND(+Q$4/+'Age Factors'!Q87,0)</f>
        <v>17455</v>
      </c>
      <c r="R87" s="50">
        <f>ROUND(+R$4/+'Age Factors'!R87,0)</f>
        <v>31823</v>
      </c>
      <c r="S87" s="50">
        <f>ROUND(+S$4/+'Age Factors'!S87,0)</f>
        <v>42272</v>
      </c>
      <c r="T87" s="50">
        <f>ROUND(+T$4/+'Age Factors'!T87,0)</f>
        <v>71839</v>
      </c>
      <c r="U87" s="50">
        <f>ROUND(+U$4/+'Age Factors'!U87,0)</f>
        <v>78745</v>
      </c>
      <c r="V87" s="50">
        <f>ROUND(+V$4/+'Age Factors'!V87,0)</f>
        <v>104492</v>
      </c>
      <c r="W87" s="47"/>
    </row>
    <row r="88" spans="1:23">
      <c r="A88" s="49">
        <v>87</v>
      </c>
      <c r="B88" s="50">
        <f>ROUND(+B$4/+'Age Factors'!B88,0)</f>
        <v>561</v>
      </c>
      <c r="C88" s="50">
        <f>ROUND(+C$4/+'Age Factors'!C88,0)</f>
        <v>1536</v>
      </c>
      <c r="D88" s="50">
        <f>ROUND(+D$4/+'Age Factors'!D88,0)</f>
        <v>1849</v>
      </c>
      <c r="E88" s="50">
        <f>ROUND(+E$4/+'Age Factors'!E88,0)</f>
        <v>1985</v>
      </c>
      <c r="F88" s="50">
        <f>ROUND(+F$4/+'Age Factors'!F88,0)</f>
        <v>2479</v>
      </c>
      <c r="G88" s="50">
        <f>ROUND(+G$4/+'Age Factors'!G88,0)</f>
        <v>2497</v>
      </c>
      <c r="H88" s="50">
        <f>ROUND(+H$4/+'Age Factors'!H88,0)</f>
        <v>3113</v>
      </c>
      <c r="I88" s="50">
        <f>ROUND(+I$4/+'Age Factors'!I88,0)</f>
        <v>3817</v>
      </c>
      <c r="J88" s="50">
        <f>ROUND(+J$4/+'Age Factors'!J88,0)</f>
        <v>4901</v>
      </c>
      <c r="K88" s="50">
        <f>ROUND(+K$4/+'Age Factors'!K88,0)</f>
        <v>5296</v>
      </c>
      <c r="L88" s="50">
        <f>ROUND(+L$4/+'Age Factors'!L88,0)</f>
        <v>6772</v>
      </c>
      <c r="M88" s="50">
        <f>ROUND(+M$4/+'Age Factors'!M88,0)</f>
        <v>7200</v>
      </c>
      <c r="N88" s="50">
        <f>ROUND(+N$4/+'Age Factors'!N88,0)</f>
        <v>8554</v>
      </c>
      <c r="O88" s="50">
        <f>ROUND(+O$4/+'Age Factors'!O88,0)</f>
        <v>10338</v>
      </c>
      <c r="P88" s="50">
        <f>ROUND(+P$4/+'Age Factors'!P88,0)</f>
        <v>14948</v>
      </c>
      <c r="Q88" s="50">
        <f>ROUND(+Q$4/+'Age Factors'!Q88,0)</f>
        <v>18223</v>
      </c>
      <c r="R88" s="50">
        <f>ROUND(+R$4/+'Age Factors'!R88,0)</f>
        <v>33223</v>
      </c>
      <c r="S88" s="50">
        <f>ROUND(+S$4/+'Age Factors'!S88,0)</f>
        <v>44132</v>
      </c>
      <c r="T88" s="50">
        <f>ROUND(+T$4/+'Age Factors'!T88,0)</f>
        <v>75000</v>
      </c>
      <c r="U88" s="50">
        <f>ROUND(+U$4/+'Age Factors'!U88,0)</f>
        <v>82211</v>
      </c>
      <c r="V88" s="50">
        <f>ROUND(+V$4/+'Age Factors'!V88,0)</f>
        <v>109091</v>
      </c>
      <c r="W88" s="47"/>
    </row>
    <row r="89" spans="1:23">
      <c r="A89" s="49">
        <v>88</v>
      </c>
      <c r="B89" s="50">
        <f>ROUND(+B$4/+'Age Factors'!B89,0)</f>
        <v>597</v>
      </c>
      <c r="C89" s="50">
        <f>ROUND(+C$4/+'Age Factors'!C89,0)</f>
        <v>1597</v>
      </c>
      <c r="D89" s="50">
        <f>ROUND(+D$4/+'Age Factors'!D89,0)</f>
        <v>1923</v>
      </c>
      <c r="E89" s="50">
        <f>ROUND(+E$4/+'Age Factors'!E89,0)</f>
        <v>2064</v>
      </c>
      <c r="F89" s="50">
        <f>ROUND(+F$4/+'Age Factors'!F89,0)</f>
        <v>2577</v>
      </c>
      <c r="G89" s="50">
        <f>ROUND(+G$4/+'Age Factors'!G89,0)</f>
        <v>2595</v>
      </c>
      <c r="H89" s="50">
        <f>ROUND(+H$4/+'Age Factors'!H89,0)</f>
        <v>3235</v>
      </c>
      <c r="I89" s="50">
        <f>ROUND(+I$4/+'Age Factors'!I89,0)</f>
        <v>3973</v>
      </c>
      <c r="J89" s="50">
        <f>ROUND(+J$4/+'Age Factors'!J89,0)</f>
        <v>5109</v>
      </c>
      <c r="K89" s="50">
        <f>ROUND(+K$4/+'Age Factors'!K89,0)</f>
        <v>5525</v>
      </c>
      <c r="L89" s="50">
        <f>ROUND(+L$4/+'Age Factors'!L89,0)</f>
        <v>7078</v>
      </c>
      <c r="M89" s="50">
        <f>ROUND(+M$4/+'Age Factors'!M89,0)</f>
        <v>7528</v>
      </c>
      <c r="N89" s="50">
        <f>ROUND(+N$4/+'Age Factors'!N89,0)</f>
        <v>8948</v>
      </c>
      <c r="O89" s="50">
        <f>ROUND(+O$4/+'Age Factors'!O89,0)</f>
        <v>10821</v>
      </c>
      <c r="P89" s="50">
        <f>ROUND(+P$4/+'Age Factors'!P89,0)</f>
        <v>15664</v>
      </c>
      <c r="Q89" s="50">
        <f>ROUND(+Q$4/+'Age Factors'!Q89,0)</f>
        <v>19095</v>
      </c>
      <c r="R89" s="50">
        <f>ROUND(+R$4/+'Age Factors'!R89,0)</f>
        <v>34813</v>
      </c>
      <c r="S89" s="50">
        <f>ROUND(+S$4/+'Age Factors'!S89,0)</f>
        <v>46244</v>
      </c>
      <c r="T89" s="50">
        <f>ROUND(+T$4/+'Age Factors'!T89,0)</f>
        <v>78588</v>
      </c>
      <c r="U89" s="50">
        <f>ROUND(+U$4/+'Age Factors'!U89,0)</f>
        <v>86144</v>
      </c>
      <c r="V89" s="50">
        <f>ROUND(+V$4/+'Age Factors'!V89,0)</f>
        <v>114310</v>
      </c>
      <c r="W89" s="47"/>
    </row>
    <row r="90" spans="1:23">
      <c r="A90" s="49">
        <v>89</v>
      </c>
      <c r="B90" s="50">
        <f>ROUND(+B$4/+'Age Factors'!B90,0)</f>
        <v>640</v>
      </c>
      <c r="C90" s="50">
        <f>ROUND(+C$4/+'Age Factors'!C90,0)</f>
        <v>1665</v>
      </c>
      <c r="D90" s="50">
        <f>ROUND(+D$4/+'Age Factors'!D90,0)</f>
        <v>2005</v>
      </c>
      <c r="E90" s="50">
        <f>ROUND(+E$4/+'Age Factors'!E90,0)</f>
        <v>2152</v>
      </c>
      <c r="F90" s="50">
        <f>ROUND(+F$4/+'Age Factors'!F90,0)</f>
        <v>2686</v>
      </c>
      <c r="G90" s="50">
        <f>ROUND(+G$4/+'Age Factors'!G90,0)</f>
        <v>2705</v>
      </c>
      <c r="H90" s="50">
        <f>ROUND(+H$4/+'Age Factors'!H90,0)</f>
        <v>3372</v>
      </c>
      <c r="I90" s="50">
        <f>ROUND(+I$4/+'Age Factors'!I90,0)</f>
        <v>4148</v>
      </c>
      <c r="J90" s="50">
        <f>ROUND(+J$4/+'Age Factors'!J90,0)</f>
        <v>5344</v>
      </c>
      <c r="K90" s="50">
        <f>ROUND(+K$4/+'Age Factors'!K90,0)</f>
        <v>5782</v>
      </c>
      <c r="L90" s="50">
        <f>ROUND(+L$4/+'Age Factors'!L90,0)</f>
        <v>7423</v>
      </c>
      <c r="M90" s="50">
        <f>ROUND(+M$4/+'Age Factors'!M90,0)</f>
        <v>7899</v>
      </c>
      <c r="N90" s="50">
        <f>ROUND(+N$4/+'Age Factors'!N90,0)</f>
        <v>9396</v>
      </c>
      <c r="O90" s="50">
        <f>ROUND(+O$4/+'Age Factors'!O90,0)</f>
        <v>11372</v>
      </c>
      <c r="P90" s="50">
        <f>ROUND(+P$4/+'Age Factors'!P90,0)</f>
        <v>16484</v>
      </c>
      <c r="Q90" s="50">
        <f>ROUND(+Q$4/+'Age Factors'!Q90,0)</f>
        <v>20096</v>
      </c>
      <c r="R90" s="50">
        <f>ROUND(+R$4/+'Age Factors'!R90,0)</f>
        <v>36637</v>
      </c>
      <c r="S90" s="50">
        <f>ROUND(+S$4/+'Age Factors'!S90,0)</f>
        <v>48667</v>
      </c>
      <c r="T90" s="50">
        <f>ROUND(+T$4/+'Age Factors'!T90,0)</f>
        <v>82707</v>
      </c>
      <c r="U90" s="50">
        <f>ROUND(+U$4/+'Age Factors'!U90,0)</f>
        <v>90658</v>
      </c>
      <c r="V90" s="50">
        <f>ROUND(+V$4/+'Age Factors'!V90,0)</f>
        <v>120301</v>
      </c>
      <c r="W90" s="47"/>
    </row>
    <row r="91" spans="1:23">
      <c r="A91" s="54">
        <v>90</v>
      </c>
      <c r="B91" s="57">
        <f>ROUND(+B$4/+'Age Factors'!B91,0)</f>
        <v>691</v>
      </c>
      <c r="C91" s="57">
        <f>ROUND(+C$4/+'Age Factors'!C91,0)</f>
        <v>1742</v>
      </c>
      <c r="D91" s="57">
        <f>ROUND(+D$4/+'Age Factors'!D91,0)</f>
        <v>2097</v>
      </c>
      <c r="E91" s="57">
        <f>ROUND(+E$4/+'Age Factors'!E91,0)</f>
        <v>2251</v>
      </c>
      <c r="F91" s="57">
        <f>ROUND(+F$4/+'Age Factors'!F91,0)</f>
        <v>2809</v>
      </c>
      <c r="G91" s="57">
        <f>ROUND(+G$4/+'Age Factors'!G91,0)</f>
        <v>2830</v>
      </c>
      <c r="H91" s="57">
        <f>ROUND(+H$4/+'Age Factors'!H91,0)</f>
        <v>3527</v>
      </c>
      <c r="I91" s="57">
        <f>ROUND(+I$4/+'Age Factors'!I91,0)</f>
        <v>4345</v>
      </c>
      <c r="J91" s="57">
        <f>ROUND(+J$4/+'Age Factors'!J91,0)</f>
        <v>5611</v>
      </c>
      <c r="K91" s="57">
        <f>ROUND(+K$4/+'Age Factors'!K91,0)</f>
        <v>6076</v>
      </c>
      <c r="L91" s="57">
        <f>ROUND(+L$4/+'Age Factors'!L91,0)</f>
        <v>7816</v>
      </c>
      <c r="M91" s="57">
        <f>ROUND(+M$4/+'Age Factors'!M91,0)</f>
        <v>8324</v>
      </c>
      <c r="N91" s="57">
        <f>ROUND(+N$4/+'Age Factors'!N91,0)</f>
        <v>9911</v>
      </c>
      <c r="O91" s="57">
        <f>ROUND(+O$4/+'Age Factors'!O91,0)</f>
        <v>12006</v>
      </c>
      <c r="P91" s="57">
        <f>ROUND(+P$4/+'Age Factors'!P91,0)</f>
        <v>17434</v>
      </c>
      <c r="Q91" s="57">
        <f>ROUND(+Q$4/+'Age Factors'!Q91,0)</f>
        <v>21253</v>
      </c>
      <c r="R91" s="57">
        <f>ROUND(+R$4/+'Age Factors'!R91,0)</f>
        <v>38747</v>
      </c>
      <c r="S91" s="57">
        <f>ROUND(+S$4/+'Age Factors'!S91,0)</f>
        <v>51470</v>
      </c>
      <c r="T91" s="57">
        <f>ROUND(+T$4/+'Age Factors'!T91,0)</f>
        <v>87470</v>
      </c>
      <c r="U91" s="57">
        <f>ROUND(+U$4/+'Age Factors'!U91,0)</f>
        <v>95880</v>
      </c>
      <c r="V91" s="57">
        <f>ROUND(+V$4/+'Age Factors'!V91,0)</f>
        <v>127229</v>
      </c>
      <c r="W91" s="47"/>
    </row>
    <row r="92" spans="1:23">
      <c r="A92" s="49">
        <v>91</v>
      </c>
      <c r="B92" s="50">
        <f>ROUND(+B$4/+'Age Factors'!B92,0)</f>
        <v>752</v>
      </c>
      <c r="C92" s="50">
        <f>ROUND(+C$4/+'Age Factors'!C92,0)</f>
        <v>1828</v>
      </c>
      <c r="D92" s="50">
        <f>ROUND(+D$4/+'Age Factors'!D92,0)</f>
        <v>2201</v>
      </c>
      <c r="E92" s="50">
        <f>ROUND(+E$4/+'Age Factors'!E92,0)</f>
        <v>2363</v>
      </c>
      <c r="F92" s="50">
        <f>ROUND(+F$4/+'Age Factors'!F92,0)</f>
        <v>2949</v>
      </c>
      <c r="G92" s="50">
        <f>ROUND(+G$4/+'Age Factors'!G92,0)</f>
        <v>2971</v>
      </c>
      <c r="H92" s="50">
        <f>ROUND(+H$4/+'Age Factors'!H92,0)</f>
        <v>3703</v>
      </c>
      <c r="I92" s="50">
        <f>ROUND(+I$4/+'Age Factors'!I92,0)</f>
        <v>4570</v>
      </c>
      <c r="J92" s="50">
        <f>ROUND(+J$4/+'Age Factors'!J92,0)</f>
        <v>5916</v>
      </c>
      <c r="K92" s="50">
        <f>ROUND(+K$4/+'Age Factors'!K92,0)</f>
        <v>6411</v>
      </c>
      <c r="L92" s="50">
        <f>ROUND(+L$4/+'Age Factors'!L92,0)</f>
        <v>8268</v>
      </c>
      <c r="M92" s="50">
        <f>ROUND(+M$4/+'Age Factors'!M92,0)</f>
        <v>8810</v>
      </c>
      <c r="N92" s="50">
        <f>ROUND(+N$4/+'Age Factors'!N92,0)</f>
        <v>10501</v>
      </c>
      <c r="O92" s="50">
        <f>ROUND(+O$4/+'Age Factors'!O92,0)</f>
        <v>12737</v>
      </c>
      <c r="P92" s="50">
        <f>ROUND(+P$4/+'Age Factors'!P92,0)</f>
        <v>18532</v>
      </c>
      <c r="Q92" s="50">
        <f>ROUND(+Q$4/+'Age Factors'!Q92,0)</f>
        <v>22592</v>
      </c>
      <c r="R92" s="50">
        <f>ROUND(+R$4/+'Age Factors'!R92,0)</f>
        <v>41189</v>
      </c>
      <c r="S92" s="50">
        <f>ROUND(+S$4/+'Age Factors'!S92,0)</f>
        <v>54713</v>
      </c>
      <c r="T92" s="50">
        <f>ROUND(+T$4/+'Age Factors'!T92,0)</f>
        <v>92982</v>
      </c>
      <c r="U92" s="50">
        <f>ROUND(+U$4/+'Age Factors'!U92,0)</f>
        <v>101921</v>
      </c>
      <c r="V92" s="50">
        <f>ROUND(+V$4/+'Age Factors'!V92,0)</f>
        <v>135246</v>
      </c>
      <c r="W92" s="47"/>
    </row>
    <row r="93" spans="1:23">
      <c r="A93" s="49">
        <v>92</v>
      </c>
      <c r="B93" s="50">
        <f>ROUND(+B$4/+'Age Factors'!B93,0)</f>
        <v>828</v>
      </c>
      <c r="C93" s="50">
        <f>ROUND(+C$4/+'Age Factors'!C93,0)</f>
        <v>1927</v>
      </c>
      <c r="D93" s="50">
        <f>ROUND(+D$4/+'Age Factors'!D93,0)</f>
        <v>2320</v>
      </c>
      <c r="E93" s="50">
        <f>ROUND(+E$4/+'Age Factors'!E93,0)</f>
        <v>2490</v>
      </c>
      <c r="F93" s="50">
        <f>ROUND(+F$4/+'Age Factors'!F93,0)</f>
        <v>3109</v>
      </c>
      <c r="G93" s="50">
        <f>ROUND(+G$4/+'Age Factors'!G93,0)</f>
        <v>3130</v>
      </c>
      <c r="H93" s="50">
        <f>ROUND(+H$4/+'Age Factors'!H93,0)</f>
        <v>3902</v>
      </c>
      <c r="I93" s="50">
        <f>ROUND(+I$4/+'Age Factors'!I93,0)</f>
        <v>4827</v>
      </c>
      <c r="J93" s="50">
        <f>ROUND(+J$4/+'Age Factors'!J93,0)</f>
        <v>6266</v>
      </c>
      <c r="K93" s="50">
        <f>ROUND(+K$4/+'Age Factors'!K93,0)</f>
        <v>6797</v>
      </c>
      <c r="L93" s="50">
        <f>ROUND(+L$4/+'Age Factors'!L93,0)</f>
        <v>8792</v>
      </c>
      <c r="M93" s="50">
        <f>ROUND(+M$4/+'Age Factors'!M93,0)</f>
        <v>9375</v>
      </c>
      <c r="N93" s="50">
        <f>ROUND(+N$4/+'Age Factors'!N93,0)</f>
        <v>11190</v>
      </c>
      <c r="O93" s="50">
        <f>ROUND(+O$4/+'Age Factors'!O93,0)</f>
        <v>13588</v>
      </c>
      <c r="P93" s="50">
        <f>ROUND(+P$4/+'Age Factors'!P93,0)</f>
        <v>19827</v>
      </c>
      <c r="Q93" s="50">
        <f>ROUND(+Q$4/+'Age Factors'!Q93,0)</f>
        <v>24171</v>
      </c>
      <c r="R93" s="50">
        <f>ROUND(+R$4/+'Age Factors'!R93,0)</f>
        <v>44067</v>
      </c>
      <c r="S93" s="50">
        <f>ROUND(+S$4/+'Age Factors'!S93,0)</f>
        <v>58537</v>
      </c>
      <c r="T93" s="50">
        <f>ROUND(+T$4/+'Age Factors'!T93,0)</f>
        <v>99479</v>
      </c>
      <c r="U93" s="50">
        <f>ROUND(+U$4/+'Age Factors'!U93,0)</f>
        <v>109044</v>
      </c>
      <c r="V93" s="50">
        <f>ROUND(+V$4/+'Age Factors'!V93,0)</f>
        <v>144697</v>
      </c>
      <c r="W93" s="47"/>
    </row>
    <row r="94" spans="1:23">
      <c r="A94" s="49">
        <v>93</v>
      </c>
      <c r="B94" s="50">
        <f>ROUND(+B$4/+'Age Factors'!B94,0)</f>
        <v>924</v>
      </c>
      <c r="C94" s="50">
        <f>ROUND(+C$4/+'Age Factors'!C94,0)</f>
        <v>2040</v>
      </c>
      <c r="D94" s="50">
        <f>ROUND(+D$4/+'Age Factors'!D94,0)</f>
        <v>2456</v>
      </c>
      <c r="E94" s="50">
        <f>ROUND(+E$4/+'Age Factors'!E94,0)</f>
        <v>2636</v>
      </c>
      <c r="F94" s="50">
        <f>ROUND(+F$4/+'Age Factors'!F94,0)</f>
        <v>3291</v>
      </c>
      <c r="G94" s="50">
        <f>ROUND(+G$4/+'Age Factors'!G94,0)</f>
        <v>3315</v>
      </c>
      <c r="H94" s="50">
        <f>ROUND(+H$4/+'Age Factors'!H94,0)</f>
        <v>4133</v>
      </c>
      <c r="I94" s="50">
        <f>ROUND(+I$4/+'Age Factors'!I94,0)</f>
        <v>5124</v>
      </c>
      <c r="J94" s="50">
        <f>ROUND(+J$4/+'Age Factors'!J94,0)</f>
        <v>6675</v>
      </c>
      <c r="K94" s="50">
        <f>ROUND(+K$4/+'Age Factors'!K94,0)</f>
        <v>7247</v>
      </c>
      <c r="L94" s="50">
        <f>ROUND(+L$4/+'Age Factors'!L94,0)</f>
        <v>9406</v>
      </c>
      <c r="M94" s="50">
        <f>ROUND(+M$4/+'Age Factors'!M94,0)</f>
        <v>10038</v>
      </c>
      <c r="N94" s="50">
        <f>ROUND(+N$4/+'Age Factors'!N94,0)</f>
        <v>12000</v>
      </c>
      <c r="O94" s="50">
        <f>ROUND(+O$4/+'Age Factors'!O94,0)</f>
        <v>14600</v>
      </c>
      <c r="P94" s="50">
        <f>ROUND(+P$4/+'Age Factors'!P94,0)</f>
        <v>21374</v>
      </c>
      <c r="Q94" s="50">
        <f>ROUND(+Q$4/+'Age Factors'!Q94,0)</f>
        <v>26056</v>
      </c>
      <c r="R94" s="50">
        <f>ROUND(+R$4/+'Age Factors'!R94,0)</f>
        <v>47504</v>
      </c>
      <c r="S94" s="50">
        <f>ROUND(+S$4/+'Age Factors'!S94,0)</f>
        <v>63102</v>
      </c>
      <c r="T94" s="50">
        <f>ROUND(+T$4/+'Age Factors'!T94,0)</f>
        <v>107238</v>
      </c>
      <c r="U94" s="50">
        <f>ROUND(+U$4/+'Age Factors'!U94,0)</f>
        <v>117548</v>
      </c>
      <c r="V94" s="50">
        <f>ROUND(+V$4/+'Age Factors'!V94,0)</f>
        <v>155982</v>
      </c>
      <c r="W94" s="47"/>
    </row>
    <row r="95" spans="1:23">
      <c r="A95" s="49">
        <v>94</v>
      </c>
      <c r="B95" s="50">
        <f>ROUND(+B$4/+'Age Factors'!B95,0)</f>
        <v>1048</v>
      </c>
      <c r="C95" s="50">
        <f>ROUND(+C$4/+'Age Factors'!C95,0)</f>
        <v>2171</v>
      </c>
      <c r="D95" s="50">
        <f>ROUND(+D$4/+'Age Factors'!D95,0)</f>
        <v>2615</v>
      </c>
      <c r="E95" s="50">
        <f>ROUND(+E$4/+'Age Factors'!E95,0)</f>
        <v>2807</v>
      </c>
      <c r="F95" s="50">
        <f>ROUND(+F$4/+'Age Factors'!F95,0)</f>
        <v>3505</v>
      </c>
      <c r="G95" s="50">
        <f>ROUND(+G$4/+'Age Factors'!G95,0)</f>
        <v>3529</v>
      </c>
      <c r="H95" s="50">
        <f>ROUND(+H$4/+'Age Factors'!H95,0)</f>
        <v>4400</v>
      </c>
      <c r="I95" s="50">
        <f>ROUND(+I$4/+'Age Factors'!I95,0)</f>
        <v>5471</v>
      </c>
      <c r="J95" s="50">
        <f>ROUND(+J$4/+'Age Factors'!J95,0)</f>
        <v>7151</v>
      </c>
      <c r="K95" s="50">
        <f>ROUND(+K$4/+'Age Factors'!K95,0)</f>
        <v>7774</v>
      </c>
      <c r="L95" s="50">
        <f>ROUND(+L$4/+'Age Factors'!L95,0)</f>
        <v>10131</v>
      </c>
      <c r="M95" s="50">
        <f>ROUND(+M$4/+'Age Factors'!M95,0)</f>
        <v>10822</v>
      </c>
      <c r="N95" s="50">
        <f>ROUND(+N$4/+'Age Factors'!N95,0)</f>
        <v>12961</v>
      </c>
      <c r="O95" s="50">
        <f>ROUND(+O$4/+'Age Factors'!O95,0)</f>
        <v>15805</v>
      </c>
      <c r="P95" s="50">
        <f>ROUND(+P$4/+'Age Factors'!P95,0)</f>
        <v>23234</v>
      </c>
      <c r="Q95" s="50">
        <f>ROUND(+Q$4/+'Age Factors'!Q95,0)</f>
        <v>28324</v>
      </c>
      <c r="R95" s="50">
        <f>ROUND(+R$4/+'Age Factors'!R95,0)</f>
        <v>51638</v>
      </c>
      <c r="S95" s="50">
        <f>ROUND(+S$4/+'Age Factors'!S95,0)</f>
        <v>68593</v>
      </c>
      <c r="T95" s="50">
        <f>ROUND(+T$4/+'Age Factors'!T95,0)</f>
        <v>116570</v>
      </c>
      <c r="U95" s="50">
        <f>ROUND(+U$4/+'Age Factors'!U95,0)</f>
        <v>127778</v>
      </c>
      <c r="V95" s="50">
        <f>ROUND(+V$4/+'Age Factors'!V95,0)</f>
        <v>169557</v>
      </c>
      <c r="W95" s="47"/>
    </row>
    <row r="96" spans="1:23">
      <c r="A96" s="54">
        <v>95</v>
      </c>
      <c r="B96" s="57">
        <f>ROUND(+B$4/+'Age Factors'!B96,0)</f>
        <v>1217</v>
      </c>
      <c r="C96" s="57">
        <f>ROUND(+C$4/+'Age Factors'!C96,0)</f>
        <v>2324</v>
      </c>
      <c r="D96" s="57">
        <f>ROUND(+D$4/+'Age Factors'!D96,0)</f>
        <v>2800</v>
      </c>
      <c r="E96" s="57">
        <f>ROUND(+E$4/+'Age Factors'!E96,0)</f>
        <v>3005</v>
      </c>
      <c r="F96" s="57">
        <f>ROUND(+F$4/+'Age Factors'!F96,0)</f>
        <v>3753</v>
      </c>
      <c r="G96" s="57">
        <f>ROUND(+G$4/+'Age Factors'!G96,0)</f>
        <v>3780</v>
      </c>
      <c r="H96" s="57">
        <f>ROUND(+H$4/+'Age Factors'!H96,0)</f>
        <v>4714</v>
      </c>
      <c r="I96" s="57">
        <f>ROUND(+I$4/+'Age Factors'!I96,0)</f>
        <v>5883</v>
      </c>
      <c r="J96" s="57">
        <f>ROUND(+J$4/+'Age Factors'!J96,0)</f>
        <v>7721</v>
      </c>
      <c r="K96" s="57">
        <f>ROUND(+K$4/+'Age Factors'!K96,0)</f>
        <v>8406</v>
      </c>
      <c r="L96" s="57">
        <f>ROUND(+L$4/+'Age Factors'!L96,0)</f>
        <v>11002</v>
      </c>
      <c r="M96" s="57">
        <f>ROUND(+M$4/+'Age Factors'!M96,0)</f>
        <v>11770</v>
      </c>
      <c r="N96" s="57">
        <f>ROUND(+N$4/+'Age Factors'!N96,0)</f>
        <v>14133</v>
      </c>
      <c r="O96" s="57">
        <f>ROUND(+O$4/+'Age Factors'!O96,0)</f>
        <v>17280</v>
      </c>
      <c r="P96" s="57">
        <f>ROUND(+P$4/+'Age Factors'!P96,0)</f>
        <v>25538</v>
      </c>
      <c r="Q96" s="57">
        <f>ROUND(+Q$4/+'Age Factors'!Q96,0)</f>
        <v>31133</v>
      </c>
      <c r="R96" s="57">
        <f>ROUND(+R$4/+'Age Factors'!R96,0)</f>
        <v>56760</v>
      </c>
      <c r="S96" s="57">
        <f>ROUND(+S$4/+'Age Factors'!S96,0)</f>
        <v>75397</v>
      </c>
      <c r="T96" s="57">
        <f>ROUND(+T$4/+'Age Factors'!T96,0)</f>
        <v>128133</v>
      </c>
      <c r="U96" s="57">
        <f>ROUND(+U$4/+'Age Factors'!U96,0)</f>
        <v>140452</v>
      </c>
      <c r="V96" s="57">
        <f>ROUND(+V$4/+'Age Factors'!V96,0)</f>
        <v>186375</v>
      </c>
      <c r="W96" s="47"/>
    </row>
    <row r="97" spans="1:23">
      <c r="A97" s="49">
        <v>96</v>
      </c>
      <c r="B97" s="50">
        <f>ROUND(+B$4/+'Age Factors'!B97,0)</f>
        <v>1457</v>
      </c>
      <c r="C97" s="50">
        <f>ROUND(+C$4/+'Age Factors'!C97,0)</f>
        <v>2505</v>
      </c>
      <c r="D97" s="50">
        <f>ROUND(+D$4/+'Age Factors'!D97,0)</f>
        <v>3018</v>
      </c>
      <c r="E97" s="50">
        <f>ROUND(+E$4/+'Age Factors'!E97,0)</f>
        <v>3240</v>
      </c>
      <c r="F97" s="50">
        <f>ROUND(+F$4/+'Age Factors'!F97,0)</f>
        <v>4048</v>
      </c>
      <c r="G97" s="50">
        <f>ROUND(+G$4/+'Age Factors'!G97,0)</f>
        <v>4077</v>
      </c>
      <c r="H97" s="50">
        <f>ROUND(+H$4/+'Age Factors'!H97,0)</f>
        <v>5087</v>
      </c>
      <c r="I97" s="50">
        <f>ROUND(+I$4/+'Age Factors'!I97,0)</f>
        <v>6373</v>
      </c>
      <c r="J97" s="50">
        <f>ROUND(+J$4/+'Age Factors'!J97,0)</f>
        <v>8409</v>
      </c>
      <c r="K97" s="50">
        <f>ROUND(+K$4/+'Age Factors'!K97,0)</f>
        <v>9170</v>
      </c>
      <c r="L97" s="50">
        <f>ROUND(+L$4/+'Age Factors'!L97,0)</f>
        <v>12070</v>
      </c>
      <c r="M97" s="50">
        <f>ROUND(+M$4/+'Age Factors'!M97,0)</f>
        <v>12930</v>
      </c>
      <c r="N97" s="50">
        <f>ROUND(+N$4/+'Age Factors'!N97,0)</f>
        <v>15574</v>
      </c>
      <c r="O97" s="50">
        <f>ROUND(+O$4/+'Age Factors'!O97,0)</f>
        <v>19110</v>
      </c>
      <c r="P97" s="50">
        <f>ROUND(+P$4/+'Age Factors'!P97,0)</f>
        <v>28428</v>
      </c>
      <c r="Q97" s="50">
        <f>ROUND(+Q$4/+'Age Factors'!Q97,0)</f>
        <v>34656</v>
      </c>
      <c r="R97" s="50">
        <f>ROUND(+R$4/+'Age Factors'!R97,0)</f>
        <v>63183</v>
      </c>
      <c r="S97" s="50">
        <f>ROUND(+S$4/+'Age Factors'!S97,0)</f>
        <v>83929</v>
      </c>
      <c r="T97" s="50">
        <f>ROUND(+T$4/+'Age Factors'!T97,0)</f>
        <v>142633</v>
      </c>
      <c r="U97" s="50">
        <f>ROUND(+U$4/+'Age Factors'!U97,0)</f>
        <v>156346</v>
      </c>
      <c r="V97" s="50">
        <f>ROUND(+V$4/+'Age Factors'!V97,0)</f>
        <v>207466</v>
      </c>
      <c r="W97" s="47"/>
    </row>
    <row r="98" spans="1:23">
      <c r="A98" s="49">
        <v>97</v>
      </c>
      <c r="B98" s="50">
        <f>ROUND(+B$4/+'Age Factors'!B98,0)</f>
        <v>1828</v>
      </c>
      <c r="C98" s="50">
        <f>ROUND(+C$4/+'Age Factors'!C98,0)</f>
        <v>2722</v>
      </c>
      <c r="D98" s="50">
        <f>ROUND(+D$4/+'Age Factors'!D98,0)</f>
        <v>3282</v>
      </c>
      <c r="E98" s="50">
        <f>ROUND(+E$4/+'Age Factors'!E98,0)</f>
        <v>3524</v>
      </c>
      <c r="F98" s="50">
        <f>ROUND(+F$4/+'Age Factors'!F98,0)</f>
        <v>4405</v>
      </c>
      <c r="G98" s="50">
        <f>ROUND(+G$4/+'Age Factors'!G98,0)</f>
        <v>4435</v>
      </c>
      <c r="H98" s="50">
        <f>ROUND(+H$4/+'Age Factors'!H98,0)</f>
        <v>5537</v>
      </c>
      <c r="I98" s="50">
        <f>ROUND(+I$4/+'Age Factors'!I98,0)</f>
        <v>6969</v>
      </c>
      <c r="J98" s="50">
        <f>ROUND(+J$4/+'Age Factors'!J98,0)</f>
        <v>9253</v>
      </c>
      <c r="K98" s="50">
        <f>ROUND(+K$4/+'Age Factors'!K98,0)</f>
        <v>10109</v>
      </c>
      <c r="L98" s="50">
        <f>ROUND(+L$4/+'Age Factors'!L98,0)</f>
        <v>13405</v>
      </c>
      <c r="M98" s="50">
        <f>ROUND(+M$4/+'Age Factors'!M98,0)</f>
        <v>14385</v>
      </c>
      <c r="N98" s="50">
        <f>ROUND(+N$4/+'Age Factors'!N98,0)</f>
        <v>17401</v>
      </c>
      <c r="O98" s="50">
        <f>ROUND(+O$4/+'Age Factors'!O98,0)</f>
        <v>21447</v>
      </c>
      <c r="P98" s="50">
        <f>ROUND(+P$4/+'Age Factors'!P98,0)</f>
        <v>32184</v>
      </c>
      <c r="Q98" s="50">
        <f>ROUND(+Q$4/+'Age Factors'!Q98,0)</f>
        <v>39235</v>
      </c>
      <c r="R98" s="50">
        <f>ROUND(+R$4/+'Age Factors'!R98,0)</f>
        <v>71530</v>
      </c>
      <c r="S98" s="50">
        <f>ROUND(+S$4/+'Age Factors'!S98,0)</f>
        <v>95018</v>
      </c>
      <c r="T98" s="50">
        <f>ROUND(+T$4/+'Age Factors'!T98,0)</f>
        <v>161477</v>
      </c>
      <c r="U98" s="50">
        <f>ROUND(+U$4/+'Age Factors'!U98,0)</f>
        <v>177002</v>
      </c>
      <c r="V98" s="50">
        <f>ROUND(+V$4/+'Age Factors'!V98,0)</f>
        <v>234875</v>
      </c>
      <c r="W98" s="47"/>
    </row>
    <row r="99" spans="1:23">
      <c r="A99" s="49">
        <v>98</v>
      </c>
      <c r="B99" s="50">
        <f>ROUND(+B$4/+'Age Factors'!B99,0)</f>
        <v>2471</v>
      </c>
      <c r="C99" s="50">
        <f>ROUND(+C$4/+'Age Factors'!C99,0)</f>
        <v>2988</v>
      </c>
      <c r="D99" s="50">
        <f>ROUND(+D$4/+'Age Factors'!D99,0)</f>
        <v>3603</v>
      </c>
      <c r="E99" s="50">
        <f>ROUND(+E$4/+'Age Factors'!E99,0)</f>
        <v>3870</v>
      </c>
      <c r="F99" s="50">
        <f>ROUND(+F$4/+'Age Factors'!F99,0)</f>
        <v>4840</v>
      </c>
      <c r="G99" s="50">
        <f>ROUND(+G$4/+'Age Factors'!G99,0)</f>
        <v>4875</v>
      </c>
      <c r="H99" s="50">
        <f>ROUND(+H$4/+'Age Factors'!H99,0)</f>
        <v>6088</v>
      </c>
      <c r="I99" s="50">
        <f>ROUND(+I$4/+'Age Factors'!I99,0)</f>
        <v>7706</v>
      </c>
      <c r="J99" s="50">
        <f>ROUND(+J$4/+'Age Factors'!J99,0)</f>
        <v>10316</v>
      </c>
      <c r="K99" s="50">
        <f>ROUND(+K$4/+'Age Factors'!K99,0)</f>
        <v>11302</v>
      </c>
      <c r="L99" s="50">
        <f>ROUND(+L$4/+'Age Factors'!L99,0)</f>
        <v>15121</v>
      </c>
      <c r="M99" s="50">
        <f>ROUND(+M$4/+'Age Factors'!M99,0)</f>
        <v>16263</v>
      </c>
      <c r="N99" s="50">
        <f>ROUND(+N$4/+'Age Factors'!N99,0)</f>
        <v>19779</v>
      </c>
      <c r="O99" s="50">
        <f>ROUND(+O$4/+'Age Factors'!O99,0)</f>
        <v>24520</v>
      </c>
      <c r="P99" s="50">
        <f>ROUND(+P$4/+'Age Factors'!P99,0)</f>
        <v>37255</v>
      </c>
      <c r="Q99" s="50">
        <f>ROUND(+Q$4/+'Age Factors'!Q99,0)</f>
        <v>45417</v>
      </c>
      <c r="R99" s="50">
        <f>ROUND(+R$4/+'Age Factors'!R99,0)</f>
        <v>82801</v>
      </c>
      <c r="S99" s="50">
        <f>ROUND(+S$4/+'Age Factors'!S99,0)</f>
        <v>109990</v>
      </c>
      <c r="T99" s="50">
        <f>ROUND(+T$4/+'Age Factors'!T99,0)</f>
        <v>186921</v>
      </c>
      <c r="U99" s="50">
        <f>ROUND(+U$4/+'Age Factors'!U99,0)</f>
        <v>204892</v>
      </c>
      <c r="V99" s="50">
        <f>ROUND(+V$4/+'Age Factors'!V99,0)</f>
        <v>271885</v>
      </c>
      <c r="W99" s="47"/>
    </row>
    <row r="100" spans="1:23">
      <c r="A100" s="49">
        <v>99</v>
      </c>
      <c r="B100" s="50">
        <f>ROUND(+B$4/+'Age Factors'!B100,0)</f>
        <v>3860</v>
      </c>
      <c r="C100" s="50">
        <f>ROUND(+C$4/+'Age Factors'!C100,0)</f>
        <v>3320</v>
      </c>
      <c r="D100" s="50">
        <f>ROUND(+D$4/+'Age Factors'!D100,0)</f>
        <v>4007</v>
      </c>
      <c r="E100" s="50">
        <f>ROUND(+E$4/+'Age Factors'!E100,0)</f>
        <v>4305</v>
      </c>
      <c r="F100" s="50">
        <f>ROUND(+F$4/+'Age Factors'!F100,0)</f>
        <v>5389</v>
      </c>
      <c r="G100" s="50">
        <f>ROUND(+G$4/+'Age Factors'!G100,0)</f>
        <v>5427</v>
      </c>
      <c r="H100" s="50">
        <f>ROUND(+H$4/+'Age Factors'!H100,0)</f>
        <v>6784</v>
      </c>
      <c r="I100" s="50">
        <f>ROUND(+I$4/+'Age Factors'!I100,0)</f>
        <v>8650</v>
      </c>
      <c r="J100" s="50">
        <f>ROUND(+J$4/+'Age Factors'!J100,0)</f>
        <v>11695</v>
      </c>
      <c r="K100" s="50">
        <f>ROUND(+K$4/+'Age Factors'!K100,0)</f>
        <v>12859</v>
      </c>
      <c r="L100" s="50">
        <f>ROUND(+L$4/+'Age Factors'!L100,0)</f>
        <v>17396</v>
      </c>
      <c r="M100" s="50">
        <f>ROUND(+M$4/+'Age Factors'!M100,0)</f>
        <v>18776</v>
      </c>
      <c r="N100" s="50">
        <f>ROUND(+N$4/+'Age Factors'!N100,0)</f>
        <v>22999</v>
      </c>
      <c r="O100" s="50">
        <f>ROUND(+O$4/+'Age Factors'!O100,0)</f>
        <v>28769</v>
      </c>
      <c r="P100" s="50">
        <f>ROUND(+P$4/+'Age Factors'!P100,0)</f>
        <v>44441</v>
      </c>
      <c r="Q100" s="50">
        <f>ROUND(+Q$4/+'Age Factors'!Q100,0)</f>
        <v>54177</v>
      </c>
      <c r="R100" s="50">
        <f>ROUND(+R$4/+'Age Factors'!R100,0)</f>
        <v>98771</v>
      </c>
      <c r="S100" s="50">
        <f>ROUND(+S$4/+'Age Factors'!S100,0)</f>
        <v>131204</v>
      </c>
      <c r="T100" s="50">
        <f>ROUND(+T$4/+'Age Factors'!T100,0)</f>
        <v>222973</v>
      </c>
      <c r="U100" s="50">
        <f>ROUND(+U$4/+'Age Factors'!U100,0)</f>
        <v>244410</v>
      </c>
      <c r="V100" s="50">
        <f>ROUND(+V$4/+'Age Factors'!V100,0)</f>
        <v>324324</v>
      </c>
      <c r="W100" s="47"/>
    </row>
    <row r="101" spans="1:23" ht="15.75" thickBot="1">
      <c r="A101" s="54">
        <v>100</v>
      </c>
      <c r="B101" s="57">
        <f>ROUND(+B$4/+'Age Factors'!B101,0)</f>
        <v>9134</v>
      </c>
      <c r="C101" s="57">
        <f>ROUND(+C$4/+'Age Factors'!C101,0)</f>
        <v>3746</v>
      </c>
      <c r="D101" s="57">
        <f>ROUND(+D$4/+'Age Factors'!D101,0)</f>
        <v>4526</v>
      </c>
      <c r="E101" s="57">
        <f>ROUND(+E$4/+'Age Factors'!E101,0)</f>
        <v>4864</v>
      </c>
      <c r="F101" s="57">
        <f>ROUND(+F$4/+'Age Factors'!F101,0)</f>
        <v>6095</v>
      </c>
      <c r="G101" s="57">
        <f>ROUND(+G$4/+'Age Factors'!G101,0)</f>
        <v>6139</v>
      </c>
      <c r="H101" s="57">
        <f>ROUND(+H$4/+'Age Factors'!H101,0)</f>
        <v>7682</v>
      </c>
      <c r="I101" s="58">
        <f>ROUND(+I$4/+'Age Factors'!I101,0)</f>
        <v>9892</v>
      </c>
      <c r="J101" s="58">
        <f>ROUND(+J$4/+'Age Factors'!J101,0)</f>
        <v>13552</v>
      </c>
      <c r="K101" s="57">
        <f>ROUND(+K$4/+'Age Factors'!K101,0)</f>
        <v>14965</v>
      </c>
      <c r="L101" s="57">
        <f>ROUND(+L$4/+'Age Factors'!L101,0)</f>
        <v>20581</v>
      </c>
      <c r="M101" s="57">
        <f>ROUND(+M$4/+'Age Factors'!M101,0)</f>
        <v>22308</v>
      </c>
      <c r="N101" s="57">
        <f>ROUND(+N$4/+'Age Factors'!N101,0)</f>
        <v>27621</v>
      </c>
      <c r="O101" s="57">
        <f>ROUND(+O$4/+'Age Factors'!O101,0)</f>
        <v>34947</v>
      </c>
      <c r="P101" s="57">
        <f>ROUND(+P$4/+'Age Factors'!P101,0)</f>
        <v>55398</v>
      </c>
      <c r="Q101" s="57">
        <f>ROUND(+Q$4/+'Age Factors'!Q101,0)</f>
        <v>67534</v>
      </c>
      <c r="R101" s="57">
        <f>ROUND(+R$4/+'Age Factors'!R101,0)</f>
        <v>123124</v>
      </c>
      <c r="S101" s="57">
        <f>ROUND(+S$4/+'Age Factors'!S101,0)</f>
        <v>163553</v>
      </c>
      <c r="T101" s="57">
        <f>ROUND(+T$4/+'Age Factors'!T101,0)</f>
        <v>277948</v>
      </c>
      <c r="U101" s="57">
        <f>ROUND(+U$4/+'Age Factors'!U101,0)</f>
        <v>304671</v>
      </c>
      <c r="V101" s="57">
        <f>ROUND(+V$4/+'Age Factors'!V101,0)</f>
        <v>404288</v>
      </c>
    </row>
    <row r="102" spans="1:23" ht="15.75">
      <c r="A102" s="175" t="s">
        <v>1042</v>
      </c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</row>
    <row r="103" spans="1:23">
      <c r="A103" s="176" t="s">
        <v>383</v>
      </c>
    </row>
    <row r="104" spans="1:23" ht="15.75">
      <c r="A104" s="177" t="s">
        <v>1040</v>
      </c>
    </row>
    <row r="105" spans="1:23" ht="15.75">
      <c r="A105" s="177" t="s">
        <v>1041</v>
      </c>
    </row>
    <row r="106" spans="1:23" ht="15.75">
      <c r="A106" s="177" t="s">
        <v>379</v>
      </c>
    </row>
    <row r="107" spans="1:23" ht="15.75">
      <c r="A107" s="177"/>
    </row>
    <row r="108" spans="1:23" ht="15.75">
      <c r="A108" s="177"/>
    </row>
  </sheetData>
  <hyperlinks>
    <hyperlink ref="A103" r:id="rId1" xr:uid="{E2D7F1A8-C3B9-4956-8271-146B9F919D4A}"/>
  </hyperlinks>
  <pageMargins left="0.5" right="0.5" top="0.5" bottom="0.5" header="0" footer="0"/>
  <pageSetup orientation="portrait" horizontalDpi="0" verticalDpi="0" copies="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W108"/>
  <sheetViews>
    <sheetView zoomScale="87" zoomScaleNormal="87" workbookViewId="0">
      <selection activeCell="J53" sqref="J53"/>
    </sheetView>
  </sheetViews>
  <sheetFormatPr defaultColWidth="9.6640625" defaultRowHeight="15"/>
  <cols>
    <col min="1" max="22" width="7.6640625" style="1" customWidth="1"/>
    <col min="23" max="16384" width="9.6640625" style="1"/>
  </cols>
  <sheetData>
    <row r="1" spans="1:23" ht="24" thickBot="1">
      <c r="A1" s="44" t="s">
        <v>1043</v>
      </c>
      <c r="B1" s="44"/>
      <c r="C1" s="44"/>
      <c r="D1" s="44"/>
    </row>
    <row r="2" spans="1:23" ht="15.75" thickBot="1">
      <c r="A2" s="45" t="s">
        <v>69</v>
      </c>
      <c r="B2" s="164" t="s">
        <v>380</v>
      </c>
      <c r="C2" s="46" t="s">
        <v>115</v>
      </c>
      <c r="D2" s="46" t="s">
        <v>116</v>
      </c>
      <c r="E2" s="46" t="s">
        <v>117</v>
      </c>
      <c r="F2" s="46" t="s">
        <v>118</v>
      </c>
      <c r="G2" s="46" t="s">
        <v>133</v>
      </c>
      <c r="H2" s="46" t="s">
        <v>120</v>
      </c>
      <c r="I2" s="46" t="s">
        <v>121</v>
      </c>
      <c r="J2" s="46" t="s">
        <v>122</v>
      </c>
      <c r="K2" s="46" t="s">
        <v>123</v>
      </c>
      <c r="L2" s="46" t="s">
        <v>124</v>
      </c>
      <c r="M2" s="46" t="s">
        <v>9</v>
      </c>
      <c r="N2" s="46" t="s">
        <v>125</v>
      </c>
      <c r="O2" s="46" t="s">
        <v>126</v>
      </c>
      <c r="P2" s="46" t="s">
        <v>10</v>
      </c>
      <c r="Q2" s="46" t="s">
        <v>89</v>
      </c>
      <c r="R2" s="46" t="s">
        <v>127</v>
      </c>
      <c r="S2" s="46" t="s">
        <v>128</v>
      </c>
      <c r="T2" s="46" t="s">
        <v>129</v>
      </c>
      <c r="U2" s="46" t="s">
        <v>130</v>
      </c>
      <c r="V2" s="46" t="s">
        <v>131</v>
      </c>
      <c r="W2" s="47"/>
    </row>
    <row r="3" spans="1:23">
      <c r="A3" s="45" t="s">
        <v>0</v>
      </c>
      <c r="B3" s="165">
        <v>1.6093440000000001</v>
      </c>
      <c r="C3" s="46">
        <f>Parameters!B13</f>
        <v>5</v>
      </c>
      <c r="D3" s="46">
        <f>Parameters!B14</f>
        <v>6</v>
      </c>
      <c r="E3" s="46">
        <f>Parameters!B15</f>
        <v>6.4373760000000004</v>
      </c>
      <c r="F3" s="46">
        <f>Parameters!B16</f>
        <v>8</v>
      </c>
      <c r="G3" s="48">
        <f>Parameters!B17</f>
        <v>8.0467200000000005</v>
      </c>
      <c r="H3" s="46">
        <f>Parameters!B18</f>
        <v>10</v>
      </c>
      <c r="I3" s="46">
        <f>Parameters!B19</f>
        <v>12</v>
      </c>
      <c r="J3" s="46">
        <f>Parameters!B20</f>
        <v>15</v>
      </c>
      <c r="K3" s="46">
        <f>Parameters!B21</f>
        <v>16.093440000000001</v>
      </c>
      <c r="L3" s="46">
        <f>Parameters!B22</f>
        <v>20</v>
      </c>
      <c r="M3" s="46">
        <f>Parameters!B23</f>
        <v>21.0975</v>
      </c>
      <c r="N3" s="46">
        <f>Parameters!B24</f>
        <v>25</v>
      </c>
      <c r="O3" s="46">
        <f>Parameters!B25</f>
        <v>30</v>
      </c>
      <c r="P3" s="46">
        <f>Parameters!B26</f>
        <v>42.195</v>
      </c>
      <c r="Q3" s="48">
        <f>Parameters!$B27</f>
        <v>50</v>
      </c>
      <c r="R3" s="48">
        <f>Parameters!$B28</f>
        <v>80.467200000000005</v>
      </c>
      <c r="S3" s="48">
        <f>Parameters!$B29</f>
        <v>100</v>
      </c>
      <c r="T3" s="48">
        <f>Parameters!$B30</f>
        <v>150</v>
      </c>
      <c r="U3" s="48">
        <f>Parameters!$B31</f>
        <v>160.93440000000001</v>
      </c>
      <c r="V3" s="48">
        <f>Parameters!$B32</f>
        <v>200</v>
      </c>
      <c r="W3" s="47"/>
    </row>
    <row r="4" spans="1:23">
      <c r="A4" s="72" t="s">
        <v>113</v>
      </c>
      <c r="B4" s="166">
        <v>231.99999999999997</v>
      </c>
      <c r="C4" s="50">
        <v>769</v>
      </c>
      <c r="D4" s="50">
        <v>930</v>
      </c>
      <c r="E4" s="50">
        <v>1000</v>
      </c>
      <c r="F4" s="50">
        <v>1255</v>
      </c>
      <c r="G4" s="50">
        <v>1264</v>
      </c>
      <c r="H4" s="50">
        <v>1584</v>
      </c>
      <c r="I4" s="50">
        <v>1915</v>
      </c>
      <c r="J4" s="50">
        <v>2415</v>
      </c>
      <c r="K4" s="50">
        <v>2595</v>
      </c>
      <c r="L4" s="50">
        <v>3260</v>
      </c>
      <c r="M4" s="50">
        <v>3451.0000000000005</v>
      </c>
      <c r="N4" s="50">
        <v>4110</v>
      </c>
      <c r="O4" s="50">
        <v>4980</v>
      </c>
      <c r="P4" s="50">
        <v>7235</v>
      </c>
      <c r="Q4" s="50">
        <v>8820</v>
      </c>
      <c r="R4" s="50">
        <v>16080</v>
      </c>
      <c r="S4" s="50">
        <v>21360</v>
      </c>
      <c r="T4" s="50">
        <v>36300</v>
      </c>
      <c r="U4" s="50">
        <v>39790</v>
      </c>
      <c r="V4" s="50">
        <v>52800.000000000007</v>
      </c>
      <c r="W4" s="47"/>
    </row>
    <row r="5" spans="1:23" ht="15.75" thickBot="1">
      <c r="A5" s="49" t="s">
        <v>114</v>
      </c>
      <c r="B5" s="51">
        <v>2.685185185185185E-3</v>
      </c>
      <c r="C5" s="51">
        <v>8.9004629629629625E-3</v>
      </c>
      <c r="D5" s="51">
        <v>1.0763888888888889E-2</v>
      </c>
      <c r="E5" s="51">
        <v>1.1599999999999999E-2</v>
      </c>
      <c r="F5" s="51">
        <v>1.4525462962962962E-2</v>
      </c>
      <c r="G5" s="51">
        <v>1.462962962962963E-2</v>
      </c>
      <c r="H5" s="51">
        <v>1.8333333333333333E-2</v>
      </c>
      <c r="I5" s="51">
        <v>2.2164351851851852E-2</v>
      </c>
      <c r="J5" s="51">
        <v>2.795138888888889E-2</v>
      </c>
      <c r="K5" s="51">
        <v>3.0034722222222223E-2</v>
      </c>
      <c r="L5" s="51">
        <v>3.7731481481481484E-2</v>
      </c>
      <c r="M5" s="51">
        <v>3.9942129629629633E-2</v>
      </c>
      <c r="N5" s="51">
        <v>4.7569444444444442E-2</v>
      </c>
      <c r="O5" s="51">
        <v>5.7638888888888892E-2</v>
      </c>
      <c r="P5" s="51">
        <v>8.3738425925925924E-2</v>
      </c>
      <c r="Q5" s="51">
        <v>0.10208333333333333</v>
      </c>
      <c r="R5" s="51">
        <v>0.18611111111111112</v>
      </c>
      <c r="S5" s="51">
        <v>0.24722222222222223</v>
      </c>
      <c r="T5" s="51">
        <v>0.4201388888888889</v>
      </c>
      <c r="U5" s="51">
        <v>0.46053240740740742</v>
      </c>
      <c r="V5" s="51">
        <v>0.61111111111111116</v>
      </c>
      <c r="W5" s="47"/>
    </row>
    <row r="6" spans="1:23">
      <c r="A6" s="53">
        <v>5</v>
      </c>
      <c r="B6" s="171">
        <f>AgeStanSec!B6/86400</f>
        <v>3.7152777777777778E-3</v>
      </c>
      <c r="C6" s="168">
        <f>AgeStanSec!C6/86400</f>
        <v>1.6087962962962964E-2</v>
      </c>
      <c r="D6" s="141">
        <f>AgeStanSec!D6/86400</f>
        <v>1.9895833333333335E-2</v>
      </c>
      <c r="E6" s="140">
        <f>AgeStanSec!E6/86400</f>
        <v>2.0925925925925924E-2</v>
      </c>
      <c r="F6" s="141">
        <f>AgeStanSec!F6/86400</f>
        <v>2.6261574074074073E-2</v>
      </c>
      <c r="G6" s="140">
        <f>AgeStanSec!G6/86400</f>
        <v>2.644675925925926E-2</v>
      </c>
      <c r="H6" s="140">
        <f>AgeStanSec!H6/86400</f>
        <v>3.3148148148148149E-2</v>
      </c>
      <c r="I6" s="141">
        <f>AgeStanSec!I6/86400</f>
        <v>4.0069444444444442E-2</v>
      </c>
      <c r="J6" s="141">
        <f>AgeStanSec!J6/86400</f>
        <v>5.0532407407407408E-2</v>
      </c>
      <c r="K6" s="141">
        <f>AgeStanSec!K6/86400</f>
        <v>5.4305555555555558E-2</v>
      </c>
      <c r="L6" s="141">
        <f>AgeStanSec!L6/86400</f>
        <v>6.8217592592592594E-2</v>
      </c>
      <c r="M6" s="141">
        <f>AgeStanSec!M6/86400</f>
        <v>7.2210648148148149E-2</v>
      </c>
      <c r="N6" s="141">
        <f>AgeStanSec!N6/86400</f>
        <v>8.6006944444444441E-2</v>
      </c>
      <c r="O6" s="141">
        <f>AgeStanSec!O6/86400</f>
        <v>0.10421296296296297</v>
      </c>
      <c r="P6" s="141">
        <f>AgeStanSec!P6/86400</f>
        <v>0.15140046296296297</v>
      </c>
      <c r="Q6" s="141">
        <f>AgeStanSec!Q6/86400</f>
        <v>0.18456018518518519</v>
      </c>
      <c r="R6" s="141">
        <f>AgeStanSec!R6/86400</f>
        <v>0.33649305555555553</v>
      </c>
      <c r="S6" s="141">
        <f>AgeStanSec!S6/86400</f>
        <v>0.44697916666666665</v>
      </c>
      <c r="T6" s="141">
        <f>AgeStanSec!T6/86400</f>
        <v>0.75960648148148147</v>
      </c>
      <c r="U6" s="141">
        <f>AgeStanSec!U6/86400</f>
        <v>0.83263888888888893</v>
      </c>
      <c r="V6" s="141">
        <f>AgeStanSec!V6/86400</f>
        <v>1.1048842592592591</v>
      </c>
      <c r="W6" s="47"/>
    </row>
    <row r="7" spans="1:23">
      <c r="A7" s="49">
        <v>6</v>
      </c>
      <c r="B7" s="172">
        <f>AgeStanSec!B7/86400</f>
        <v>3.5763888888888889E-3</v>
      </c>
      <c r="C7" s="169">
        <f>AgeStanSec!C7/86400</f>
        <v>1.4456018518518519E-2</v>
      </c>
      <c r="D7" s="142">
        <f>AgeStanSec!D7/86400</f>
        <v>1.7847222222222223E-2</v>
      </c>
      <c r="E7" s="142">
        <f>AgeStanSec!E7/86400</f>
        <v>1.9340277777777779E-2</v>
      </c>
      <c r="F7" s="142">
        <f>AgeStanSec!F7/86400</f>
        <v>2.4907407407407406E-2</v>
      </c>
      <c r="G7" s="142">
        <f>AgeStanSec!G7/86400</f>
        <v>2.5104166666666667E-2</v>
      </c>
      <c r="H7" s="142">
        <f>AgeStanSec!H7/86400</f>
        <v>3.229166666666667E-2</v>
      </c>
      <c r="I7" s="142">
        <f>AgeStanSec!I7/86400</f>
        <v>3.9571759259259258E-2</v>
      </c>
      <c r="J7" s="142">
        <f>AgeStanSec!J7/86400</f>
        <v>5.0752314814814813E-2</v>
      </c>
      <c r="K7" s="142">
        <f>AgeStanSec!K7/86400</f>
        <v>5.482638888888889E-2</v>
      </c>
      <c r="L7" s="142">
        <f>AgeStanSec!L7/86400</f>
        <v>7.0057870370370368E-2</v>
      </c>
      <c r="M7" s="142">
        <f>AgeStanSec!M7/86400</f>
        <v>7.4467592592592599E-2</v>
      </c>
      <c r="N7" s="142">
        <f>AgeStanSec!N7/86400</f>
        <v>8.9861111111111114E-2</v>
      </c>
      <c r="O7" s="142">
        <f>AgeStanSec!O7/86400</f>
        <v>0.11041666666666666</v>
      </c>
      <c r="P7" s="142">
        <f>AgeStanSec!P7/86400</f>
        <v>0.16483796296296296</v>
      </c>
      <c r="Q7" s="142">
        <f>AgeStanSec!Q7/86400</f>
        <v>0.20094907407407409</v>
      </c>
      <c r="R7" s="142">
        <f>AgeStanSec!R7/86400</f>
        <v>0.36636574074074074</v>
      </c>
      <c r="S7" s="142">
        <f>AgeStanSec!S7/86400</f>
        <v>0.4866550925925926</v>
      </c>
      <c r="T7" s="142">
        <f>AgeStanSec!T7/86400</f>
        <v>0.82704861111111116</v>
      </c>
      <c r="U7" s="142">
        <f>AgeStanSec!U7/86400</f>
        <v>0.90656250000000005</v>
      </c>
      <c r="V7" s="142">
        <f>AgeStanSec!V7/86400</f>
        <v>1.2029745370370371</v>
      </c>
      <c r="W7" s="47"/>
    </row>
    <row r="8" spans="1:23">
      <c r="A8" s="49">
        <v>7</v>
      </c>
      <c r="B8" s="172">
        <f>AgeStanSec!B8/86400</f>
        <v>3.449074074074074E-3</v>
      </c>
      <c r="C8" s="169">
        <f>AgeStanSec!C8/86400</f>
        <v>1.3217592592592593E-2</v>
      </c>
      <c r="D8" s="142">
        <f>AgeStanSec!D8/86400</f>
        <v>1.6296296296296295E-2</v>
      </c>
      <c r="E8" s="142">
        <f>AgeStanSec!E8/86400</f>
        <v>1.7650462962962962E-2</v>
      </c>
      <c r="F8" s="142">
        <f>AgeStanSec!F8/86400</f>
        <v>2.2685185185185187E-2</v>
      </c>
      <c r="G8" s="142">
        <f>AgeStanSec!G8/86400</f>
        <v>2.2870370370370371E-2</v>
      </c>
      <c r="H8" s="142">
        <f>AgeStanSec!H8/86400</f>
        <v>2.9363425925925925E-2</v>
      </c>
      <c r="I8" s="142">
        <f>AgeStanSec!I8/86400</f>
        <v>3.577546296296296E-2</v>
      </c>
      <c r="J8" s="142">
        <f>AgeStanSec!J8/86400</f>
        <v>4.5543981481481484E-2</v>
      </c>
      <c r="K8" s="142">
        <f>AgeStanSec!K8/86400</f>
        <v>4.9074074074074076E-2</v>
      </c>
      <c r="L8" s="142">
        <f>AgeStanSec!L8/86400</f>
        <v>6.222222222222222E-2</v>
      </c>
      <c r="M8" s="142">
        <f>AgeStanSec!M8/86400</f>
        <v>6.6018518518518518E-2</v>
      </c>
      <c r="N8" s="142">
        <f>AgeStanSec!N8/86400</f>
        <v>7.9745370370370369E-2</v>
      </c>
      <c r="O8" s="142">
        <f>AgeStanSec!O8/86400</f>
        <v>9.8136574074074071E-2</v>
      </c>
      <c r="P8" s="142">
        <f>AgeStanSec!P8/86400</f>
        <v>0.14686342592592594</v>
      </c>
      <c r="Q8" s="142">
        <f>AgeStanSec!Q8/86400</f>
        <v>0.17902777777777779</v>
      </c>
      <c r="R8" s="142">
        <f>AgeStanSec!R8/86400</f>
        <v>0.32640046296296299</v>
      </c>
      <c r="S8" s="142">
        <f>AgeStanSec!S8/86400</f>
        <v>0.43357638888888889</v>
      </c>
      <c r="T8" s="142">
        <f>AgeStanSec!T8/86400</f>
        <v>0.73682870370370368</v>
      </c>
      <c r="U8" s="142">
        <f>AgeStanSec!U8/86400</f>
        <v>0.80767361111111113</v>
      </c>
      <c r="V8" s="142">
        <f>AgeStanSec!V8/86400</f>
        <v>1.0717476851851853</v>
      </c>
      <c r="W8" s="47"/>
    </row>
    <row r="9" spans="1:23">
      <c r="A9" s="49">
        <v>8</v>
      </c>
      <c r="B9" s="172">
        <f>AgeStanSec!B9/86400</f>
        <v>3.3333333333333335E-3</v>
      </c>
      <c r="C9" s="169">
        <f>AgeStanSec!C9/86400</f>
        <v>1.224537037037037E-2</v>
      </c>
      <c r="D9" s="142">
        <f>AgeStanSec!D9/86400</f>
        <v>1.5081018518518518E-2</v>
      </c>
      <c r="E9" s="142">
        <f>AgeStanSec!E9/86400</f>
        <v>1.6331018518518519E-2</v>
      </c>
      <c r="F9" s="142">
        <f>AgeStanSec!F9/86400</f>
        <v>2.0960648148148148E-2</v>
      </c>
      <c r="G9" s="142">
        <f>AgeStanSec!G9/86400</f>
        <v>2.1134259259259259E-2</v>
      </c>
      <c r="H9" s="142">
        <f>AgeStanSec!H9/86400</f>
        <v>2.7083333333333334E-2</v>
      </c>
      <c r="I9" s="142">
        <f>AgeStanSec!I9/86400</f>
        <v>3.2858796296296296E-2</v>
      </c>
      <c r="J9" s="142">
        <f>AgeStanSec!J9/86400</f>
        <v>4.1597222222222223E-2</v>
      </c>
      <c r="K9" s="142">
        <f>AgeStanSec!K9/86400</f>
        <v>4.4756944444444446E-2</v>
      </c>
      <c r="L9" s="142">
        <f>AgeStanSec!L9/86400</f>
        <v>5.6446759259259259E-2</v>
      </c>
      <c r="M9" s="142">
        <f>AgeStanSec!M9/86400</f>
        <v>5.9814814814814814E-2</v>
      </c>
      <c r="N9" s="142">
        <f>AgeStanSec!N9/86400</f>
        <v>7.2291666666666671E-2</v>
      </c>
      <c r="O9" s="142">
        <f>AgeStanSec!O9/86400</f>
        <v>8.9016203703703708E-2</v>
      </c>
      <c r="P9" s="142">
        <f>AgeStanSec!P9/86400</f>
        <v>0.13336805555555556</v>
      </c>
      <c r="Q9" s="142">
        <f>AgeStanSec!Q9/86400</f>
        <v>0.16258101851851853</v>
      </c>
      <c r="R9" s="142">
        <f>AgeStanSec!R9/86400</f>
        <v>0.29640046296296296</v>
      </c>
      <c r="S9" s="142">
        <f>AgeStanSec!S9/86400</f>
        <v>0.39372685185185186</v>
      </c>
      <c r="T9" s="142">
        <f>AgeStanSec!T9/86400</f>
        <v>0.66912037037037042</v>
      </c>
      <c r="U9" s="142">
        <f>AgeStanSec!U9/86400</f>
        <v>0.73344907407407411</v>
      </c>
      <c r="V9" s="142">
        <f>AgeStanSec!V9/86400</f>
        <v>0.97326388888888893</v>
      </c>
      <c r="W9" s="47"/>
    </row>
    <row r="10" spans="1:23">
      <c r="A10" s="49">
        <v>9</v>
      </c>
      <c r="B10" s="172">
        <f>AgeStanSec!B10/86400</f>
        <v>3.2291666666666666E-3</v>
      </c>
      <c r="C10" s="169">
        <f>AgeStanSec!C10/86400</f>
        <v>1.1481481481481481E-2</v>
      </c>
      <c r="D10" s="142">
        <f>AgeStanSec!D10/86400</f>
        <v>1.4131944444444445E-2</v>
      </c>
      <c r="E10" s="142">
        <f>AgeStanSec!E10/86400</f>
        <v>1.5289351851851853E-2</v>
      </c>
      <c r="F10" s="142">
        <f>AgeStanSec!F10/86400</f>
        <v>1.9594907407407408E-2</v>
      </c>
      <c r="G10" s="142">
        <f>AgeStanSec!G10/86400</f>
        <v>1.9745370370370371E-2</v>
      </c>
      <c r="H10" s="142">
        <f>AgeStanSec!H10/86400</f>
        <v>2.5277777777777777E-2</v>
      </c>
      <c r="I10" s="142">
        <f>AgeStanSec!I10/86400</f>
        <v>3.0567129629629628E-2</v>
      </c>
      <c r="J10" s="142">
        <f>AgeStanSec!J10/86400</f>
        <v>3.8553240740740742E-2</v>
      </c>
      <c r="K10" s="142">
        <f>AgeStanSec!K10/86400</f>
        <v>4.1423611111111112E-2</v>
      </c>
      <c r="L10" s="142">
        <f>AgeStanSec!L10/86400</f>
        <v>5.2060185185185189E-2</v>
      </c>
      <c r="M10" s="142">
        <f>AgeStanSec!M10/86400</f>
        <v>5.5104166666666669E-2</v>
      </c>
      <c r="N10" s="142">
        <f>AgeStanSec!N10/86400</f>
        <v>6.6608796296296291E-2</v>
      </c>
      <c r="O10" s="142">
        <f>AgeStanSec!O10/86400</f>
        <v>8.2025462962962967E-2</v>
      </c>
      <c r="P10" s="142">
        <f>AgeStanSec!P10/86400</f>
        <v>0.12292824074074074</v>
      </c>
      <c r="Q10" s="142">
        <f>AgeStanSec!Q10/86400</f>
        <v>0.14986111111111111</v>
      </c>
      <c r="R10" s="142">
        <f>AgeStanSec!R10/86400</f>
        <v>0.2732060185185185</v>
      </c>
      <c r="S10" s="142">
        <f>AgeStanSec!S10/86400</f>
        <v>0.36291666666666667</v>
      </c>
      <c r="T10" s="142">
        <f>AgeStanSec!T10/86400</f>
        <v>0.61675925925925923</v>
      </c>
      <c r="U10" s="142">
        <f>AgeStanSec!U10/86400</f>
        <v>0.67606481481481484</v>
      </c>
      <c r="V10" s="142">
        <f>AgeStanSec!V10/86400</f>
        <v>0.89710648148148153</v>
      </c>
      <c r="W10" s="47"/>
    </row>
    <row r="11" spans="1:23">
      <c r="A11" s="54">
        <v>10</v>
      </c>
      <c r="B11" s="173">
        <f>AgeStanSec!B11/86400</f>
        <v>3.1481481481481482E-3</v>
      </c>
      <c r="C11" s="170">
        <f>AgeStanSec!C11/86400</f>
        <v>1.087962962962963E-2</v>
      </c>
      <c r="D11" s="143">
        <f>AgeStanSec!D11/86400</f>
        <v>1.3356481481481481E-2</v>
      </c>
      <c r="E11" s="143">
        <f>AgeStanSec!E11/86400</f>
        <v>1.4456018518518519E-2</v>
      </c>
      <c r="F11" s="143">
        <f>AgeStanSec!F11/86400</f>
        <v>1.849537037037037E-2</v>
      </c>
      <c r="G11" s="143">
        <f>AgeStanSec!G11/86400</f>
        <v>1.863425925925926E-2</v>
      </c>
      <c r="H11" s="143">
        <f>AgeStanSec!H11/86400</f>
        <v>2.3819444444444445E-2</v>
      </c>
      <c r="I11" s="143">
        <f>AgeStanSec!I11/86400</f>
        <v>2.8726851851851851E-2</v>
      </c>
      <c r="J11" s="143">
        <f>AgeStanSec!J11/86400</f>
        <v>3.6145833333333335E-2</v>
      </c>
      <c r="K11" s="143">
        <f>AgeStanSec!K11/86400</f>
        <v>3.8807870370370368E-2</v>
      </c>
      <c r="L11" s="143">
        <f>AgeStanSec!L11/86400</f>
        <v>4.8645833333333333E-2</v>
      </c>
      <c r="M11" s="143">
        <f>AgeStanSec!M11/86400</f>
        <v>5.1458333333333335E-2</v>
      </c>
      <c r="N11" s="143">
        <f>AgeStanSec!N11/86400</f>
        <v>6.21875E-2</v>
      </c>
      <c r="O11" s="143">
        <f>AgeStanSec!O11/86400</f>
        <v>7.6562500000000006E-2</v>
      </c>
      <c r="P11" s="143">
        <f>AgeStanSec!P11/86400</f>
        <v>0.11469907407407408</v>
      </c>
      <c r="Q11" s="143">
        <f>AgeStanSec!Q11/86400</f>
        <v>0.13982638888888888</v>
      </c>
      <c r="R11" s="143">
        <f>AgeStanSec!R11/86400</f>
        <v>0.25490740740740742</v>
      </c>
      <c r="S11" s="143">
        <f>AgeStanSec!S11/86400</f>
        <v>0.33861111111111108</v>
      </c>
      <c r="T11" s="143">
        <f>AgeStanSec!T11/86400</f>
        <v>0.57545138888888892</v>
      </c>
      <c r="U11" s="143">
        <f>AgeStanSec!U11/86400</f>
        <v>0.63077546296296294</v>
      </c>
      <c r="V11" s="143">
        <f>AgeStanSec!V11/86400</f>
        <v>0.83702546296296299</v>
      </c>
      <c r="W11" s="47"/>
    </row>
    <row r="12" spans="1:23">
      <c r="A12" s="49">
        <v>11</v>
      </c>
      <c r="B12" s="172">
        <f>AgeStanSec!B12/86400</f>
        <v>3.0671296296296297E-3</v>
      </c>
      <c r="C12" s="169">
        <f>AgeStanSec!C12/86400</f>
        <v>1.0381944444444444E-2</v>
      </c>
      <c r="D12" s="142">
        <f>AgeStanSec!D12/86400</f>
        <v>1.2743055555555556E-2</v>
      </c>
      <c r="E12" s="142">
        <f>AgeStanSec!E12/86400</f>
        <v>1.3773148148148149E-2</v>
      </c>
      <c r="F12" s="142">
        <f>AgeStanSec!F12/86400</f>
        <v>1.7592592592592594E-2</v>
      </c>
      <c r="G12" s="142">
        <f>AgeStanSec!G12/86400</f>
        <v>1.773148148148148E-2</v>
      </c>
      <c r="H12" s="142">
        <f>AgeStanSec!H12/86400</f>
        <v>2.2627314814814815E-2</v>
      </c>
      <c r="I12" s="142">
        <f>AgeStanSec!I12/86400</f>
        <v>2.7256944444444445E-2</v>
      </c>
      <c r="J12" s="142">
        <f>AgeStanSec!J12/86400</f>
        <v>3.4236111111111113E-2</v>
      </c>
      <c r="K12" s="142">
        <f>AgeStanSec!K12/86400</f>
        <v>3.6736111111111108E-2</v>
      </c>
      <c r="L12" s="142">
        <f>AgeStanSec!L12/86400</f>
        <v>4.5960648148148146E-2</v>
      </c>
      <c r="M12" s="142">
        <f>AgeStanSec!M12/86400</f>
        <v>4.8599537037037038E-2</v>
      </c>
      <c r="N12" s="142">
        <f>AgeStanSec!N12/86400</f>
        <v>5.8715277777777776E-2</v>
      </c>
      <c r="O12" s="142">
        <f>AgeStanSec!O12/86400</f>
        <v>7.2245370370370376E-2</v>
      </c>
      <c r="P12" s="142">
        <f>AgeStanSec!P12/86400</f>
        <v>0.108125</v>
      </c>
      <c r="Q12" s="142">
        <f>AgeStanSec!Q12/86400</f>
        <v>0.13180555555555556</v>
      </c>
      <c r="R12" s="142">
        <f>AgeStanSec!R12/86400</f>
        <v>0.24030092592592592</v>
      </c>
      <c r="S12" s="142">
        <f>AgeStanSec!S12/86400</f>
        <v>0.31920138888888888</v>
      </c>
      <c r="T12" s="142">
        <f>AgeStanSec!T12/86400</f>
        <v>0.54246527777777775</v>
      </c>
      <c r="U12" s="142">
        <f>AgeStanSec!U12/86400</f>
        <v>0.59461805555555558</v>
      </c>
      <c r="V12" s="142">
        <f>AgeStanSec!V12/86400</f>
        <v>0.78903935185185181</v>
      </c>
      <c r="W12" s="47"/>
    </row>
    <row r="13" spans="1:23">
      <c r="A13" s="49">
        <v>12</v>
      </c>
      <c r="B13" s="172">
        <f>AgeStanSec!B13/86400</f>
        <v>2.9861111111111113E-3</v>
      </c>
      <c r="C13" s="169">
        <f>AgeStanSec!C13/86400</f>
        <v>9.9884259259259266E-3</v>
      </c>
      <c r="D13" s="142">
        <f>AgeStanSec!D13/86400</f>
        <v>1.224537037037037E-2</v>
      </c>
      <c r="E13" s="142">
        <f>AgeStanSec!E13/86400</f>
        <v>1.3229166666666667E-2</v>
      </c>
      <c r="F13" s="142">
        <f>AgeStanSec!F13/86400</f>
        <v>1.6875000000000001E-2</v>
      </c>
      <c r="G13" s="142">
        <f>AgeStanSec!G13/86400</f>
        <v>1.7002314814814814E-2</v>
      </c>
      <c r="H13" s="142">
        <f>AgeStanSec!H13/86400</f>
        <v>2.1655092592592594E-2</v>
      </c>
      <c r="I13" s="142">
        <f>AgeStanSec!I13/86400</f>
        <v>2.6064814814814815E-2</v>
      </c>
      <c r="J13" s="142">
        <f>AgeStanSec!J13/86400</f>
        <v>3.2696759259259259E-2</v>
      </c>
      <c r="K13" s="142">
        <f>AgeStanSec!K13/86400</f>
        <v>3.5081018518518518E-2</v>
      </c>
      <c r="L13" s="142">
        <f>AgeStanSec!L13/86400</f>
        <v>4.3842592592592593E-2</v>
      </c>
      <c r="M13" s="142">
        <f>AgeStanSec!M13/86400</f>
        <v>4.6354166666666669E-2</v>
      </c>
      <c r="N13" s="142">
        <f>AgeStanSec!N13/86400</f>
        <v>5.5960648148148148E-2</v>
      </c>
      <c r="O13" s="142">
        <f>AgeStanSec!O13/86400</f>
        <v>6.8807870370370366E-2</v>
      </c>
      <c r="P13" s="142">
        <f>AgeStanSec!P13/86400</f>
        <v>0.1028125</v>
      </c>
      <c r="Q13" s="142">
        <f>AgeStanSec!Q13/86400</f>
        <v>0.12533564814814815</v>
      </c>
      <c r="R13" s="142">
        <f>AgeStanSec!R13/86400</f>
        <v>0.22849537037037038</v>
      </c>
      <c r="S13" s="142">
        <f>AgeStanSec!S13/86400</f>
        <v>0.30353009259259262</v>
      </c>
      <c r="T13" s="142">
        <f>AgeStanSec!T13/86400</f>
        <v>0.51582175925925922</v>
      </c>
      <c r="U13" s="142">
        <f>AgeStanSec!U13/86400</f>
        <v>0.56541666666666668</v>
      </c>
      <c r="V13" s="142">
        <f>AgeStanSec!V13/86400</f>
        <v>0.75028935185185186</v>
      </c>
      <c r="W13" s="47"/>
    </row>
    <row r="14" spans="1:23">
      <c r="A14" s="49">
        <v>13</v>
      </c>
      <c r="B14" s="172">
        <f>AgeStanSec!B14/86400</f>
        <v>2.9282407407407408E-3</v>
      </c>
      <c r="C14" s="169">
        <f>AgeStanSec!C14/86400</f>
        <v>9.6759259259259264E-3</v>
      </c>
      <c r="D14" s="142">
        <f>AgeStanSec!D14/86400</f>
        <v>1.1840277777777778E-2</v>
      </c>
      <c r="E14" s="142">
        <f>AgeStanSec!E14/86400</f>
        <v>1.2789351851851852E-2</v>
      </c>
      <c r="F14" s="142">
        <f>AgeStanSec!F14/86400</f>
        <v>1.6273148148148148E-2</v>
      </c>
      <c r="G14" s="142">
        <f>AgeStanSec!G14/86400</f>
        <v>1.6400462962962964E-2</v>
      </c>
      <c r="H14" s="142">
        <f>AgeStanSec!H14/86400</f>
        <v>2.0844907407407406E-2</v>
      </c>
      <c r="I14" s="142">
        <f>AgeStanSec!I14/86400</f>
        <v>2.5092592592592593E-2</v>
      </c>
      <c r="J14" s="142">
        <f>AgeStanSec!J14/86400</f>
        <v>3.1469907407407405E-2</v>
      </c>
      <c r="K14" s="142">
        <f>AgeStanSec!K14/86400</f>
        <v>3.3750000000000002E-2</v>
      </c>
      <c r="L14" s="142">
        <f>AgeStanSec!L14/86400</f>
        <v>4.2175925925925929E-2</v>
      </c>
      <c r="M14" s="142">
        <f>AgeStanSec!M14/86400</f>
        <v>4.4594907407407409E-2</v>
      </c>
      <c r="N14" s="142">
        <f>AgeStanSec!N14/86400</f>
        <v>5.378472222222222E-2</v>
      </c>
      <c r="O14" s="142">
        <f>AgeStanSec!O14/86400</f>
        <v>6.6064814814814812E-2</v>
      </c>
      <c r="P14" s="142">
        <f>AgeStanSec!P14/86400</f>
        <v>9.8518518518518519E-2</v>
      </c>
      <c r="Q14" s="142">
        <f>AgeStanSec!Q14/86400</f>
        <v>0.1200925925925926</v>
      </c>
      <c r="R14" s="142">
        <f>AgeStanSec!R14/86400</f>
        <v>0.21895833333333334</v>
      </c>
      <c r="S14" s="142">
        <f>AgeStanSec!S14/86400</f>
        <v>0.29084490740740743</v>
      </c>
      <c r="T14" s="142">
        <f>AgeStanSec!T14/86400</f>
        <v>0.49428240740740742</v>
      </c>
      <c r="U14" s="142">
        <f>AgeStanSec!U14/86400</f>
        <v>0.54180555555555554</v>
      </c>
      <c r="V14" s="142">
        <f>AgeStanSec!V14/86400</f>
        <v>0.71895833333333337</v>
      </c>
      <c r="W14" s="47"/>
    </row>
    <row r="15" spans="1:23">
      <c r="A15" s="49">
        <v>14</v>
      </c>
      <c r="B15" s="172">
        <f>AgeStanSec!B15/86400</f>
        <v>2.8703703703703703E-3</v>
      </c>
      <c r="C15" s="169">
        <f>AgeStanSec!C15/86400</f>
        <v>9.4212962962962957E-3</v>
      </c>
      <c r="D15" s="142">
        <f>AgeStanSec!D15/86400</f>
        <v>1.1516203703703704E-2</v>
      </c>
      <c r="E15" s="142">
        <f>AgeStanSec!E15/86400</f>
        <v>1.2430555555555556E-2</v>
      </c>
      <c r="F15" s="142">
        <f>AgeStanSec!F15/86400</f>
        <v>1.579861111111111E-2</v>
      </c>
      <c r="G15" s="142">
        <f>AgeStanSec!G15/86400</f>
        <v>1.5914351851851853E-2</v>
      </c>
      <c r="H15" s="142">
        <f>AgeStanSec!H15/86400</f>
        <v>2.0196759259259258E-2</v>
      </c>
      <c r="I15" s="142">
        <f>AgeStanSec!I15/86400</f>
        <v>2.4305555555555556E-2</v>
      </c>
      <c r="J15" s="142">
        <f>AgeStanSec!J15/86400</f>
        <v>3.048611111111111E-2</v>
      </c>
      <c r="K15" s="142">
        <f>AgeStanSec!K15/86400</f>
        <v>3.2708333333333332E-2</v>
      </c>
      <c r="L15" s="142">
        <f>AgeStanSec!L15/86400</f>
        <v>4.0879629629629627E-2</v>
      </c>
      <c r="M15" s="142">
        <f>AgeStanSec!M15/86400</f>
        <v>4.3217592592592592E-2</v>
      </c>
      <c r="N15" s="142">
        <f>AgeStanSec!N15/86400</f>
        <v>5.2071759259259262E-2</v>
      </c>
      <c r="O15" s="142">
        <f>AgeStanSec!O15/86400</f>
        <v>6.3877314814814817E-2</v>
      </c>
      <c r="P15" s="142">
        <f>AgeStanSec!P15/86400</f>
        <v>9.5034722222222229E-2</v>
      </c>
      <c r="Q15" s="142">
        <f>AgeStanSec!Q15/86400</f>
        <v>0.11585648148148148</v>
      </c>
      <c r="R15" s="142">
        <f>AgeStanSec!R15/86400</f>
        <v>0.21122685185185186</v>
      </c>
      <c r="S15" s="142">
        <f>AgeStanSec!S15/86400</f>
        <v>0.28057870370370369</v>
      </c>
      <c r="T15" s="142">
        <f>AgeStanSec!T15/86400</f>
        <v>0.47684027777777777</v>
      </c>
      <c r="U15" s="142">
        <f>AgeStanSec!U15/86400</f>
        <v>0.5226736111111111</v>
      </c>
      <c r="V15" s="142">
        <f>AgeStanSec!V15/86400</f>
        <v>0.69357638888888884</v>
      </c>
      <c r="W15" s="47"/>
    </row>
    <row r="16" spans="1:23">
      <c r="A16" s="54">
        <v>15</v>
      </c>
      <c r="B16" s="173">
        <f>AgeStanSec!B16/86400</f>
        <v>2.8240740740740739E-3</v>
      </c>
      <c r="C16" s="170">
        <f>AgeStanSec!C16/86400</f>
        <v>9.2361111111111116E-3</v>
      </c>
      <c r="D16" s="143">
        <f>AgeStanSec!D16/86400</f>
        <v>1.1261574074074075E-2</v>
      </c>
      <c r="E16" s="143">
        <f>AgeStanSec!E16/86400</f>
        <v>1.2152777777777778E-2</v>
      </c>
      <c r="F16" s="143">
        <f>AgeStanSec!F16/86400</f>
        <v>1.5416666666666667E-2</v>
      </c>
      <c r="G16" s="143">
        <f>AgeStanSec!G16/86400</f>
        <v>1.5532407407407408E-2</v>
      </c>
      <c r="H16" s="143">
        <f>AgeStanSec!H16/86400</f>
        <v>1.9664351851851853E-2</v>
      </c>
      <c r="I16" s="143">
        <f>AgeStanSec!I16/86400</f>
        <v>2.3680555555555555E-2</v>
      </c>
      <c r="J16" s="143">
        <f>AgeStanSec!J16/86400</f>
        <v>2.9733796296296296E-2</v>
      </c>
      <c r="K16" s="143">
        <f>AgeStanSec!K16/86400</f>
        <v>3.1898148148148148E-2</v>
      </c>
      <c r="L16" s="143">
        <f>AgeStanSec!L16/86400</f>
        <v>3.9895833333333332E-2</v>
      </c>
      <c r="M16" s="143">
        <f>AgeStanSec!M16/86400</f>
        <v>4.2187500000000003E-2</v>
      </c>
      <c r="N16" s="143">
        <f>AgeStanSec!N16/86400</f>
        <v>5.0752314814814813E-2</v>
      </c>
      <c r="O16" s="143">
        <f>AgeStanSec!O16/86400</f>
        <v>6.21875E-2</v>
      </c>
      <c r="P16" s="143">
        <f>AgeStanSec!P16/86400</f>
        <v>9.2245370370370366E-2</v>
      </c>
      <c r="Q16" s="143">
        <f>AgeStanSec!Q16/86400</f>
        <v>0.11245370370370371</v>
      </c>
      <c r="R16" s="143">
        <f>AgeStanSec!R16/86400</f>
        <v>0.20501157407407408</v>
      </c>
      <c r="S16" s="143">
        <f>AgeStanSec!S16/86400</f>
        <v>0.27232638888888888</v>
      </c>
      <c r="T16" s="143">
        <f>AgeStanSec!T16/86400</f>
        <v>0.46281250000000002</v>
      </c>
      <c r="U16" s="143">
        <f>AgeStanSec!U16/86400</f>
        <v>0.50730324074074074</v>
      </c>
      <c r="V16" s="143">
        <f>AgeStanSec!V16/86400</f>
        <v>0.67318287037037039</v>
      </c>
      <c r="W16" s="47"/>
    </row>
    <row r="17" spans="1:23">
      <c r="A17" s="49">
        <v>16</v>
      </c>
      <c r="B17" s="172">
        <f>AgeStanSec!B17/86400</f>
        <v>2.7777777777777779E-3</v>
      </c>
      <c r="C17" s="169">
        <f>AgeStanSec!C17/86400</f>
        <v>9.0972222222222218E-3</v>
      </c>
      <c r="D17" s="142">
        <f>AgeStanSec!D17/86400</f>
        <v>1.1076388888888889E-2</v>
      </c>
      <c r="E17" s="142">
        <f>AgeStanSec!E17/86400</f>
        <v>1.1944444444444445E-2</v>
      </c>
      <c r="F17" s="142">
        <f>AgeStanSec!F17/86400</f>
        <v>1.511574074074074E-2</v>
      </c>
      <c r="G17" s="142">
        <f>AgeStanSec!G17/86400</f>
        <v>1.5231481481481481E-2</v>
      </c>
      <c r="H17" s="142">
        <f>AgeStanSec!H17/86400</f>
        <v>1.923611111111111E-2</v>
      </c>
      <c r="I17" s="142">
        <f>AgeStanSec!I17/86400</f>
        <v>2.3194444444444445E-2</v>
      </c>
      <c r="J17" s="142">
        <f>AgeStanSec!J17/86400</f>
        <v>2.9155092592592594E-2</v>
      </c>
      <c r="K17" s="142">
        <f>AgeStanSec!K17/86400</f>
        <v>3.1296296296296294E-2</v>
      </c>
      <c r="L17" s="142">
        <f>AgeStanSec!L17/86400</f>
        <v>3.9189814814814816E-2</v>
      </c>
      <c r="M17" s="142">
        <f>AgeStanSec!M17/86400</f>
        <v>4.144675925925926E-2</v>
      </c>
      <c r="N17" s="142">
        <f>AgeStanSec!N17/86400</f>
        <v>4.9791666666666665E-2</v>
      </c>
      <c r="O17" s="142">
        <f>AgeStanSec!O17/86400</f>
        <v>6.0891203703703704E-2</v>
      </c>
      <c r="P17" s="142">
        <f>AgeStanSec!P17/86400</f>
        <v>9.0046296296296291E-2</v>
      </c>
      <c r="Q17" s="142">
        <f>AgeStanSec!Q17/86400</f>
        <v>0.10976851851851852</v>
      </c>
      <c r="R17" s="142">
        <f>AgeStanSec!R17/86400</f>
        <v>0.20011574074074073</v>
      </c>
      <c r="S17" s="142">
        <f>AgeStanSec!S17/86400</f>
        <v>0.26583333333333331</v>
      </c>
      <c r="T17" s="142">
        <f>AgeStanSec!T17/86400</f>
        <v>0.45175925925925925</v>
      </c>
      <c r="U17" s="142">
        <f>AgeStanSec!U17/86400</f>
        <v>0.49519675925925927</v>
      </c>
      <c r="V17" s="142">
        <f>AgeStanSec!V17/86400</f>
        <v>0.65710648148148143</v>
      </c>
      <c r="W17" s="47"/>
    </row>
    <row r="18" spans="1:23">
      <c r="A18" s="49">
        <v>17</v>
      </c>
      <c r="B18" s="172">
        <f>AgeStanSec!B18/86400</f>
        <v>2.7314814814814814E-3</v>
      </c>
      <c r="C18" s="169">
        <f>AgeStanSec!C18/86400</f>
        <v>9.0046296296296298E-3</v>
      </c>
      <c r="D18" s="142">
        <f>AgeStanSec!D18/86400</f>
        <v>1.0949074074074075E-2</v>
      </c>
      <c r="E18" s="142">
        <f>AgeStanSec!E18/86400</f>
        <v>1.1793981481481482E-2</v>
      </c>
      <c r="F18" s="142">
        <f>AgeStanSec!F18/86400</f>
        <v>1.4895833333333334E-2</v>
      </c>
      <c r="G18" s="142">
        <f>AgeStanSec!G18/86400</f>
        <v>1.4999999999999999E-2</v>
      </c>
      <c r="H18" s="142">
        <f>AgeStanSec!H18/86400</f>
        <v>1.8912037037037036E-2</v>
      </c>
      <c r="I18" s="142">
        <f>AgeStanSec!I18/86400</f>
        <v>2.2835648148148147E-2</v>
      </c>
      <c r="J18" s="142">
        <f>AgeStanSec!J18/86400</f>
        <v>2.8750000000000001E-2</v>
      </c>
      <c r="K18" s="142">
        <f>AgeStanSec!K18/86400</f>
        <v>3.0868055555555555E-2</v>
      </c>
      <c r="L18" s="142">
        <f>AgeStanSec!L18/86400</f>
        <v>3.8715277777777779E-2</v>
      </c>
      <c r="M18" s="142">
        <f>AgeStanSec!M18/86400</f>
        <v>4.0960648148148149E-2</v>
      </c>
      <c r="N18" s="142">
        <f>AgeStanSec!N18/86400</f>
        <v>4.9097222222222223E-2</v>
      </c>
      <c r="O18" s="142">
        <f>AgeStanSec!O18/86400</f>
        <v>5.9895833333333336E-2</v>
      </c>
      <c r="P18" s="142">
        <f>AgeStanSec!P18/86400</f>
        <v>8.8148148148148142E-2</v>
      </c>
      <c r="Q18" s="142">
        <f>AgeStanSec!Q18/86400</f>
        <v>0.1074537037037037</v>
      </c>
      <c r="R18" s="142">
        <f>AgeStanSec!R18/86400</f>
        <v>0.19590277777777779</v>
      </c>
      <c r="S18" s="142">
        <f>AgeStanSec!S18/86400</f>
        <v>0.26023148148148151</v>
      </c>
      <c r="T18" s="142">
        <f>AgeStanSec!T18/86400</f>
        <v>0.44225694444444447</v>
      </c>
      <c r="U18" s="142">
        <f>AgeStanSec!U18/86400</f>
        <v>0.48476851851851854</v>
      </c>
      <c r="V18" s="142">
        <f>AgeStanSec!V18/86400</f>
        <v>0.64327546296296301</v>
      </c>
      <c r="W18" s="47"/>
    </row>
    <row r="19" spans="1:23">
      <c r="A19" s="49">
        <v>18</v>
      </c>
      <c r="B19" s="172">
        <f>AgeStanSec!B19/86400</f>
        <v>2.6967592592592594E-3</v>
      </c>
      <c r="C19" s="169">
        <f>AgeStanSec!C19/86400</f>
        <v>8.9236111111111113E-3</v>
      </c>
      <c r="D19" s="142">
        <f>AgeStanSec!D19/86400</f>
        <v>1.0833333333333334E-2</v>
      </c>
      <c r="E19" s="142">
        <f>AgeStanSec!E19/86400</f>
        <v>1.1666666666666667E-2</v>
      </c>
      <c r="F19" s="142">
        <f>AgeStanSec!F19/86400</f>
        <v>1.4722222222222222E-2</v>
      </c>
      <c r="G19" s="142">
        <f>AgeStanSec!G19/86400</f>
        <v>1.4826388888888889E-2</v>
      </c>
      <c r="H19" s="142">
        <f>AgeStanSec!H19/86400</f>
        <v>1.8668981481481481E-2</v>
      </c>
      <c r="I19" s="142">
        <f>AgeStanSec!I19/86400</f>
        <v>2.255787037037037E-2</v>
      </c>
      <c r="J19" s="142">
        <f>AgeStanSec!J19/86400</f>
        <v>2.8425925925925927E-2</v>
      </c>
      <c r="K19" s="142">
        <f>AgeStanSec!K19/86400</f>
        <v>3.0532407407407407E-2</v>
      </c>
      <c r="L19" s="142">
        <f>AgeStanSec!L19/86400</f>
        <v>3.8310185185185183E-2</v>
      </c>
      <c r="M19" s="142">
        <f>AgeStanSec!M19/86400</f>
        <v>4.0555555555555553E-2</v>
      </c>
      <c r="N19" s="142">
        <f>AgeStanSec!N19/86400</f>
        <v>4.8495370370370369E-2</v>
      </c>
      <c r="O19" s="142">
        <f>AgeStanSec!O19/86400</f>
        <v>5.9027777777777776E-2</v>
      </c>
      <c r="P19" s="142">
        <f>AgeStanSec!P19/86400</f>
        <v>8.6504629629629626E-2</v>
      </c>
      <c r="Q19" s="142">
        <f>AgeStanSec!Q19/86400</f>
        <v>0.10546296296296297</v>
      </c>
      <c r="R19" s="142">
        <f>AgeStanSec!R19/86400</f>
        <v>0.19226851851851851</v>
      </c>
      <c r="S19" s="142">
        <f>AgeStanSec!S19/86400</f>
        <v>0.25539351851851849</v>
      </c>
      <c r="T19" s="142">
        <f>AgeStanSec!T19/86400</f>
        <v>0.43402777777777779</v>
      </c>
      <c r="U19" s="142">
        <f>AgeStanSec!U19/86400</f>
        <v>0.47575231481481484</v>
      </c>
      <c r="V19" s="142">
        <f>AgeStanSec!V19/86400</f>
        <v>0.63130787037037039</v>
      </c>
      <c r="W19" s="47"/>
    </row>
    <row r="20" spans="1:23">
      <c r="A20" s="49">
        <v>19</v>
      </c>
      <c r="B20" s="172">
        <f>AgeStanSec!B20/86400</f>
        <v>2.685185185185185E-3</v>
      </c>
      <c r="C20" s="169">
        <f>AgeStanSec!C20/86400</f>
        <v>8.9004629629629625E-3</v>
      </c>
      <c r="D20" s="142">
        <f>AgeStanSec!D20/86400</f>
        <v>1.0787037037037038E-2</v>
      </c>
      <c r="E20" s="142">
        <f>AgeStanSec!E20/86400</f>
        <v>1.1620370370370371E-2</v>
      </c>
      <c r="F20" s="142">
        <f>AgeStanSec!F20/86400</f>
        <v>1.4618055555555556E-2</v>
      </c>
      <c r="G20" s="142">
        <f>AgeStanSec!G20/86400</f>
        <v>1.4733796296296297E-2</v>
      </c>
      <c r="H20" s="142">
        <f>AgeStanSec!H20/86400</f>
        <v>1.8518518518518517E-2</v>
      </c>
      <c r="I20" s="142">
        <f>AgeStanSec!I20/86400</f>
        <v>2.2361111111111109E-2</v>
      </c>
      <c r="J20" s="142">
        <f>AgeStanSec!J20/86400</f>
        <v>2.8148148148148148E-2</v>
      </c>
      <c r="K20" s="142">
        <f>AgeStanSec!K20/86400</f>
        <v>3.0243055555555554E-2</v>
      </c>
      <c r="L20" s="142">
        <f>AgeStanSec!L20/86400</f>
        <v>3.7928240740740742E-2</v>
      </c>
      <c r="M20" s="142">
        <f>AgeStanSec!M20/86400</f>
        <v>4.0138888888888891E-2</v>
      </c>
      <c r="N20" s="142">
        <f>AgeStanSec!N20/86400</f>
        <v>4.7962962962962964E-2</v>
      </c>
      <c r="O20" s="142">
        <f>AgeStanSec!O20/86400</f>
        <v>5.8310185185185187E-2</v>
      </c>
      <c r="P20" s="142">
        <f>AgeStanSec!P20/86400</f>
        <v>8.5277777777777772E-2</v>
      </c>
      <c r="Q20" s="142">
        <f>AgeStanSec!Q20/86400</f>
        <v>0.10395833333333333</v>
      </c>
      <c r="R20" s="142">
        <f>AgeStanSec!R20/86400</f>
        <v>0.18952546296296297</v>
      </c>
      <c r="S20" s="142">
        <f>AgeStanSec!S20/86400</f>
        <v>0.25175925925925924</v>
      </c>
      <c r="T20" s="142">
        <f>AgeStanSec!T20/86400</f>
        <v>0.42783564814814817</v>
      </c>
      <c r="U20" s="142">
        <f>AgeStanSec!U20/86400</f>
        <v>0.4689699074074074</v>
      </c>
      <c r="V20" s="142">
        <f>AgeStanSec!V20/86400</f>
        <v>0.62231481481481477</v>
      </c>
      <c r="W20" s="47"/>
    </row>
    <row r="21" spans="1:23">
      <c r="A21" s="54">
        <v>20</v>
      </c>
      <c r="B21" s="173">
        <f>AgeStanSec!B21/86400</f>
        <v>2.685185185185185E-3</v>
      </c>
      <c r="C21" s="170">
        <f>AgeStanSec!C21/86400</f>
        <v>8.9004629629629625E-3</v>
      </c>
      <c r="D21" s="143">
        <f>AgeStanSec!D21/86400</f>
        <v>1.0775462962962962E-2</v>
      </c>
      <c r="E21" s="143">
        <f>AgeStanSec!E21/86400</f>
        <v>1.1585648148148149E-2</v>
      </c>
      <c r="F21" s="143">
        <f>AgeStanSec!F21/86400</f>
        <v>1.4560185185185185E-2</v>
      </c>
      <c r="G21" s="143">
        <f>AgeStanSec!G21/86400</f>
        <v>1.4664351851851852E-2</v>
      </c>
      <c r="H21" s="143">
        <f>AgeStanSec!H21/86400</f>
        <v>1.8391203703703705E-2</v>
      </c>
      <c r="I21" s="143">
        <f>AgeStanSec!I21/86400</f>
        <v>2.2222222222222223E-2</v>
      </c>
      <c r="J21" s="143">
        <f>AgeStanSec!J21/86400</f>
        <v>2.7997685185185184E-2</v>
      </c>
      <c r="K21" s="143">
        <f>AgeStanSec!K21/86400</f>
        <v>3.0069444444444444E-2</v>
      </c>
      <c r="L21" s="143">
        <f>AgeStanSec!L21/86400</f>
        <v>3.7743055555555557E-2</v>
      </c>
      <c r="M21" s="143">
        <f>AgeStanSec!M21/86400</f>
        <v>3.9942129629629633E-2</v>
      </c>
      <c r="N21" s="143">
        <f>AgeStanSec!N21/86400</f>
        <v>4.7662037037037037E-2</v>
      </c>
      <c r="O21" s="143">
        <f>AgeStanSec!O21/86400</f>
        <v>5.7881944444444444E-2</v>
      </c>
      <c r="P21" s="143">
        <f>AgeStanSec!P21/86400</f>
        <v>8.4409722222222219E-2</v>
      </c>
      <c r="Q21" s="143">
        <f>AgeStanSec!Q21/86400</f>
        <v>0.10290509259259259</v>
      </c>
      <c r="R21" s="143">
        <f>AgeStanSec!R21/86400</f>
        <v>0.18761574074074075</v>
      </c>
      <c r="S21" s="143">
        <f>AgeStanSec!S21/86400</f>
        <v>0.24921296296296297</v>
      </c>
      <c r="T21" s="143">
        <f>AgeStanSec!T21/86400</f>
        <v>0.42353009259259261</v>
      </c>
      <c r="U21" s="143">
        <f>AgeStanSec!U21/86400</f>
        <v>0.46424768518518517</v>
      </c>
      <c r="V21" s="143">
        <f>AgeStanSec!V21/86400</f>
        <v>0.61604166666666671</v>
      </c>
      <c r="W21" s="47"/>
    </row>
    <row r="22" spans="1:23">
      <c r="A22" s="49">
        <v>21</v>
      </c>
      <c r="B22" s="172">
        <f>AgeStanSec!B22/86400</f>
        <v>2.685185185185185E-3</v>
      </c>
      <c r="C22" s="169">
        <f>AgeStanSec!C22/86400</f>
        <v>8.9004629629629625E-3</v>
      </c>
      <c r="D22" s="142">
        <f>AgeStanSec!D22/86400</f>
        <v>1.0763888888888889E-2</v>
      </c>
      <c r="E22" s="142">
        <f>AgeStanSec!E22/86400</f>
        <v>1.1574074074074073E-2</v>
      </c>
      <c r="F22" s="142">
        <f>AgeStanSec!F22/86400</f>
        <v>1.4525462962962962E-2</v>
      </c>
      <c r="G22" s="142">
        <f>AgeStanSec!G22/86400</f>
        <v>1.462962962962963E-2</v>
      </c>
      <c r="H22" s="142">
        <f>AgeStanSec!H22/86400</f>
        <v>1.8333333333333333E-2</v>
      </c>
      <c r="I22" s="142">
        <f>AgeStanSec!I22/86400</f>
        <v>2.2164351851851852E-2</v>
      </c>
      <c r="J22" s="142">
        <f>AgeStanSec!J22/86400</f>
        <v>2.795138888888889E-2</v>
      </c>
      <c r="K22" s="142">
        <f>AgeStanSec!K22/86400</f>
        <v>3.0034722222222223E-2</v>
      </c>
      <c r="L22" s="142">
        <f>AgeStanSec!L22/86400</f>
        <v>3.7731481481481484E-2</v>
      </c>
      <c r="M22" s="142">
        <f>AgeStanSec!M22/86400</f>
        <v>3.9942129629629633E-2</v>
      </c>
      <c r="N22" s="142">
        <f>AgeStanSec!N22/86400</f>
        <v>4.7592592592592596E-2</v>
      </c>
      <c r="O22" s="142">
        <f>AgeStanSec!O22/86400</f>
        <v>5.769675925925926E-2</v>
      </c>
      <c r="P22" s="142">
        <f>AgeStanSec!P22/86400</f>
        <v>8.3900462962962968E-2</v>
      </c>
      <c r="Q22" s="142">
        <f>AgeStanSec!Q22/86400</f>
        <v>0.10229166666666667</v>
      </c>
      <c r="R22" s="142">
        <f>AgeStanSec!R22/86400</f>
        <v>0.18648148148148147</v>
      </c>
      <c r="S22" s="142">
        <f>AgeStanSec!S22/86400</f>
        <v>0.2477199074074074</v>
      </c>
      <c r="T22" s="142">
        <f>AgeStanSec!T22/86400</f>
        <v>0.42098379629629629</v>
      </c>
      <c r="U22" s="142">
        <f>AgeStanSec!U22/86400</f>
        <v>0.46145833333333336</v>
      </c>
      <c r="V22" s="142">
        <f>AgeStanSec!V22/86400</f>
        <v>0.61233796296296295</v>
      </c>
      <c r="W22" s="47"/>
    </row>
    <row r="23" spans="1:23">
      <c r="A23" s="49">
        <v>22</v>
      </c>
      <c r="B23" s="172">
        <f>AgeStanSec!B23/86400</f>
        <v>2.685185185185185E-3</v>
      </c>
      <c r="C23" s="169">
        <f>AgeStanSec!C23/86400</f>
        <v>8.9004629629629625E-3</v>
      </c>
      <c r="D23" s="142">
        <f>AgeStanSec!D23/86400</f>
        <v>1.0763888888888889E-2</v>
      </c>
      <c r="E23" s="142">
        <f>AgeStanSec!E23/86400</f>
        <v>1.1574074074074073E-2</v>
      </c>
      <c r="F23" s="142">
        <f>AgeStanSec!F23/86400</f>
        <v>1.4525462962962962E-2</v>
      </c>
      <c r="G23" s="142">
        <f>AgeStanSec!G23/86400</f>
        <v>1.462962962962963E-2</v>
      </c>
      <c r="H23" s="142">
        <f>AgeStanSec!H23/86400</f>
        <v>1.8333333333333333E-2</v>
      </c>
      <c r="I23" s="142">
        <f>AgeStanSec!I23/86400</f>
        <v>2.2164351851851852E-2</v>
      </c>
      <c r="J23" s="142">
        <f>AgeStanSec!J23/86400</f>
        <v>2.795138888888889E-2</v>
      </c>
      <c r="K23" s="142">
        <f>AgeStanSec!K23/86400</f>
        <v>3.0034722222222223E-2</v>
      </c>
      <c r="L23" s="142">
        <f>AgeStanSec!L23/86400</f>
        <v>3.7731481481481484E-2</v>
      </c>
      <c r="M23" s="142">
        <f>AgeStanSec!M23/86400</f>
        <v>3.9942129629629633E-2</v>
      </c>
      <c r="N23" s="142">
        <f>AgeStanSec!N23/86400</f>
        <v>4.7569444444444442E-2</v>
      </c>
      <c r="O23" s="142">
        <f>AgeStanSec!O23/86400</f>
        <v>5.7638888888888892E-2</v>
      </c>
      <c r="P23" s="142">
        <f>AgeStanSec!P23/86400</f>
        <v>8.3738425925925924E-2</v>
      </c>
      <c r="Q23" s="142">
        <f>AgeStanSec!Q23/86400</f>
        <v>0.10208333333333333</v>
      </c>
      <c r="R23" s="142">
        <f>AgeStanSec!R23/86400</f>
        <v>0.18611111111111112</v>
      </c>
      <c r="S23" s="142">
        <f>AgeStanSec!S23/86400</f>
        <v>0.24722222222222223</v>
      </c>
      <c r="T23" s="142">
        <f>AgeStanSec!T23/86400</f>
        <v>0.4201388888888889</v>
      </c>
      <c r="U23" s="142">
        <f>AgeStanSec!U23/86400</f>
        <v>0.46053240740740742</v>
      </c>
      <c r="V23" s="142">
        <f>AgeStanSec!V23/86400</f>
        <v>0.61111111111111116</v>
      </c>
      <c r="W23" s="47"/>
    </row>
    <row r="24" spans="1:23">
      <c r="A24" s="49">
        <v>23</v>
      </c>
      <c r="B24" s="172">
        <f>AgeStanSec!B24/86400</f>
        <v>2.685185185185185E-3</v>
      </c>
      <c r="C24" s="169">
        <f>AgeStanSec!C24/86400</f>
        <v>8.9004629629629625E-3</v>
      </c>
      <c r="D24" s="142">
        <f>AgeStanSec!D24/86400</f>
        <v>1.0763888888888889E-2</v>
      </c>
      <c r="E24" s="142">
        <f>AgeStanSec!E24/86400</f>
        <v>1.1574074074074073E-2</v>
      </c>
      <c r="F24" s="142">
        <f>AgeStanSec!F24/86400</f>
        <v>1.4525462962962962E-2</v>
      </c>
      <c r="G24" s="142">
        <f>AgeStanSec!G24/86400</f>
        <v>1.462962962962963E-2</v>
      </c>
      <c r="H24" s="142">
        <f>AgeStanSec!H24/86400</f>
        <v>1.8333333333333333E-2</v>
      </c>
      <c r="I24" s="142">
        <f>AgeStanSec!I24/86400</f>
        <v>2.2164351851851852E-2</v>
      </c>
      <c r="J24" s="142">
        <f>AgeStanSec!J24/86400</f>
        <v>2.795138888888889E-2</v>
      </c>
      <c r="K24" s="142">
        <f>AgeStanSec!K24/86400</f>
        <v>3.0034722222222223E-2</v>
      </c>
      <c r="L24" s="142">
        <f>AgeStanSec!L24/86400</f>
        <v>3.7731481481481484E-2</v>
      </c>
      <c r="M24" s="142">
        <f>AgeStanSec!M24/86400</f>
        <v>3.9942129629629633E-2</v>
      </c>
      <c r="N24" s="142">
        <f>AgeStanSec!N24/86400</f>
        <v>4.7569444444444442E-2</v>
      </c>
      <c r="O24" s="142">
        <f>AgeStanSec!O24/86400</f>
        <v>5.7638888888888892E-2</v>
      </c>
      <c r="P24" s="142">
        <f>AgeStanSec!P24/86400</f>
        <v>8.3738425925925924E-2</v>
      </c>
      <c r="Q24" s="142">
        <f>AgeStanSec!Q24/86400</f>
        <v>0.10208333333333333</v>
      </c>
      <c r="R24" s="142">
        <f>AgeStanSec!R24/86400</f>
        <v>0.18611111111111112</v>
      </c>
      <c r="S24" s="142">
        <f>AgeStanSec!S24/86400</f>
        <v>0.24722222222222223</v>
      </c>
      <c r="T24" s="142">
        <f>AgeStanSec!T24/86400</f>
        <v>0.4201388888888889</v>
      </c>
      <c r="U24" s="142">
        <f>AgeStanSec!U24/86400</f>
        <v>0.46053240740740742</v>
      </c>
      <c r="V24" s="142">
        <f>AgeStanSec!V24/86400</f>
        <v>0.61111111111111116</v>
      </c>
      <c r="W24" s="47"/>
    </row>
    <row r="25" spans="1:23">
      <c r="A25" s="49">
        <v>24</v>
      </c>
      <c r="B25" s="172">
        <f>AgeStanSec!B25/86400</f>
        <v>2.685185185185185E-3</v>
      </c>
      <c r="C25" s="169">
        <f>AgeStanSec!C25/86400</f>
        <v>8.9004629629629625E-3</v>
      </c>
      <c r="D25" s="142">
        <f>AgeStanSec!D25/86400</f>
        <v>1.0763888888888889E-2</v>
      </c>
      <c r="E25" s="142">
        <f>AgeStanSec!E25/86400</f>
        <v>1.1574074074074073E-2</v>
      </c>
      <c r="F25" s="142">
        <f>AgeStanSec!F25/86400</f>
        <v>1.4525462962962962E-2</v>
      </c>
      <c r="G25" s="142">
        <f>AgeStanSec!G25/86400</f>
        <v>1.462962962962963E-2</v>
      </c>
      <c r="H25" s="142">
        <f>AgeStanSec!H25/86400</f>
        <v>1.8333333333333333E-2</v>
      </c>
      <c r="I25" s="142">
        <f>AgeStanSec!I25/86400</f>
        <v>2.2164351851851852E-2</v>
      </c>
      <c r="J25" s="142">
        <f>AgeStanSec!J25/86400</f>
        <v>2.795138888888889E-2</v>
      </c>
      <c r="K25" s="142">
        <f>AgeStanSec!K25/86400</f>
        <v>3.0034722222222223E-2</v>
      </c>
      <c r="L25" s="142">
        <f>AgeStanSec!L25/86400</f>
        <v>3.7731481481481484E-2</v>
      </c>
      <c r="M25" s="142">
        <f>AgeStanSec!M25/86400</f>
        <v>3.9942129629629633E-2</v>
      </c>
      <c r="N25" s="142">
        <f>AgeStanSec!N25/86400</f>
        <v>4.7569444444444442E-2</v>
      </c>
      <c r="O25" s="142">
        <f>AgeStanSec!O25/86400</f>
        <v>5.7638888888888892E-2</v>
      </c>
      <c r="P25" s="142">
        <f>AgeStanSec!P25/86400</f>
        <v>8.3738425925925924E-2</v>
      </c>
      <c r="Q25" s="142">
        <f>AgeStanSec!Q25/86400</f>
        <v>0.10208333333333333</v>
      </c>
      <c r="R25" s="142">
        <f>AgeStanSec!R25/86400</f>
        <v>0.18611111111111112</v>
      </c>
      <c r="S25" s="142">
        <f>AgeStanSec!S25/86400</f>
        <v>0.24722222222222223</v>
      </c>
      <c r="T25" s="142">
        <f>AgeStanSec!T25/86400</f>
        <v>0.4201388888888889</v>
      </c>
      <c r="U25" s="142">
        <f>AgeStanSec!U25/86400</f>
        <v>0.46053240740740742</v>
      </c>
      <c r="V25" s="142">
        <f>AgeStanSec!V25/86400</f>
        <v>0.61111111111111116</v>
      </c>
      <c r="W25" s="47"/>
    </row>
    <row r="26" spans="1:23">
      <c r="A26" s="54">
        <v>25</v>
      </c>
      <c r="B26" s="173">
        <f>AgeStanSec!B26/86400</f>
        <v>2.685185185185185E-3</v>
      </c>
      <c r="C26" s="170">
        <f>AgeStanSec!C26/86400</f>
        <v>8.9004629629629625E-3</v>
      </c>
      <c r="D26" s="143">
        <f>AgeStanSec!D26/86400</f>
        <v>1.0763888888888889E-2</v>
      </c>
      <c r="E26" s="143">
        <f>AgeStanSec!E26/86400</f>
        <v>1.1574074074074073E-2</v>
      </c>
      <c r="F26" s="143">
        <f>AgeStanSec!F26/86400</f>
        <v>1.4525462962962962E-2</v>
      </c>
      <c r="G26" s="143">
        <f>AgeStanSec!G26/86400</f>
        <v>1.462962962962963E-2</v>
      </c>
      <c r="H26" s="143">
        <f>AgeStanSec!H26/86400</f>
        <v>1.8333333333333333E-2</v>
      </c>
      <c r="I26" s="143">
        <f>AgeStanSec!I26/86400</f>
        <v>2.2164351851851852E-2</v>
      </c>
      <c r="J26" s="143">
        <f>AgeStanSec!J26/86400</f>
        <v>2.795138888888889E-2</v>
      </c>
      <c r="K26" s="143">
        <f>AgeStanSec!K26/86400</f>
        <v>3.0034722222222223E-2</v>
      </c>
      <c r="L26" s="143">
        <f>AgeStanSec!L26/86400</f>
        <v>3.7731481481481484E-2</v>
      </c>
      <c r="M26" s="143">
        <f>AgeStanSec!M26/86400</f>
        <v>3.9942129629629633E-2</v>
      </c>
      <c r="N26" s="143">
        <f>AgeStanSec!N26/86400</f>
        <v>4.7569444444444442E-2</v>
      </c>
      <c r="O26" s="143">
        <f>AgeStanSec!O26/86400</f>
        <v>5.7638888888888892E-2</v>
      </c>
      <c r="P26" s="143">
        <f>AgeStanSec!P26/86400</f>
        <v>8.3738425925925924E-2</v>
      </c>
      <c r="Q26" s="143">
        <f>AgeStanSec!Q26/86400</f>
        <v>0.10208333333333333</v>
      </c>
      <c r="R26" s="143">
        <f>AgeStanSec!R26/86400</f>
        <v>0.18611111111111112</v>
      </c>
      <c r="S26" s="143">
        <f>AgeStanSec!S26/86400</f>
        <v>0.24722222222222223</v>
      </c>
      <c r="T26" s="143">
        <f>AgeStanSec!T26/86400</f>
        <v>0.4201388888888889</v>
      </c>
      <c r="U26" s="143">
        <f>AgeStanSec!U26/86400</f>
        <v>0.46053240740740742</v>
      </c>
      <c r="V26" s="143">
        <f>AgeStanSec!V26/86400</f>
        <v>0.61111111111111116</v>
      </c>
      <c r="W26" s="47"/>
    </row>
    <row r="27" spans="1:23">
      <c r="A27" s="49">
        <v>26</v>
      </c>
      <c r="B27" s="172">
        <f>AgeStanSec!B27/86400</f>
        <v>2.685185185185185E-3</v>
      </c>
      <c r="C27" s="169">
        <f>AgeStanSec!C27/86400</f>
        <v>8.9004629629629625E-3</v>
      </c>
      <c r="D27" s="142">
        <f>AgeStanSec!D27/86400</f>
        <v>1.0763888888888889E-2</v>
      </c>
      <c r="E27" s="142">
        <f>AgeStanSec!E27/86400</f>
        <v>1.1574074074074073E-2</v>
      </c>
      <c r="F27" s="142">
        <f>AgeStanSec!F27/86400</f>
        <v>1.4525462962962962E-2</v>
      </c>
      <c r="G27" s="142">
        <f>AgeStanSec!G27/86400</f>
        <v>1.462962962962963E-2</v>
      </c>
      <c r="H27" s="142">
        <f>AgeStanSec!H27/86400</f>
        <v>1.8333333333333333E-2</v>
      </c>
      <c r="I27" s="142">
        <f>AgeStanSec!I27/86400</f>
        <v>2.2164351851851852E-2</v>
      </c>
      <c r="J27" s="142">
        <f>AgeStanSec!J27/86400</f>
        <v>2.795138888888889E-2</v>
      </c>
      <c r="K27" s="142">
        <f>AgeStanSec!K27/86400</f>
        <v>3.0034722222222223E-2</v>
      </c>
      <c r="L27" s="142">
        <f>AgeStanSec!L27/86400</f>
        <v>3.7731481481481484E-2</v>
      </c>
      <c r="M27" s="142">
        <f>AgeStanSec!M27/86400</f>
        <v>3.9942129629629633E-2</v>
      </c>
      <c r="N27" s="142">
        <f>AgeStanSec!N27/86400</f>
        <v>4.7569444444444442E-2</v>
      </c>
      <c r="O27" s="142">
        <f>AgeStanSec!O27/86400</f>
        <v>5.7638888888888892E-2</v>
      </c>
      <c r="P27" s="142">
        <f>AgeStanSec!P27/86400</f>
        <v>8.3738425925925924E-2</v>
      </c>
      <c r="Q27" s="142">
        <f>AgeStanSec!Q27/86400</f>
        <v>0.10208333333333333</v>
      </c>
      <c r="R27" s="142">
        <f>AgeStanSec!R27/86400</f>
        <v>0.18611111111111112</v>
      </c>
      <c r="S27" s="142">
        <f>AgeStanSec!S27/86400</f>
        <v>0.24722222222222223</v>
      </c>
      <c r="T27" s="142">
        <f>AgeStanSec!T27/86400</f>
        <v>0.4201388888888889</v>
      </c>
      <c r="U27" s="142">
        <f>AgeStanSec!U27/86400</f>
        <v>0.46053240740740742</v>
      </c>
      <c r="V27" s="142">
        <f>AgeStanSec!V27/86400</f>
        <v>0.61111111111111116</v>
      </c>
      <c r="W27" s="47"/>
    </row>
    <row r="28" spans="1:23">
      <c r="A28" s="49">
        <v>27</v>
      </c>
      <c r="B28" s="172">
        <f>AgeStanSec!B28/86400</f>
        <v>2.685185185185185E-3</v>
      </c>
      <c r="C28" s="169">
        <f>AgeStanSec!C28/86400</f>
        <v>8.9004629629629625E-3</v>
      </c>
      <c r="D28" s="142">
        <f>AgeStanSec!D28/86400</f>
        <v>1.0763888888888889E-2</v>
      </c>
      <c r="E28" s="142">
        <f>AgeStanSec!E28/86400</f>
        <v>1.1574074074074073E-2</v>
      </c>
      <c r="F28" s="142">
        <f>AgeStanSec!F28/86400</f>
        <v>1.4525462962962962E-2</v>
      </c>
      <c r="G28" s="142">
        <f>AgeStanSec!G28/86400</f>
        <v>1.462962962962963E-2</v>
      </c>
      <c r="H28" s="142">
        <f>AgeStanSec!H28/86400</f>
        <v>1.8333333333333333E-2</v>
      </c>
      <c r="I28" s="142">
        <f>AgeStanSec!I28/86400</f>
        <v>2.2164351851851852E-2</v>
      </c>
      <c r="J28" s="142">
        <f>AgeStanSec!J28/86400</f>
        <v>2.795138888888889E-2</v>
      </c>
      <c r="K28" s="142">
        <f>AgeStanSec!K28/86400</f>
        <v>3.0034722222222223E-2</v>
      </c>
      <c r="L28" s="142">
        <f>AgeStanSec!L28/86400</f>
        <v>3.7731481481481484E-2</v>
      </c>
      <c r="M28" s="142">
        <f>AgeStanSec!M28/86400</f>
        <v>3.9942129629629633E-2</v>
      </c>
      <c r="N28" s="142">
        <f>AgeStanSec!N28/86400</f>
        <v>4.7569444444444442E-2</v>
      </c>
      <c r="O28" s="142">
        <f>AgeStanSec!O28/86400</f>
        <v>5.7638888888888892E-2</v>
      </c>
      <c r="P28" s="142">
        <f>AgeStanSec!P28/86400</f>
        <v>8.3738425925925924E-2</v>
      </c>
      <c r="Q28" s="142">
        <f>AgeStanSec!Q28/86400</f>
        <v>0.10208333333333333</v>
      </c>
      <c r="R28" s="142">
        <f>AgeStanSec!R28/86400</f>
        <v>0.18611111111111112</v>
      </c>
      <c r="S28" s="142">
        <f>AgeStanSec!S28/86400</f>
        <v>0.24722222222222223</v>
      </c>
      <c r="T28" s="142">
        <f>AgeStanSec!T28/86400</f>
        <v>0.4201388888888889</v>
      </c>
      <c r="U28" s="142">
        <f>AgeStanSec!U28/86400</f>
        <v>0.46053240740740742</v>
      </c>
      <c r="V28" s="142">
        <f>AgeStanSec!V28/86400</f>
        <v>0.61111111111111116</v>
      </c>
      <c r="W28" s="47"/>
    </row>
    <row r="29" spans="1:23">
      <c r="A29" s="49">
        <v>28</v>
      </c>
      <c r="B29" s="172">
        <f>AgeStanSec!B29/86400</f>
        <v>2.685185185185185E-3</v>
      </c>
      <c r="C29" s="169">
        <f>AgeStanSec!C29/86400</f>
        <v>8.9004629629629625E-3</v>
      </c>
      <c r="D29" s="142">
        <f>AgeStanSec!D29/86400</f>
        <v>1.0763888888888889E-2</v>
      </c>
      <c r="E29" s="142">
        <f>AgeStanSec!E29/86400</f>
        <v>1.1574074074074073E-2</v>
      </c>
      <c r="F29" s="142">
        <f>AgeStanSec!F29/86400</f>
        <v>1.4525462962962962E-2</v>
      </c>
      <c r="G29" s="142">
        <f>AgeStanSec!G29/86400</f>
        <v>1.462962962962963E-2</v>
      </c>
      <c r="H29" s="142">
        <f>AgeStanSec!H29/86400</f>
        <v>1.8333333333333333E-2</v>
      </c>
      <c r="I29" s="142">
        <f>AgeStanSec!I29/86400</f>
        <v>2.2164351851851852E-2</v>
      </c>
      <c r="J29" s="142">
        <f>AgeStanSec!J29/86400</f>
        <v>2.795138888888889E-2</v>
      </c>
      <c r="K29" s="142">
        <f>AgeStanSec!K29/86400</f>
        <v>3.0034722222222223E-2</v>
      </c>
      <c r="L29" s="142">
        <f>AgeStanSec!L29/86400</f>
        <v>3.7731481481481484E-2</v>
      </c>
      <c r="M29" s="142">
        <f>AgeStanSec!M29/86400</f>
        <v>3.9942129629629633E-2</v>
      </c>
      <c r="N29" s="142">
        <f>AgeStanSec!N29/86400</f>
        <v>4.7569444444444442E-2</v>
      </c>
      <c r="O29" s="142">
        <f>AgeStanSec!O29/86400</f>
        <v>5.7638888888888892E-2</v>
      </c>
      <c r="P29" s="142">
        <f>AgeStanSec!P29/86400</f>
        <v>8.3738425925925924E-2</v>
      </c>
      <c r="Q29" s="142">
        <f>AgeStanSec!Q29/86400</f>
        <v>0.10208333333333333</v>
      </c>
      <c r="R29" s="142">
        <f>AgeStanSec!R29/86400</f>
        <v>0.18611111111111112</v>
      </c>
      <c r="S29" s="142">
        <f>AgeStanSec!S29/86400</f>
        <v>0.24722222222222223</v>
      </c>
      <c r="T29" s="142">
        <f>AgeStanSec!T29/86400</f>
        <v>0.4201388888888889</v>
      </c>
      <c r="U29" s="142">
        <f>AgeStanSec!U29/86400</f>
        <v>0.46053240740740742</v>
      </c>
      <c r="V29" s="142">
        <f>AgeStanSec!V29/86400</f>
        <v>0.61111111111111116</v>
      </c>
      <c r="W29" s="47"/>
    </row>
    <row r="30" spans="1:23">
      <c r="A30" s="49">
        <v>29</v>
      </c>
      <c r="B30" s="172">
        <f>AgeStanSec!B30/86400</f>
        <v>2.685185185185185E-3</v>
      </c>
      <c r="C30" s="169">
        <f>AgeStanSec!C30/86400</f>
        <v>8.9004629629629625E-3</v>
      </c>
      <c r="D30" s="142">
        <f>AgeStanSec!D30/86400</f>
        <v>1.0763888888888889E-2</v>
      </c>
      <c r="E30" s="142">
        <f>AgeStanSec!E30/86400</f>
        <v>1.1574074074074073E-2</v>
      </c>
      <c r="F30" s="142">
        <f>AgeStanSec!F30/86400</f>
        <v>1.4537037037037038E-2</v>
      </c>
      <c r="G30" s="142">
        <f>AgeStanSec!G30/86400</f>
        <v>1.4641203703703703E-2</v>
      </c>
      <c r="H30" s="142">
        <f>AgeStanSec!H30/86400</f>
        <v>1.8356481481481481E-2</v>
      </c>
      <c r="I30" s="142">
        <f>AgeStanSec!I30/86400</f>
        <v>2.2187499999999999E-2</v>
      </c>
      <c r="J30" s="142">
        <f>AgeStanSec!J30/86400</f>
        <v>2.7962962962962964E-2</v>
      </c>
      <c r="K30" s="142">
        <f>AgeStanSec!K30/86400</f>
        <v>3.0046296296296297E-2</v>
      </c>
      <c r="L30" s="142">
        <f>AgeStanSec!L30/86400</f>
        <v>3.7731481481481484E-2</v>
      </c>
      <c r="M30" s="142">
        <f>AgeStanSec!M30/86400</f>
        <v>3.9942129629629633E-2</v>
      </c>
      <c r="N30" s="142">
        <f>AgeStanSec!N30/86400</f>
        <v>4.7569444444444442E-2</v>
      </c>
      <c r="O30" s="142">
        <f>AgeStanSec!O30/86400</f>
        <v>5.7638888888888892E-2</v>
      </c>
      <c r="P30" s="142">
        <f>AgeStanSec!P30/86400</f>
        <v>8.3738425925925924E-2</v>
      </c>
      <c r="Q30" s="142">
        <f>AgeStanSec!Q30/86400</f>
        <v>0.10208333333333333</v>
      </c>
      <c r="R30" s="142">
        <f>AgeStanSec!R30/86400</f>
        <v>0.18611111111111112</v>
      </c>
      <c r="S30" s="142">
        <f>AgeStanSec!S30/86400</f>
        <v>0.24722222222222223</v>
      </c>
      <c r="T30" s="142">
        <f>AgeStanSec!T30/86400</f>
        <v>0.4201388888888889</v>
      </c>
      <c r="U30" s="142">
        <f>AgeStanSec!U30/86400</f>
        <v>0.46053240740740742</v>
      </c>
      <c r="V30" s="142">
        <f>AgeStanSec!V30/86400</f>
        <v>0.61111111111111116</v>
      </c>
      <c r="W30" s="47"/>
    </row>
    <row r="31" spans="1:23">
      <c r="A31" s="54">
        <v>30</v>
      </c>
      <c r="B31" s="173">
        <f>AgeStanSec!B31/86400</f>
        <v>2.685185185185185E-3</v>
      </c>
      <c r="C31" s="170">
        <f>AgeStanSec!C31/86400</f>
        <v>8.9004629629629625E-3</v>
      </c>
      <c r="D31" s="143">
        <f>AgeStanSec!D31/86400</f>
        <v>1.0775462962962962E-2</v>
      </c>
      <c r="E31" s="143">
        <f>AgeStanSec!E31/86400</f>
        <v>1.1585648148148149E-2</v>
      </c>
      <c r="F31" s="143">
        <f>AgeStanSec!F31/86400</f>
        <v>1.4548611111111111E-2</v>
      </c>
      <c r="G31" s="143">
        <f>AgeStanSec!G31/86400</f>
        <v>1.4652777777777778E-2</v>
      </c>
      <c r="H31" s="143">
        <f>AgeStanSec!H31/86400</f>
        <v>1.8368055555555554E-2</v>
      </c>
      <c r="I31" s="143">
        <f>AgeStanSec!I31/86400</f>
        <v>2.2199074074074072E-2</v>
      </c>
      <c r="J31" s="143">
        <f>AgeStanSec!J31/86400</f>
        <v>2.7974537037037037E-2</v>
      </c>
      <c r="K31" s="143">
        <f>AgeStanSec!K31/86400</f>
        <v>3.005787037037037E-2</v>
      </c>
      <c r="L31" s="143">
        <f>AgeStanSec!L31/86400</f>
        <v>3.7743055555555557E-2</v>
      </c>
      <c r="M31" s="143">
        <f>AgeStanSec!M31/86400</f>
        <v>3.9942129629629633E-2</v>
      </c>
      <c r="N31" s="143">
        <f>AgeStanSec!N31/86400</f>
        <v>4.7569444444444442E-2</v>
      </c>
      <c r="O31" s="143">
        <f>AgeStanSec!O31/86400</f>
        <v>5.7638888888888892E-2</v>
      </c>
      <c r="P31" s="143">
        <f>AgeStanSec!P31/86400</f>
        <v>8.3738425925925924E-2</v>
      </c>
      <c r="Q31" s="143">
        <f>AgeStanSec!Q31/86400</f>
        <v>0.10208333333333333</v>
      </c>
      <c r="R31" s="143">
        <f>AgeStanSec!R31/86400</f>
        <v>0.18611111111111112</v>
      </c>
      <c r="S31" s="143">
        <f>AgeStanSec!S31/86400</f>
        <v>0.24722222222222223</v>
      </c>
      <c r="T31" s="143">
        <f>AgeStanSec!T31/86400</f>
        <v>0.4201388888888889</v>
      </c>
      <c r="U31" s="143">
        <f>AgeStanSec!U31/86400</f>
        <v>0.46053240740740742</v>
      </c>
      <c r="V31" s="143">
        <f>AgeStanSec!V31/86400</f>
        <v>0.61111111111111116</v>
      </c>
      <c r="W31" s="47"/>
    </row>
    <row r="32" spans="1:23">
      <c r="A32" s="49">
        <v>31</v>
      </c>
      <c r="B32" s="172">
        <f>AgeStanSec!B32/86400</f>
        <v>2.685185185185185E-3</v>
      </c>
      <c r="C32" s="169">
        <f>AgeStanSec!C32/86400</f>
        <v>8.9120370370370378E-3</v>
      </c>
      <c r="D32" s="142">
        <f>AgeStanSec!D32/86400</f>
        <v>1.0787037037037038E-2</v>
      </c>
      <c r="E32" s="142">
        <f>AgeStanSec!E32/86400</f>
        <v>1.1597222222222222E-2</v>
      </c>
      <c r="F32" s="142">
        <f>AgeStanSec!F32/86400</f>
        <v>1.457175925925926E-2</v>
      </c>
      <c r="G32" s="142">
        <f>AgeStanSec!G32/86400</f>
        <v>1.4675925925925926E-2</v>
      </c>
      <c r="H32" s="142">
        <f>AgeStanSec!H32/86400</f>
        <v>1.8402777777777778E-2</v>
      </c>
      <c r="I32" s="142">
        <f>AgeStanSec!I32/86400</f>
        <v>2.2233796296296297E-2</v>
      </c>
      <c r="J32" s="142">
        <f>AgeStanSec!J32/86400</f>
        <v>2.7997685185185184E-2</v>
      </c>
      <c r="K32" s="142">
        <f>AgeStanSec!K32/86400</f>
        <v>3.0081018518518517E-2</v>
      </c>
      <c r="L32" s="142">
        <f>AgeStanSec!L32/86400</f>
        <v>3.7743055555555557E-2</v>
      </c>
      <c r="M32" s="142">
        <f>AgeStanSec!M32/86400</f>
        <v>3.9942129629629633E-2</v>
      </c>
      <c r="N32" s="142">
        <f>AgeStanSec!N32/86400</f>
        <v>4.7569444444444442E-2</v>
      </c>
      <c r="O32" s="142">
        <f>AgeStanSec!O32/86400</f>
        <v>5.7638888888888892E-2</v>
      </c>
      <c r="P32" s="142">
        <f>AgeStanSec!P32/86400</f>
        <v>8.3738425925925924E-2</v>
      </c>
      <c r="Q32" s="142">
        <f>AgeStanSec!Q32/86400</f>
        <v>0.10208333333333333</v>
      </c>
      <c r="R32" s="142">
        <f>AgeStanSec!R32/86400</f>
        <v>0.18611111111111112</v>
      </c>
      <c r="S32" s="142">
        <f>AgeStanSec!S32/86400</f>
        <v>0.24722222222222223</v>
      </c>
      <c r="T32" s="142">
        <f>AgeStanSec!T32/86400</f>
        <v>0.4201388888888889</v>
      </c>
      <c r="U32" s="142">
        <f>AgeStanSec!U32/86400</f>
        <v>0.46053240740740742</v>
      </c>
      <c r="V32" s="142">
        <f>AgeStanSec!V32/86400</f>
        <v>0.61111111111111116</v>
      </c>
      <c r="W32" s="47"/>
    </row>
    <row r="33" spans="1:23">
      <c r="A33" s="49">
        <v>32</v>
      </c>
      <c r="B33" s="172">
        <f>AgeStanSec!B33/86400</f>
        <v>2.685185185185185E-3</v>
      </c>
      <c r="C33" s="169">
        <f>AgeStanSec!C33/86400</f>
        <v>8.9351851851851849E-3</v>
      </c>
      <c r="D33" s="142">
        <f>AgeStanSec!D33/86400</f>
        <v>1.0810185185185185E-2</v>
      </c>
      <c r="E33" s="142">
        <f>AgeStanSec!E33/86400</f>
        <v>1.1631944444444445E-2</v>
      </c>
      <c r="F33" s="142">
        <f>AgeStanSec!F33/86400</f>
        <v>1.4606481481481481E-2</v>
      </c>
      <c r="G33" s="142">
        <f>AgeStanSec!G33/86400</f>
        <v>1.4710648148148148E-2</v>
      </c>
      <c r="H33" s="142">
        <f>AgeStanSec!H33/86400</f>
        <v>1.8449074074074073E-2</v>
      </c>
      <c r="I33" s="142">
        <f>AgeStanSec!I33/86400</f>
        <v>2.2268518518518517E-2</v>
      </c>
      <c r="J33" s="142">
        <f>AgeStanSec!J33/86400</f>
        <v>2.8032407407407409E-2</v>
      </c>
      <c r="K33" s="142">
        <f>AgeStanSec!K33/86400</f>
        <v>3.0104166666666668E-2</v>
      </c>
      <c r="L33" s="142">
        <f>AgeStanSec!L33/86400</f>
        <v>3.7754629629629631E-2</v>
      </c>
      <c r="M33" s="142">
        <f>AgeStanSec!M33/86400</f>
        <v>3.9953703703703707E-2</v>
      </c>
      <c r="N33" s="142">
        <f>AgeStanSec!N33/86400</f>
        <v>4.7581018518518516E-2</v>
      </c>
      <c r="O33" s="142">
        <f>AgeStanSec!O33/86400</f>
        <v>5.7638888888888892E-2</v>
      </c>
      <c r="P33" s="142">
        <f>AgeStanSec!P33/86400</f>
        <v>8.3738425925925924E-2</v>
      </c>
      <c r="Q33" s="142">
        <f>AgeStanSec!Q33/86400</f>
        <v>0.10208333333333333</v>
      </c>
      <c r="R33" s="142">
        <f>AgeStanSec!R33/86400</f>
        <v>0.18611111111111112</v>
      </c>
      <c r="S33" s="142">
        <f>AgeStanSec!S33/86400</f>
        <v>0.24722222222222223</v>
      </c>
      <c r="T33" s="142">
        <f>AgeStanSec!T33/86400</f>
        <v>0.4201388888888889</v>
      </c>
      <c r="U33" s="142">
        <f>AgeStanSec!U33/86400</f>
        <v>0.46053240740740742</v>
      </c>
      <c r="V33" s="142">
        <f>AgeStanSec!V33/86400</f>
        <v>0.61111111111111116</v>
      </c>
      <c r="W33" s="47"/>
    </row>
    <row r="34" spans="1:23">
      <c r="A34" s="49">
        <v>33</v>
      </c>
      <c r="B34" s="172">
        <f>AgeStanSec!B34/86400</f>
        <v>2.6967592592592594E-3</v>
      </c>
      <c r="C34" s="169">
        <f>AgeStanSec!C34/86400</f>
        <v>8.9699074074074073E-3</v>
      </c>
      <c r="D34" s="142">
        <f>AgeStanSec!D34/86400</f>
        <v>1.0844907407407407E-2</v>
      </c>
      <c r="E34" s="142">
        <f>AgeStanSec!E34/86400</f>
        <v>1.1666666666666667E-2</v>
      </c>
      <c r="F34" s="142">
        <f>AgeStanSec!F34/86400</f>
        <v>1.4652777777777778E-2</v>
      </c>
      <c r="G34" s="142">
        <f>AgeStanSec!G34/86400</f>
        <v>1.4756944444444444E-2</v>
      </c>
      <c r="H34" s="142">
        <f>AgeStanSec!H34/86400</f>
        <v>1.849537037037037E-2</v>
      </c>
      <c r="I34" s="142">
        <f>AgeStanSec!I34/86400</f>
        <v>2.2326388888888889E-2</v>
      </c>
      <c r="J34" s="142">
        <f>AgeStanSec!J34/86400</f>
        <v>2.8090277777777777E-2</v>
      </c>
      <c r="K34" s="142">
        <f>AgeStanSec!K34/86400</f>
        <v>3.0162037037037036E-2</v>
      </c>
      <c r="L34" s="142">
        <f>AgeStanSec!L34/86400</f>
        <v>3.7800925925925925E-2</v>
      </c>
      <c r="M34" s="142">
        <f>AgeStanSec!M34/86400</f>
        <v>0.04</v>
      </c>
      <c r="N34" s="142">
        <f>AgeStanSec!N34/86400</f>
        <v>4.7627314814814817E-2</v>
      </c>
      <c r="O34" s="142">
        <f>AgeStanSec!O34/86400</f>
        <v>5.7673611111111113E-2</v>
      </c>
      <c r="P34" s="142">
        <f>AgeStanSec!P34/86400</f>
        <v>8.3738425925925924E-2</v>
      </c>
      <c r="Q34" s="142">
        <f>AgeStanSec!Q34/86400</f>
        <v>0.10208333333333333</v>
      </c>
      <c r="R34" s="142">
        <f>AgeStanSec!R34/86400</f>
        <v>0.18611111111111112</v>
      </c>
      <c r="S34" s="142">
        <f>AgeStanSec!S34/86400</f>
        <v>0.24722222222222223</v>
      </c>
      <c r="T34" s="142">
        <f>AgeStanSec!T34/86400</f>
        <v>0.4201388888888889</v>
      </c>
      <c r="U34" s="142">
        <f>AgeStanSec!U34/86400</f>
        <v>0.46053240740740742</v>
      </c>
      <c r="V34" s="142">
        <f>AgeStanSec!V34/86400</f>
        <v>0.61111111111111116</v>
      </c>
      <c r="W34" s="47"/>
    </row>
    <row r="35" spans="1:23">
      <c r="A35" s="49">
        <v>34</v>
      </c>
      <c r="B35" s="172">
        <f>AgeStanSec!B35/86400</f>
        <v>2.6967592592592594E-3</v>
      </c>
      <c r="C35" s="169">
        <f>AgeStanSec!C35/86400</f>
        <v>9.0162037037037034E-3</v>
      </c>
      <c r="D35" s="142">
        <f>AgeStanSec!D35/86400</f>
        <v>1.0902777777777779E-2</v>
      </c>
      <c r="E35" s="142">
        <f>AgeStanSec!E35/86400</f>
        <v>1.1724537037037037E-2</v>
      </c>
      <c r="F35" s="142">
        <f>AgeStanSec!F35/86400</f>
        <v>1.4710648148148148E-2</v>
      </c>
      <c r="G35" s="142">
        <f>AgeStanSec!G35/86400</f>
        <v>1.4814814814814815E-2</v>
      </c>
      <c r="H35" s="142">
        <f>AgeStanSec!H35/86400</f>
        <v>1.8564814814814815E-2</v>
      </c>
      <c r="I35" s="142">
        <f>AgeStanSec!I35/86400</f>
        <v>2.2395833333333334E-2</v>
      </c>
      <c r="J35" s="142">
        <f>AgeStanSec!J35/86400</f>
        <v>2.8159722222222221E-2</v>
      </c>
      <c r="K35" s="142">
        <f>AgeStanSec!K35/86400</f>
        <v>3.0243055555555554E-2</v>
      </c>
      <c r="L35" s="142">
        <f>AgeStanSec!L35/86400</f>
        <v>3.7881944444444447E-2</v>
      </c>
      <c r="M35" s="142">
        <f>AgeStanSec!M35/86400</f>
        <v>4.0081018518518516E-2</v>
      </c>
      <c r="N35" s="142">
        <f>AgeStanSec!N35/86400</f>
        <v>4.7696759259259258E-2</v>
      </c>
      <c r="O35" s="142">
        <f>AgeStanSec!O35/86400</f>
        <v>5.7731481481481481E-2</v>
      </c>
      <c r="P35" s="142">
        <f>AgeStanSec!P35/86400</f>
        <v>8.3738425925925924E-2</v>
      </c>
      <c r="Q35" s="142">
        <f>AgeStanSec!Q35/86400</f>
        <v>0.10208333333333333</v>
      </c>
      <c r="R35" s="142">
        <f>AgeStanSec!R35/86400</f>
        <v>0.18611111111111112</v>
      </c>
      <c r="S35" s="142">
        <f>AgeStanSec!S35/86400</f>
        <v>0.24722222222222223</v>
      </c>
      <c r="T35" s="142">
        <f>AgeStanSec!T35/86400</f>
        <v>0.4201388888888889</v>
      </c>
      <c r="U35" s="142">
        <f>AgeStanSec!U35/86400</f>
        <v>0.46053240740740742</v>
      </c>
      <c r="V35" s="142">
        <f>AgeStanSec!V35/86400</f>
        <v>0.61111111111111116</v>
      </c>
      <c r="W35" s="47"/>
    </row>
    <row r="36" spans="1:23">
      <c r="A36" s="54">
        <v>35</v>
      </c>
      <c r="B36" s="173">
        <f>AgeStanSec!B36/86400</f>
        <v>2.7083333333333334E-3</v>
      </c>
      <c r="C36" s="170">
        <f>AgeStanSec!C36/86400</f>
        <v>9.0740740740740747E-3</v>
      </c>
      <c r="D36" s="143">
        <f>AgeStanSec!D36/86400</f>
        <v>1.0960648148148148E-2</v>
      </c>
      <c r="E36" s="143">
        <f>AgeStanSec!E36/86400</f>
        <v>1.1782407407407408E-2</v>
      </c>
      <c r="F36" s="143">
        <f>AgeStanSec!F36/86400</f>
        <v>1.4780092592592593E-2</v>
      </c>
      <c r="G36" s="143">
        <f>AgeStanSec!G36/86400</f>
        <v>1.4884259259259259E-2</v>
      </c>
      <c r="H36" s="143">
        <f>AgeStanSec!H36/86400</f>
        <v>1.863425925925926E-2</v>
      </c>
      <c r="I36" s="143">
        <f>AgeStanSec!I36/86400</f>
        <v>2.2476851851851852E-2</v>
      </c>
      <c r="J36" s="143">
        <f>AgeStanSec!J36/86400</f>
        <v>2.8252314814814813E-2</v>
      </c>
      <c r="K36" s="143">
        <f>AgeStanSec!K36/86400</f>
        <v>3.033564814814815E-2</v>
      </c>
      <c r="L36" s="143">
        <f>AgeStanSec!L36/86400</f>
        <v>3.8009259259259257E-2</v>
      </c>
      <c r="M36" s="143">
        <f>AgeStanSec!M36/86400</f>
        <v>4.0208333333333332E-2</v>
      </c>
      <c r="N36" s="143">
        <f>AgeStanSec!N36/86400</f>
        <v>4.7800925925925927E-2</v>
      </c>
      <c r="O36" s="143">
        <f>AgeStanSec!O36/86400</f>
        <v>5.7824074074074076E-2</v>
      </c>
      <c r="P36" s="143">
        <f>AgeStanSec!P36/86400</f>
        <v>8.3738425925925924E-2</v>
      </c>
      <c r="Q36" s="143">
        <f>AgeStanSec!Q36/86400</f>
        <v>0.10208333333333333</v>
      </c>
      <c r="R36" s="143">
        <f>AgeStanSec!R36/86400</f>
        <v>0.18611111111111112</v>
      </c>
      <c r="S36" s="143">
        <f>AgeStanSec!S36/86400</f>
        <v>0.24722222222222223</v>
      </c>
      <c r="T36" s="143">
        <f>AgeStanSec!T36/86400</f>
        <v>0.4201388888888889</v>
      </c>
      <c r="U36" s="143">
        <f>AgeStanSec!U36/86400</f>
        <v>0.46053240740740742</v>
      </c>
      <c r="V36" s="143">
        <f>AgeStanSec!V36/86400</f>
        <v>0.61111111111111116</v>
      </c>
      <c r="W36" s="47"/>
    </row>
    <row r="37" spans="1:23">
      <c r="A37" s="49">
        <v>36</v>
      </c>
      <c r="B37" s="172">
        <f>AgeStanSec!B37/86400</f>
        <v>2.7199074074074074E-3</v>
      </c>
      <c r="C37" s="169">
        <f>AgeStanSec!C37/86400</f>
        <v>9.1319444444444443E-3</v>
      </c>
      <c r="D37" s="142">
        <f>AgeStanSec!D37/86400</f>
        <v>1.1030092592592593E-2</v>
      </c>
      <c r="E37" s="142">
        <f>AgeStanSec!E37/86400</f>
        <v>1.1851851851851851E-2</v>
      </c>
      <c r="F37" s="142">
        <f>AgeStanSec!F37/86400</f>
        <v>1.4849537037037038E-2</v>
      </c>
      <c r="G37" s="142">
        <f>AgeStanSec!G37/86400</f>
        <v>1.4953703703703703E-2</v>
      </c>
      <c r="H37" s="142">
        <f>AgeStanSec!H37/86400</f>
        <v>1.8715277777777779E-2</v>
      </c>
      <c r="I37" s="142">
        <f>AgeStanSec!I37/86400</f>
        <v>2.2569444444444444E-2</v>
      </c>
      <c r="J37" s="142">
        <f>AgeStanSec!J37/86400</f>
        <v>2.837962962962963E-2</v>
      </c>
      <c r="K37" s="142">
        <f>AgeStanSec!K37/86400</f>
        <v>3.0462962962962963E-2</v>
      </c>
      <c r="L37" s="142">
        <f>AgeStanSec!L37/86400</f>
        <v>3.815972222222222E-2</v>
      </c>
      <c r="M37" s="142">
        <f>AgeStanSec!M37/86400</f>
        <v>4.0370370370370369E-2</v>
      </c>
      <c r="N37" s="142">
        <f>AgeStanSec!N37/86400</f>
        <v>4.7962962962962964E-2</v>
      </c>
      <c r="O37" s="142">
        <f>AgeStanSec!O37/86400</f>
        <v>5.7962962962962966E-2</v>
      </c>
      <c r="P37" s="142">
        <f>AgeStanSec!P37/86400</f>
        <v>8.3819444444444446E-2</v>
      </c>
      <c r="Q37" s="142">
        <f>AgeStanSec!Q37/86400</f>
        <v>0.10217592592592592</v>
      </c>
      <c r="R37" s="142">
        <f>AgeStanSec!R37/86400</f>
        <v>0.18627314814814816</v>
      </c>
      <c r="S37" s="142">
        <f>AgeStanSec!S37/86400</f>
        <v>0.24744212962962964</v>
      </c>
      <c r="T37" s="142">
        <f>AgeStanSec!T37/86400</f>
        <v>0.42052083333333334</v>
      </c>
      <c r="U37" s="142">
        <f>AgeStanSec!U37/86400</f>
        <v>0.46094907407407409</v>
      </c>
      <c r="V37" s="142">
        <f>AgeStanSec!V37/86400</f>
        <v>0.61166666666666669</v>
      </c>
      <c r="W37" s="47"/>
    </row>
    <row r="38" spans="1:23">
      <c r="A38" s="49">
        <v>37</v>
      </c>
      <c r="B38" s="172">
        <f>AgeStanSec!B38/86400</f>
        <v>2.7314814814814814E-3</v>
      </c>
      <c r="C38" s="169">
        <f>AgeStanSec!C38/86400</f>
        <v>9.2013888888888892E-3</v>
      </c>
      <c r="D38" s="142">
        <f>AgeStanSec!D38/86400</f>
        <v>1.1111111111111112E-2</v>
      </c>
      <c r="E38" s="142">
        <f>AgeStanSec!E38/86400</f>
        <v>1.193287037037037E-2</v>
      </c>
      <c r="F38" s="142">
        <f>AgeStanSec!F38/86400</f>
        <v>1.4930555555555556E-2</v>
      </c>
      <c r="G38" s="142">
        <f>AgeStanSec!G38/86400</f>
        <v>1.5046296296296295E-2</v>
      </c>
      <c r="H38" s="142">
        <f>AgeStanSec!H38/86400</f>
        <v>1.8807870370370371E-2</v>
      </c>
      <c r="I38" s="142">
        <f>AgeStanSec!I38/86400</f>
        <v>2.267361111111111E-2</v>
      </c>
      <c r="J38" s="142">
        <f>AgeStanSec!J38/86400</f>
        <v>2.8518518518518519E-2</v>
      </c>
      <c r="K38" s="142">
        <f>AgeStanSec!K38/86400</f>
        <v>3.0613425925925926E-2</v>
      </c>
      <c r="L38" s="142">
        <f>AgeStanSec!L38/86400</f>
        <v>3.8344907407407404E-2</v>
      </c>
      <c r="M38" s="142">
        <f>AgeStanSec!M38/86400</f>
        <v>4.0567129629629627E-2</v>
      </c>
      <c r="N38" s="142">
        <f>AgeStanSec!N38/86400</f>
        <v>4.8171296296296295E-2</v>
      </c>
      <c r="O38" s="142">
        <f>AgeStanSec!O38/86400</f>
        <v>5.8182870370370371E-2</v>
      </c>
      <c r="P38" s="142">
        <f>AgeStanSec!P38/86400</f>
        <v>8.4027777777777785E-2</v>
      </c>
      <c r="Q38" s="142">
        <f>AgeStanSec!Q38/86400</f>
        <v>0.10244212962962963</v>
      </c>
      <c r="R38" s="142">
        <f>AgeStanSec!R38/86400</f>
        <v>0.18675925925925926</v>
      </c>
      <c r="S38" s="142">
        <f>AgeStanSec!S38/86400</f>
        <v>0.24809027777777778</v>
      </c>
      <c r="T38" s="142">
        <f>AgeStanSec!T38/86400</f>
        <v>0.42160879629629627</v>
      </c>
      <c r="U38" s="142">
        <f>AgeStanSec!U38/86400</f>
        <v>0.4621527777777778</v>
      </c>
      <c r="V38" s="142">
        <f>AgeStanSec!V38/86400</f>
        <v>0.61325231481481479</v>
      </c>
      <c r="W38" s="47"/>
    </row>
    <row r="39" spans="1:23">
      <c r="A39" s="49">
        <v>38</v>
      </c>
      <c r="B39" s="172">
        <f>AgeStanSec!B39/86400</f>
        <v>2.7546296296296294E-3</v>
      </c>
      <c r="C39" s="169">
        <f>AgeStanSec!C39/86400</f>
        <v>9.2708333333333341E-3</v>
      </c>
      <c r="D39" s="142">
        <f>AgeStanSec!D39/86400</f>
        <v>1.1180555555555555E-2</v>
      </c>
      <c r="E39" s="142">
        <f>AgeStanSec!E39/86400</f>
        <v>1.2013888888888888E-2</v>
      </c>
      <c r="F39" s="142">
        <f>AgeStanSec!F39/86400</f>
        <v>1.5023148148148148E-2</v>
      </c>
      <c r="G39" s="142">
        <f>AgeStanSec!G39/86400</f>
        <v>1.5127314814814816E-2</v>
      </c>
      <c r="H39" s="142">
        <f>AgeStanSec!H39/86400</f>
        <v>1.8900462962962963E-2</v>
      </c>
      <c r="I39" s="142">
        <f>AgeStanSec!I39/86400</f>
        <v>2.2800925925925926E-2</v>
      </c>
      <c r="J39" s="142">
        <f>AgeStanSec!J39/86400</f>
        <v>2.8680555555555556E-2</v>
      </c>
      <c r="K39" s="142">
        <f>AgeStanSec!K39/86400</f>
        <v>3.0787037037037036E-2</v>
      </c>
      <c r="L39" s="142">
        <f>AgeStanSec!L39/86400</f>
        <v>3.8576388888888889E-2</v>
      </c>
      <c r="M39" s="142">
        <f>AgeStanSec!M39/86400</f>
        <v>4.0810185185185185E-2</v>
      </c>
      <c r="N39" s="142">
        <f>AgeStanSec!N39/86400</f>
        <v>4.8437500000000001E-2</v>
      </c>
      <c r="O39" s="142">
        <f>AgeStanSec!O39/86400</f>
        <v>5.8483796296296298E-2</v>
      </c>
      <c r="P39" s="142">
        <f>AgeStanSec!P39/86400</f>
        <v>8.4409722222222219E-2</v>
      </c>
      <c r="Q39" s="142">
        <f>AgeStanSec!Q39/86400</f>
        <v>0.10289351851851852</v>
      </c>
      <c r="R39" s="142">
        <f>AgeStanSec!R39/86400</f>
        <v>0.18759259259259259</v>
      </c>
      <c r="S39" s="142">
        <f>AgeStanSec!S39/86400</f>
        <v>0.24918981481481481</v>
      </c>
      <c r="T39" s="142">
        <f>AgeStanSec!T39/86400</f>
        <v>0.42348379629629629</v>
      </c>
      <c r="U39" s="142">
        <f>AgeStanSec!U39/86400</f>
        <v>0.4642013888888889</v>
      </c>
      <c r="V39" s="142">
        <f>AgeStanSec!V39/86400</f>
        <v>0.61597222222222225</v>
      </c>
      <c r="W39" s="47"/>
    </row>
    <row r="40" spans="1:23">
      <c r="A40" s="49">
        <v>39</v>
      </c>
      <c r="B40" s="172">
        <f>AgeStanSec!B40/86400</f>
        <v>2.7662037037037039E-3</v>
      </c>
      <c r="C40" s="169">
        <f>AgeStanSec!C40/86400</f>
        <v>9.3402777777777772E-3</v>
      </c>
      <c r="D40" s="142">
        <f>AgeStanSec!D40/86400</f>
        <v>1.1261574074074075E-2</v>
      </c>
      <c r="E40" s="142">
        <f>AgeStanSec!E40/86400</f>
        <v>1.2094907407407407E-2</v>
      </c>
      <c r="F40" s="142">
        <f>AgeStanSec!F40/86400</f>
        <v>1.5127314814814816E-2</v>
      </c>
      <c r="G40" s="142">
        <f>AgeStanSec!G40/86400</f>
        <v>1.5231481481481481E-2</v>
      </c>
      <c r="H40" s="142">
        <f>AgeStanSec!H40/86400</f>
        <v>1.9016203703703705E-2</v>
      </c>
      <c r="I40" s="142">
        <f>AgeStanSec!I40/86400</f>
        <v>2.2951388888888889E-2</v>
      </c>
      <c r="J40" s="142">
        <f>AgeStanSec!J40/86400</f>
        <v>2.886574074074074E-2</v>
      </c>
      <c r="K40" s="142">
        <f>AgeStanSec!K40/86400</f>
        <v>3.0995370370370371E-2</v>
      </c>
      <c r="L40" s="142">
        <f>AgeStanSec!L40/86400</f>
        <v>3.8842592592592595E-2</v>
      </c>
      <c r="M40" s="142">
        <f>AgeStanSec!M40/86400</f>
        <v>4.1099537037037039E-2</v>
      </c>
      <c r="N40" s="142">
        <f>AgeStanSec!N40/86400</f>
        <v>4.8773148148148149E-2</v>
      </c>
      <c r="O40" s="142">
        <f>AgeStanSec!O40/86400</f>
        <v>5.8865740740740739E-2</v>
      </c>
      <c r="P40" s="142">
        <f>AgeStanSec!P40/86400</f>
        <v>8.4930555555555551E-2</v>
      </c>
      <c r="Q40" s="142">
        <f>AgeStanSec!Q40/86400</f>
        <v>0.10353009259259259</v>
      </c>
      <c r="R40" s="142">
        <f>AgeStanSec!R40/86400</f>
        <v>0.18875</v>
      </c>
      <c r="S40" s="142">
        <f>AgeStanSec!S40/86400</f>
        <v>0.25072916666666667</v>
      </c>
      <c r="T40" s="142">
        <f>AgeStanSec!T40/86400</f>
        <v>0.42609953703703701</v>
      </c>
      <c r="U40" s="142">
        <f>AgeStanSec!U40/86400</f>
        <v>0.46707175925925926</v>
      </c>
      <c r="V40" s="142">
        <f>AgeStanSec!V40/86400</f>
        <v>0.61979166666666663</v>
      </c>
      <c r="W40" s="47"/>
    </row>
    <row r="41" spans="1:23">
      <c r="A41" s="54">
        <v>40</v>
      </c>
      <c r="B41" s="173">
        <f>AgeStanSec!B41/86400</f>
        <v>2.7893518518518519E-3</v>
      </c>
      <c r="C41" s="170">
        <f>AgeStanSec!C41/86400</f>
        <v>9.4097222222222221E-3</v>
      </c>
      <c r="D41" s="143">
        <f>AgeStanSec!D41/86400</f>
        <v>1.1342592592592593E-2</v>
      </c>
      <c r="E41" s="143">
        <f>AgeStanSec!E41/86400</f>
        <v>1.2175925925925925E-2</v>
      </c>
      <c r="F41" s="143">
        <f>AgeStanSec!F41/86400</f>
        <v>1.5231481481481481E-2</v>
      </c>
      <c r="G41" s="143">
        <f>AgeStanSec!G41/86400</f>
        <v>1.5335648148148149E-2</v>
      </c>
      <c r="H41" s="143">
        <f>AgeStanSec!H41/86400</f>
        <v>1.9143518518518518E-2</v>
      </c>
      <c r="I41" s="143">
        <f>AgeStanSec!I41/86400</f>
        <v>2.3101851851851853E-2</v>
      </c>
      <c r="J41" s="143">
        <f>AgeStanSec!J41/86400</f>
        <v>2.9074074074074075E-2</v>
      </c>
      <c r="K41" s="143">
        <f>AgeStanSec!K41/86400</f>
        <v>3.1226851851851853E-2</v>
      </c>
      <c r="L41" s="143">
        <f>AgeStanSec!L41/86400</f>
        <v>3.9155092592592596E-2</v>
      </c>
      <c r="M41" s="143">
        <f>AgeStanSec!M41/86400</f>
        <v>4.1423611111111112E-2</v>
      </c>
      <c r="N41" s="143">
        <f>AgeStanSec!N41/86400</f>
        <v>4.9155092592592591E-2</v>
      </c>
      <c r="O41" s="143">
        <f>AgeStanSec!O41/86400</f>
        <v>5.9340277777777777E-2</v>
      </c>
      <c r="P41" s="143">
        <f>AgeStanSec!P41/86400</f>
        <v>8.5590277777777779E-2</v>
      </c>
      <c r="Q41" s="143">
        <f>AgeStanSec!Q41/86400</f>
        <v>0.10435185185185185</v>
      </c>
      <c r="R41" s="143">
        <f>AgeStanSec!R41/86400</f>
        <v>0.19024305555555557</v>
      </c>
      <c r="S41" s="143">
        <f>AgeStanSec!S41/86400</f>
        <v>0.25270833333333331</v>
      </c>
      <c r="T41" s="143">
        <f>AgeStanSec!T41/86400</f>
        <v>0.4294560185185185</v>
      </c>
      <c r="U41" s="143">
        <f>AgeStanSec!U41/86400</f>
        <v>0.47075231481481483</v>
      </c>
      <c r="V41" s="143">
        <f>AgeStanSec!V41/86400</f>
        <v>0.62466435185185187</v>
      </c>
      <c r="W41" s="47"/>
    </row>
    <row r="42" spans="1:23">
      <c r="A42" s="49">
        <v>41</v>
      </c>
      <c r="B42" s="172">
        <f>AgeStanSec!B42/86400</f>
        <v>2.8124999999999999E-3</v>
      </c>
      <c r="C42" s="169">
        <f>AgeStanSec!C42/86400</f>
        <v>9.479166666666667E-3</v>
      </c>
      <c r="D42" s="142">
        <f>AgeStanSec!D42/86400</f>
        <v>1.1423611111111112E-2</v>
      </c>
      <c r="E42" s="142">
        <f>AgeStanSec!E42/86400</f>
        <v>1.2268518518518519E-2</v>
      </c>
      <c r="F42" s="142">
        <f>AgeStanSec!F42/86400</f>
        <v>1.5335648148148149E-2</v>
      </c>
      <c r="G42" s="142">
        <f>AgeStanSec!G42/86400</f>
        <v>1.5439814814814814E-2</v>
      </c>
      <c r="H42" s="142">
        <f>AgeStanSec!H42/86400</f>
        <v>1.9282407407407408E-2</v>
      </c>
      <c r="I42" s="142">
        <f>AgeStanSec!I42/86400</f>
        <v>2.3275462962962963E-2</v>
      </c>
      <c r="J42" s="142">
        <f>AgeStanSec!J42/86400</f>
        <v>2.9305555555555557E-2</v>
      </c>
      <c r="K42" s="142">
        <f>AgeStanSec!K42/86400</f>
        <v>3.1469907407407405E-2</v>
      </c>
      <c r="L42" s="142">
        <f>AgeStanSec!L42/86400</f>
        <v>3.9467592592592596E-2</v>
      </c>
      <c r="M42" s="142">
        <f>AgeStanSec!M42/86400</f>
        <v>4.175925925925926E-2</v>
      </c>
      <c r="N42" s="142">
        <f>AgeStanSec!N42/86400</f>
        <v>4.9560185185185186E-2</v>
      </c>
      <c r="O42" s="142">
        <f>AgeStanSec!O42/86400</f>
        <v>5.9826388888888887E-2</v>
      </c>
      <c r="P42" s="142">
        <f>AgeStanSec!P42/86400</f>
        <v>8.6319444444444449E-2</v>
      </c>
      <c r="Q42" s="142">
        <f>AgeStanSec!Q42/86400</f>
        <v>0.10523148148148148</v>
      </c>
      <c r="R42" s="142">
        <f>AgeStanSec!R42/86400</f>
        <v>0.19185185185185186</v>
      </c>
      <c r="S42" s="142">
        <f>AgeStanSec!S42/86400</f>
        <v>0.25483796296296296</v>
      </c>
      <c r="T42" s="142">
        <f>AgeStanSec!T42/86400</f>
        <v>0.43309027777777775</v>
      </c>
      <c r="U42" s="142">
        <f>AgeStanSec!U42/86400</f>
        <v>0.47472222222222221</v>
      </c>
      <c r="V42" s="142">
        <f>AgeStanSec!V42/86400</f>
        <v>0.62994212962962959</v>
      </c>
      <c r="W42" s="47"/>
    </row>
    <row r="43" spans="1:23">
      <c r="A43" s="49">
        <v>42</v>
      </c>
      <c r="B43" s="172">
        <f>AgeStanSec!B43/86400</f>
        <v>2.8356481481481483E-3</v>
      </c>
      <c r="C43" s="169">
        <f>AgeStanSec!C43/86400</f>
        <v>9.5486111111111119E-3</v>
      </c>
      <c r="D43" s="142">
        <f>AgeStanSec!D43/86400</f>
        <v>1.150462962962963E-2</v>
      </c>
      <c r="E43" s="142">
        <f>AgeStanSec!E43/86400</f>
        <v>1.2361111111111111E-2</v>
      </c>
      <c r="F43" s="142">
        <f>AgeStanSec!F43/86400</f>
        <v>1.545138888888889E-2</v>
      </c>
      <c r="G43" s="142">
        <f>AgeStanSec!G43/86400</f>
        <v>1.556712962962963E-2</v>
      </c>
      <c r="H43" s="142">
        <f>AgeStanSec!H43/86400</f>
        <v>1.9421296296296298E-2</v>
      </c>
      <c r="I43" s="142">
        <f>AgeStanSec!I43/86400</f>
        <v>2.3449074074074074E-2</v>
      </c>
      <c r="J43" s="142">
        <f>AgeStanSec!J43/86400</f>
        <v>2.9537037037037039E-2</v>
      </c>
      <c r="K43" s="142">
        <f>AgeStanSec!K43/86400</f>
        <v>3.1724537037037037E-2</v>
      </c>
      <c r="L43" s="142">
        <f>AgeStanSec!L43/86400</f>
        <v>3.979166666666667E-2</v>
      </c>
      <c r="M43" s="142">
        <f>AgeStanSec!M43/86400</f>
        <v>4.2106481481481481E-2</v>
      </c>
      <c r="N43" s="142">
        <f>AgeStanSec!N43/86400</f>
        <v>4.9976851851851849E-2</v>
      </c>
      <c r="O43" s="142">
        <f>AgeStanSec!O43/86400</f>
        <v>6.0324074074074072E-2</v>
      </c>
      <c r="P43" s="142">
        <f>AgeStanSec!P43/86400</f>
        <v>8.7060185185185185E-2</v>
      </c>
      <c r="Q43" s="142">
        <f>AgeStanSec!Q43/86400</f>
        <v>0.10612268518518518</v>
      </c>
      <c r="R43" s="142">
        <f>AgeStanSec!R43/86400</f>
        <v>0.19348379629629631</v>
      </c>
      <c r="S43" s="142">
        <f>AgeStanSec!S43/86400</f>
        <v>0.25701388888888888</v>
      </c>
      <c r="T43" s="142">
        <f>AgeStanSec!T43/86400</f>
        <v>0.43678240740740742</v>
      </c>
      <c r="U43" s="142">
        <f>AgeStanSec!U43/86400</f>
        <v>0.47877314814814814</v>
      </c>
      <c r="V43" s="142">
        <f>AgeStanSec!V43/86400</f>
        <v>0.63531249999999995</v>
      </c>
      <c r="W43" s="47"/>
    </row>
    <row r="44" spans="1:23">
      <c r="A44" s="49">
        <v>43</v>
      </c>
      <c r="B44" s="172">
        <f>AgeStanSec!B44/86400</f>
        <v>2.8587962962962963E-3</v>
      </c>
      <c r="C44" s="169">
        <f>AgeStanSec!C44/86400</f>
        <v>9.618055555555555E-3</v>
      </c>
      <c r="D44" s="142">
        <f>AgeStanSec!D44/86400</f>
        <v>1.1597222222222222E-2</v>
      </c>
      <c r="E44" s="142">
        <f>AgeStanSec!E44/86400</f>
        <v>1.2453703703703703E-2</v>
      </c>
      <c r="F44" s="142">
        <f>AgeStanSec!F44/86400</f>
        <v>1.5578703703703704E-2</v>
      </c>
      <c r="G44" s="142">
        <f>AgeStanSec!G44/86400</f>
        <v>1.5682870370370371E-2</v>
      </c>
      <c r="H44" s="142">
        <f>AgeStanSec!H44/86400</f>
        <v>1.9583333333333335E-2</v>
      </c>
      <c r="I44" s="142">
        <f>AgeStanSec!I44/86400</f>
        <v>2.3645833333333335E-2</v>
      </c>
      <c r="J44" s="142">
        <f>AgeStanSec!J44/86400</f>
        <v>2.9768518518518517E-2</v>
      </c>
      <c r="K44" s="142">
        <f>AgeStanSec!K44/86400</f>
        <v>3.197916666666667E-2</v>
      </c>
      <c r="L44" s="142">
        <f>AgeStanSec!L44/86400</f>
        <v>4.0115740740740743E-2</v>
      </c>
      <c r="M44" s="142">
        <f>AgeStanSec!M44/86400</f>
        <v>4.2453703703703702E-2</v>
      </c>
      <c r="N44" s="142">
        <f>AgeStanSec!N44/86400</f>
        <v>5.0393518518518518E-2</v>
      </c>
      <c r="O44" s="142">
        <f>AgeStanSec!O44/86400</f>
        <v>6.0833333333333336E-2</v>
      </c>
      <c r="P44" s="142">
        <f>AgeStanSec!P44/86400</f>
        <v>8.7800925925925921E-2</v>
      </c>
      <c r="Q44" s="142">
        <f>AgeStanSec!Q44/86400</f>
        <v>0.10703703703703704</v>
      </c>
      <c r="R44" s="142">
        <f>AgeStanSec!R44/86400</f>
        <v>0.19515046296296296</v>
      </c>
      <c r="S44" s="142">
        <f>AgeStanSec!S44/86400</f>
        <v>0.25922453703703702</v>
      </c>
      <c r="T44" s="142">
        <f>AgeStanSec!T44/86400</f>
        <v>0.4405324074074074</v>
      </c>
      <c r="U44" s="142">
        <f>AgeStanSec!U44/86400</f>
        <v>0.48289351851851853</v>
      </c>
      <c r="V44" s="142">
        <f>AgeStanSec!V44/86400</f>
        <v>0.64077546296296295</v>
      </c>
      <c r="W44" s="47"/>
    </row>
    <row r="45" spans="1:23">
      <c r="A45" s="49">
        <v>44</v>
      </c>
      <c r="B45" s="172">
        <f>AgeStanSec!B45/86400</f>
        <v>2.8819444444444444E-3</v>
      </c>
      <c r="C45" s="169">
        <f>AgeStanSec!C45/86400</f>
        <v>9.6990740740740735E-3</v>
      </c>
      <c r="D45" s="142">
        <f>AgeStanSec!D45/86400</f>
        <v>1.1689814814814814E-2</v>
      </c>
      <c r="E45" s="142">
        <f>AgeStanSec!E45/86400</f>
        <v>1.255787037037037E-2</v>
      </c>
      <c r="F45" s="142">
        <f>AgeStanSec!F45/86400</f>
        <v>1.5694444444444445E-2</v>
      </c>
      <c r="G45" s="142">
        <f>AgeStanSec!G45/86400</f>
        <v>1.5810185185185184E-2</v>
      </c>
      <c r="H45" s="142">
        <f>AgeStanSec!H45/86400</f>
        <v>1.9733796296296298E-2</v>
      </c>
      <c r="I45" s="142">
        <f>AgeStanSec!I45/86400</f>
        <v>2.3831018518518519E-2</v>
      </c>
      <c r="J45" s="142">
        <f>AgeStanSec!J45/86400</f>
        <v>3.0023148148148149E-2</v>
      </c>
      <c r="K45" s="142">
        <f>AgeStanSec!K45/86400</f>
        <v>3.2245370370370369E-2</v>
      </c>
      <c r="L45" s="142">
        <f>AgeStanSec!L45/86400</f>
        <v>4.0451388888888891E-2</v>
      </c>
      <c r="M45" s="142">
        <f>AgeStanSec!M45/86400</f>
        <v>4.2800925925925923E-2</v>
      </c>
      <c r="N45" s="142">
        <f>AgeStanSec!N45/86400</f>
        <v>5.0821759259259261E-2</v>
      </c>
      <c r="O45" s="142">
        <f>AgeStanSec!O45/86400</f>
        <v>6.1354166666666668E-2</v>
      </c>
      <c r="P45" s="142">
        <f>AgeStanSec!P45/86400</f>
        <v>8.8564814814814818E-2</v>
      </c>
      <c r="Q45" s="142">
        <f>AgeStanSec!Q45/86400</f>
        <v>0.10796296296296297</v>
      </c>
      <c r="R45" s="142">
        <f>AgeStanSec!R45/86400</f>
        <v>0.19684027777777777</v>
      </c>
      <c r="S45" s="142">
        <f>AgeStanSec!S45/86400</f>
        <v>0.26146990740740739</v>
      </c>
      <c r="T45" s="142">
        <f>AgeStanSec!T45/86400</f>
        <v>0.44435185185185183</v>
      </c>
      <c r="U45" s="142">
        <f>AgeStanSec!U45/86400</f>
        <v>0.48708333333333331</v>
      </c>
      <c r="V45" s="142">
        <f>AgeStanSec!V45/86400</f>
        <v>0.64633101851851849</v>
      </c>
      <c r="W45" s="47"/>
    </row>
    <row r="46" spans="1:23">
      <c r="A46" s="54">
        <v>45</v>
      </c>
      <c r="B46" s="173">
        <f>AgeStanSec!B46/86400</f>
        <v>2.9166666666666668E-3</v>
      </c>
      <c r="C46" s="170">
        <f>AgeStanSec!C46/86400</f>
        <v>9.7685185185185184E-3</v>
      </c>
      <c r="D46" s="143">
        <f>AgeStanSec!D46/86400</f>
        <v>1.1782407407407408E-2</v>
      </c>
      <c r="E46" s="143">
        <f>AgeStanSec!E46/86400</f>
        <v>1.2650462962962962E-2</v>
      </c>
      <c r="F46" s="143">
        <f>AgeStanSec!F46/86400</f>
        <v>1.5821759259259258E-2</v>
      </c>
      <c r="G46" s="143">
        <f>AgeStanSec!G46/86400</f>
        <v>1.59375E-2</v>
      </c>
      <c r="H46" s="143">
        <f>AgeStanSec!H46/86400</f>
        <v>1.9895833333333335E-2</v>
      </c>
      <c r="I46" s="143">
        <f>AgeStanSec!I46/86400</f>
        <v>2.4027777777777776E-2</v>
      </c>
      <c r="J46" s="143">
        <f>AgeStanSec!J46/86400</f>
        <v>3.0266203703703705E-2</v>
      </c>
      <c r="K46" s="143">
        <f>AgeStanSec!K46/86400</f>
        <v>3.2511574074074075E-2</v>
      </c>
      <c r="L46" s="143">
        <f>AgeStanSec!L46/86400</f>
        <v>4.0787037037037038E-2</v>
      </c>
      <c r="M46" s="143">
        <f>AgeStanSec!M46/86400</f>
        <v>4.3171296296296298E-2</v>
      </c>
      <c r="N46" s="143">
        <f>AgeStanSec!N46/86400</f>
        <v>5.1249999999999997E-2</v>
      </c>
      <c r="O46" s="143">
        <f>AgeStanSec!O46/86400</f>
        <v>6.1886574074074073E-2</v>
      </c>
      <c r="P46" s="143">
        <f>AgeStanSec!P46/86400</f>
        <v>8.9340277777777782E-2</v>
      </c>
      <c r="Q46" s="143">
        <f>AgeStanSec!Q46/86400</f>
        <v>0.10891203703703704</v>
      </c>
      <c r="R46" s="143">
        <f>AgeStanSec!R46/86400</f>
        <v>0.19856481481481481</v>
      </c>
      <c r="S46" s="143">
        <f>AgeStanSec!S46/86400</f>
        <v>0.26376157407407408</v>
      </c>
      <c r="T46" s="143">
        <f>AgeStanSec!T46/86400</f>
        <v>0.44824074074074072</v>
      </c>
      <c r="U46" s="143">
        <f>AgeStanSec!U46/86400</f>
        <v>0.49134259259259261</v>
      </c>
      <c r="V46" s="143">
        <f>AgeStanSec!V46/86400</f>
        <v>0.6519907407407407</v>
      </c>
      <c r="W46" s="47"/>
    </row>
    <row r="47" spans="1:23">
      <c r="A47" s="49">
        <v>46</v>
      </c>
      <c r="B47" s="172">
        <f>AgeStanSec!B47/86400</f>
        <v>2.9398148148148148E-3</v>
      </c>
      <c r="C47" s="169">
        <f>AgeStanSec!C47/86400</f>
        <v>9.8495370370370369E-3</v>
      </c>
      <c r="D47" s="142">
        <f>AgeStanSec!D47/86400</f>
        <v>1.1875E-2</v>
      </c>
      <c r="E47" s="142">
        <f>AgeStanSec!E47/86400</f>
        <v>1.275462962962963E-2</v>
      </c>
      <c r="F47" s="142">
        <f>AgeStanSec!F47/86400</f>
        <v>1.5949074074074074E-2</v>
      </c>
      <c r="G47" s="142">
        <f>AgeStanSec!G47/86400</f>
        <v>1.6064814814814816E-2</v>
      </c>
      <c r="H47" s="142">
        <f>AgeStanSec!H47/86400</f>
        <v>2.0057870370370372E-2</v>
      </c>
      <c r="I47" s="142">
        <f>AgeStanSec!I47/86400</f>
        <v>2.4236111111111111E-2</v>
      </c>
      <c r="J47" s="142">
        <f>AgeStanSec!J47/86400</f>
        <v>3.0520833333333334E-2</v>
      </c>
      <c r="K47" s="142">
        <f>AgeStanSec!K47/86400</f>
        <v>3.2777777777777781E-2</v>
      </c>
      <c r="L47" s="142">
        <f>AgeStanSec!L47/86400</f>
        <v>4.1134259259259259E-2</v>
      </c>
      <c r="M47" s="142">
        <f>AgeStanSec!M47/86400</f>
        <v>4.3530092592592592E-2</v>
      </c>
      <c r="N47" s="142">
        <f>AgeStanSec!N47/86400</f>
        <v>5.1689814814814813E-2</v>
      </c>
      <c r="O47" s="142">
        <f>AgeStanSec!O47/86400</f>
        <v>6.2418981481481478E-2</v>
      </c>
      <c r="P47" s="142">
        <f>AgeStanSec!P47/86400</f>
        <v>9.0127314814814813E-2</v>
      </c>
      <c r="Q47" s="142">
        <f>AgeStanSec!Q47/86400</f>
        <v>0.10987268518518518</v>
      </c>
      <c r="R47" s="142">
        <f>AgeStanSec!R47/86400</f>
        <v>0.2003125</v>
      </c>
      <c r="S47" s="142">
        <f>AgeStanSec!S47/86400</f>
        <v>0.26608796296296294</v>
      </c>
      <c r="T47" s="142">
        <f>AgeStanSec!T47/86400</f>
        <v>0.45219907407407406</v>
      </c>
      <c r="U47" s="142">
        <f>AgeStanSec!U47/86400</f>
        <v>0.4956712962962963</v>
      </c>
      <c r="V47" s="142">
        <f>AgeStanSec!V47/86400</f>
        <v>0.65774305555555557</v>
      </c>
      <c r="W47" s="47"/>
    </row>
    <row r="48" spans="1:23">
      <c r="A48" s="49">
        <v>47</v>
      </c>
      <c r="B48" s="172">
        <f>AgeStanSec!B48/86400</f>
        <v>2.9629629629629628E-3</v>
      </c>
      <c r="C48" s="169">
        <f>AgeStanSec!C48/86400</f>
        <v>9.9189814814814817E-3</v>
      </c>
      <c r="D48" s="142">
        <f>AgeStanSec!D48/86400</f>
        <v>1.1967592592592592E-2</v>
      </c>
      <c r="E48" s="142">
        <f>AgeStanSec!E48/86400</f>
        <v>1.2847222222222222E-2</v>
      </c>
      <c r="F48" s="142">
        <f>AgeStanSec!F48/86400</f>
        <v>1.607638888888889E-2</v>
      </c>
      <c r="G48" s="142">
        <f>AgeStanSec!G48/86400</f>
        <v>1.6192129629629629E-2</v>
      </c>
      <c r="H48" s="142">
        <f>AgeStanSec!H48/86400</f>
        <v>2.0231481481481482E-2</v>
      </c>
      <c r="I48" s="142">
        <f>AgeStanSec!I48/86400</f>
        <v>2.4432870370370369E-2</v>
      </c>
      <c r="J48" s="142">
        <f>AgeStanSec!J48/86400</f>
        <v>3.0775462962962963E-2</v>
      </c>
      <c r="K48" s="142">
        <f>AgeStanSec!K48/86400</f>
        <v>3.3055555555555553E-2</v>
      </c>
      <c r="L48" s="142">
        <f>AgeStanSec!L48/86400</f>
        <v>4.148148148148148E-2</v>
      </c>
      <c r="M48" s="142">
        <f>AgeStanSec!M48/86400</f>
        <v>4.3900462962962961E-2</v>
      </c>
      <c r="N48" s="142">
        <f>AgeStanSec!N48/86400</f>
        <v>5.212962962962963E-2</v>
      </c>
      <c r="O48" s="142">
        <f>AgeStanSec!O48/86400</f>
        <v>6.2962962962962957E-2</v>
      </c>
      <c r="P48" s="142">
        <f>AgeStanSec!P48/86400</f>
        <v>9.0925925925925924E-2</v>
      </c>
      <c r="Q48" s="142">
        <f>AgeStanSec!Q48/86400</f>
        <v>0.11085648148148149</v>
      </c>
      <c r="R48" s="142">
        <f>AgeStanSec!R48/86400</f>
        <v>0.2020949074074074</v>
      </c>
      <c r="S48" s="142">
        <f>AgeStanSec!S48/86400</f>
        <v>0.26846064814814813</v>
      </c>
      <c r="T48" s="142">
        <f>AgeStanSec!T48/86400</f>
        <v>0.45622685185185186</v>
      </c>
      <c r="U48" s="142">
        <f>AgeStanSec!U48/86400</f>
        <v>0.50009259259259264</v>
      </c>
      <c r="V48" s="142">
        <f>AgeStanSec!V48/86400</f>
        <v>0.663599537037037</v>
      </c>
      <c r="W48" s="47"/>
    </row>
    <row r="49" spans="1:23">
      <c r="A49" s="49">
        <v>48</v>
      </c>
      <c r="B49" s="172">
        <f>AgeStanSec!B49/86400</f>
        <v>2.9861111111111113E-3</v>
      </c>
      <c r="C49" s="169">
        <f>AgeStanSec!C49/86400</f>
        <v>0.01</v>
      </c>
      <c r="D49" s="142">
        <f>AgeStanSec!D49/86400</f>
        <v>1.2060185185185186E-2</v>
      </c>
      <c r="E49" s="142">
        <f>AgeStanSec!E49/86400</f>
        <v>1.2951388888888889E-2</v>
      </c>
      <c r="F49" s="142">
        <f>AgeStanSec!F49/86400</f>
        <v>1.6215277777777776E-2</v>
      </c>
      <c r="G49" s="142">
        <f>AgeStanSec!G49/86400</f>
        <v>1.6331018518518519E-2</v>
      </c>
      <c r="H49" s="142">
        <f>AgeStanSec!H49/86400</f>
        <v>2.0393518518518519E-2</v>
      </c>
      <c r="I49" s="142">
        <f>AgeStanSec!I49/86400</f>
        <v>2.4641203703703703E-2</v>
      </c>
      <c r="J49" s="142">
        <f>AgeStanSec!J49/86400</f>
        <v>3.1041666666666665E-2</v>
      </c>
      <c r="K49" s="142">
        <f>AgeStanSec!K49/86400</f>
        <v>3.3344907407407406E-2</v>
      </c>
      <c r="L49" s="142">
        <f>AgeStanSec!L49/86400</f>
        <v>4.1840277777777775E-2</v>
      </c>
      <c r="M49" s="142">
        <f>AgeStanSec!M49/86400</f>
        <v>4.4282407407407409E-2</v>
      </c>
      <c r="N49" s="142">
        <f>AgeStanSec!N49/86400</f>
        <v>5.258101851851852E-2</v>
      </c>
      <c r="O49" s="142">
        <f>AgeStanSec!O49/86400</f>
        <v>6.3518518518518516E-2</v>
      </c>
      <c r="P49" s="142">
        <f>AgeStanSec!P49/86400</f>
        <v>9.1747685185185182E-2</v>
      </c>
      <c r="Q49" s="142">
        <f>AgeStanSec!Q49/86400</f>
        <v>0.11185185185185186</v>
      </c>
      <c r="R49" s="142">
        <f>AgeStanSec!R49/86400</f>
        <v>0.20391203703703703</v>
      </c>
      <c r="S49" s="142">
        <f>AgeStanSec!S49/86400</f>
        <v>0.27086805555555554</v>
      </c>
      <c r="T49" s="142">
        <f>AgeStanSec!T49/86400</f>
        <v>0.46032407407407405</v>
      </c>
      <c r="U49" s="142">
        <f>AgeStanSec!U49/86400</f>
        <v>0.50458333333333338</v>
      </c>
      <c r="V49" s="142">
        <f>AgeStanSec!V49/86400</f>
        <v>0.66956018518518523</v>
      </c>
      <c r="W49" s="47"/>
    </row>
    <row r="50" spans="1:23">
      <c r="A50" s="49">
        <v>49</v>
      </c>
      <c r="B50" s="172">
        <f>AgeStanSec!B50/86400</f>
        <v>3.0208333333333333E-3</v>
      </c>
      <c r="C50" s="169">
        <f>AgeStanSec!C50/86400</f>
        <v>1.0081018518518519E-2</v>
      </c>
      <c r="D50" s="142">
        <f>AgeStanSec!D50/86400</f>
        <v>1.2152777777777778E-2</v>
      </c>
      <c r="E50" s="142">
        <f>AgeStanSec!E50/86400</f>
        <v>1.306712962962963E-2</v>
      </c>
      <c r="F50" s="142">
        <f>AgeStanSec!F50/86400</f>
        <v>1.6342592592592593E-2</v>
      </c>
      <c r="G50" s="142">
        <f>AgeStanSec!G50/86400</f>
        <v>1.6458333333333332E-2</v>
      </c>
      <c r="H50" s="142">
        <f>AgeStanSec!H50/86400</f>
        <v>2.056712962962963E-2</v>
      </c>
      <c r="I50" s="142">
        <f>AgeStanSec!I50/86400</f>
        <v>2.4849537037037038E-2</v>
      </c>
      <c r="J50" s="142">
        <f>AgeStanSec!J50/86400</f>
        <v>3.1307870370370368E-2</v>
      </c>
      <c r="K50" s="142">
        <f>AgeStanSec!K50/86400</f>
        <v>3.363425925925926E-2</v>
      </c>
      <c r="L50" s="142">
        <f>AgeStanSec!L50/86400</f>
        <v>4.221064814814815E-2</v>
      </c>
      <c r="M50" s="142">
        <f>AgeStanSec!M50/86400</f>
        <v>4.4664351851851851E-2</v>
      </c>
      <c r="N50" s="142">
        <f>AgeStanSec!N50/86400</f>
        <v>5.3043981481481484E-2</v>
      </c>
      <c r="O50" s="142">
        <f>AgeStanSec!O50/86400</f>
        <v>6.4085648148148142E-2</v>
      </c>
      <c r="P50" s="142">
        <f>AgeStanSec!P50/86400</f>
        <v>9.2581018518518521E-2</v>
      </c>
      <c r="Q50" s="142">
        <f>AgeStanSec!Q50/86400</f>
        <v>0.11285879629629629</v>
      </c>
      <c r="R50" s="142">
        <f>AgeStanSec!R50/86400</f>
        <v>0.20576388888888889</v>
      </c>
      <c r="S50" s="142">
        <f>AgeStanSec!S50/86400</f>
        <v>0.27332175925925928</v>
      </c>
      <c r="T50" s="142">
        <f>AgeStanSec!T50/86400</f>
        <v>0.4645023148148148</v>
      </c>
      <c r="U50" s="142">
        <f>AgeStanSec!U50/86400</f>
        <v>0.50915509259259262</v>
      </c>
      <c r="V50" s="142">
        <f>AgeStanSec!V50/86400</f>
        <v>0.67563657407407407</v>
      </c>
      <c r="W50" s="47"/>
    </row>
    <row r="51" spans="1:23">
      <c r="A51" s="54">
        <v>50</v>
      </c>
      <c r="B51" s="173">
        <f>AgeStanSec!B51/86400</f>
        <v>3.0439814814814813E-3</v>
      </c>
      <c r="C51" s="170">
        <f>AgeStanSec!C51/86400</f>
        <v>1.0162037037037037E-2</v>
      </c>
      <c r="D51" s="143">
        <f>AgeStanSec!D51/86400</f>
        <v>1.2256944444444445E-2</v>
      </c>
      <c r="E51" s="143">
        <f>AgeStanSec!E51/86400</f>
        <v>1.3171296296296296E-2</v>
      </c>
      <c r="F51" s="143">
        <f>AgeStanSec!F51/86400</f>
        <v>1.6481481481481482E-2</v>
      </c>
      <c r="G51" s="143">
        <f>AgeStanSec!G51/86400</f>
        <v>1.6597222222222222E-2</v>
      </c>
      <c r="H51" s="143">
        <f>AgeStanSec!H51/86400</f>
        <v>2.074074074074074E-2</v>
      </c>
      <c r="I51" s="143">
        <f>AgeStanSec!I51/86400</f>
        <v>2.5057870370370369E-2</v>
      </c>
      <c r="J51" s="143">
        <f>AgeStanSec!J51/86400</f>
        <v>3.1574074074074074E-2</v>
      </c>
      <c r="K51" s="143">
        <f>AgeStanSec!K51/86400</f>
        <v>3.3923611111111113E-2</v>
      </c>
      <c r="L51" s="143">
        <f>AgeStanSec!L51/86400</f>
        <v>4.2581018518518518E-2</v>
      </c>
      <c r="M51" s="143">
        <f>AgeStanSec!M51/86400</f>
        <v>4.5057870370370373E-2</v>
      </c>
      <c r="N51" s="143">
        <f>AgeStanSec!N51/86400</f>
        <v>5.3518518518518521E-2</v>
      </c>
      <c r="O51" s="143">
        <f>AgeStanSec!O51/86400</f>
        <v>6.4664351851851848E-2</v>
      </c>
      <c r="P51" s="143">
        <f>AgeStanSec!P51/86400</f>
        <v>9.3425925925925926E-2</v>
      </c>
      <c r="Q51" s="143">
        <f>AgeStanSec!Q51/86400</f>
        <v>0.11388888888888889</v>
      </c>
      <c r="R51" s="143">
        <f>AgeStanSec!R51/86400</f>
        <v>0.2076388888888889</v>
      </c>
      <c r="S51" s="143">
        <f>AgeStanSec!S51/86400</f>
        <v>0.27582175925925928</v>
      </c>
      <c r="T51" s="143">
        <f>AgeStanSec!T51/86400</f>
        <v>0.46875</v>
      </c>
      <c r="U51" s="143">
        <f>AgeStanSec!U51/86400</f>
        <v>0.5138194444444445</v>
      </c>
      <c r="V51" s="143">
        <f>AgeStanSec!V51/86400</f>
        <v>0.68181712962962959</v>
      </c>
      <c r="W51" s="47"/>
    </row>
    <row r="52" spans="1:23">
      <c r="A52" s="49">
        <v>51</v>
      </c>
      <c r="B52" s="172">
        <f>AgeStanSec!B52/86400</f>
        <v>3.0671296296296297E-3</v>
      </c>
      <c r="C52" s="169">
        <f>AgeStanSec!C52/86400</f>
        <v>1.0243055555555556E-2</v>
      </c>
      <c r="D52" s="142">
        <f>AgeStanSec!D52/86400</f>
        <v>1.2361111111111111E-2</v>
      </c>
      <c r="E52" s="142">
        <f>AgeStanSec!E52/86400</f>
        <v>1.3275462962962963E-2</v>
      </c>
      <c r="F52" s="142">
        <f>AgeStanSec!F52/86400</f>
        <v>1.6620370370370369E-2</v>
      </c>
      <c r="G52" s="142">
        <f>AgeStanSec!G52/86400</f>
        <v>1.6736111111111111E-2</v>
      </c>
      <c r="H52" s="142">
        <f>AgeStanSec!H52/86400</f>
        <v>2.0925925925925924E-2</v>
      </c>
      <c r="I52" s="142">
        <f>AgeStanSec!I52/86400</f>
        <v>2.5277777777777777E-2</v>
      </c>
      <c r="J52" s="142">
        <f>AgeStanSec!J52/86400</f>
        <v>3.1851851851851853E-2</v>
      </c>
      <c r="K52" s="142">
        <f>AgeStanSec!K52/86400</f>
        <v>3.4212962962962966E-2</v>
      </c>
      <c r="L52" s="142">
        <f>AgeStanSec!L52/86400</f>
        <v>4.2951388888888886E-2</v>
      </c>
      <c r="M52" s="142">
        <f>AgeStanSec!M52/86400</f>
        <v>4.5462962962962962E-2</v>
      </c>
      <c r="N52" s="142">
        <f>AgeStanSec!N52/86400</f>
        <v>5.4004629629629632E-2</v>
      </c>
      <c r="O52" s="142">
        <f>AgeStanSec!O52/86400</f>
        <v>6.5243055555555554E-2</v>
      </c>
      <c r="P52" s="142">
        <f>AgeStanSec!P52/86400</f>
        <v>9.4293981481481479E-2</v>
      </c>
      <c r="Q52" s="142">
        <f>AgeStanSec!Q52/86400</f>
        <v>0.11494212962962963</v>
      </c>
      <c r="R52" s="142">
        <f>AgeStanSec!R52/86400</f>
        <v>0.20956018518518518</v>
      </c>
      <c r="S52" s="142">
        <f>AgeStanSec!S52/86400</f>
        <v>0.27836805555555555</v>
      </c>
      <c r="T52" s="142">
        <f>AgeStanSec!T52/86400</f>
        <v>0.4730787037037037</v>
      </c>
      <c r="U52" s="142">
        <f>AgeStanSec!U52/86400</f>
        <v>0.51856481481481487</v>
      </c>
      <c r="V52" s="142">
        <f>AgeStanSec!V52/86400</f>
        <v>0.68811342592592595</v>
      </c>
      <c r="W52" s="47"/>
    </row>
    <row r="53" spans="1:23">
      <c r="A53" s="49">
        <v>52</v>
      </c>
      <c r="B53" s="172">
        <f>AgeStanSec!B53/86400</f>
        <v>3.1018518518518517E-3</v>
      </c>
      <c r="C53" s="169">
        <f>AgeStanSec!C53/86400</f>
        <v>1.0324074074074074E-2</v>
      </c>
      <c r="D53" s="142">
        <f>AgeStanSec!D53/86400</f>
        <v>1.2465277777777778E-2</v>
      </c>
      <c r="E53" s="142">
        <f>AgeStanSec!E53/86400</f>
        <v>1.3391203703703704E-2</v>
      </c>
      <c r="F53" s="142">
        <f>AgeStanSec!F53/86400</f>
        <v>1.6759259259259258E-2</v>
      </c>
      <c r="G53" s="142">
        <f>AgeStanSec!G53/86400</f>
        <v>1.6875000000000001E-2</v>
      </c>
      <c r="H53" s="142">
        <f>AgeStanSec!H53/86400</f>
        <v>2.1099537037037038E-2</v>
      </c>
      <c r="I53" s="142">
        <f>AgeStanSec!I53/86400</f>
        <v>2.5497685185185186E-2</v>
      </c>
      <c r="J53" s="142">
        <f>AgeStanSec!J53/86400</f>
        <v>3.2129629629629633E-2</v>
      </c>
      <c r="K53" s="142">
        <f>AgeStanSec!K53/86400</f>
        <v>3.4513888888888886E-2</v>
      </c>
      <c r="L53" s="142">
        <f>AgeStanSec!L53/86400</f>
        <v>4.3333333333333335E-2</v>
      </c>
      <c r="M53" s="142">
        <f>AgeStanSec!M53/86400</f>
        <v>4.5868055555555558E-2</v>
      </c>
      <c r="N53" s="142">
        <f>AgeStanSec!N53/86400</f>
        <v>5.4479166666666669E-2</v>
      </c>
      <c r="O53" s="142">
        <f>AgeStanSec!O53/86400</f>
        <v>6.5833333333333327E-2</v>
      </c>
      <c r="P53" s="142">
        <f>AgeStanSec!P53/86400</f>
        <v>9.5173611111111112E-2</v>
      </c>
      <c r="Q53" s="142">
        <f>AgeStanSec!Q53/86400</f>
        <v>0.11601851851851852</v>
      </c>
      <c r="R53" s="142">
        <f>AgeStanSec!R53/86400</f>
        <v>0.21151620370370369</v>
      </c>
      <c r="S53" s="142">
        <f>AgeStanSec!S53/86400</f>
        <v>0.28096064814814814</v>
      </c>
      <c r="T53" s="142">
        <f>AgeStanSec!T53/86400</f>
        <v>0.47748842592592594</v>
      </c>
      <c r="U53" s="142">
        <f>AgeStanSec!U53/86400</f>
        <v>0.52339120370370373</v>
      </c>
      <c r="V53" s="142">
        <f>AgeStanSec!V53/86400</f>
        <v>0.69452546296296291</v>
      </c>
      <c r="W53" s="47"/>
    </row>
    <row r="54" spans="1:23">
      <c r="A54" s="49">
        <v>53</v>
      </c>
      <c r="B54" s="172">
        <f>AgeStanSec!B54/86400</f>
        <v>3.1250000000000002E-3</v>
      </c>
      <c r="C54" s="169">
        <f>AgeStanSec!C54/86400</f>
        <v>1.0405092592592593E-2</v>
      </c>
      <c r="D54" s="142">
        <f>AgeStanSec!D54/86400</f>
        <v>1.2569444444444444E-2</v>
      </c>
      <c r="E54" s="142">
        <f>AgeStanSec!E54/86400</f>
        <v>1.3495370370370371E-2</v>
      </c>
      <c r="F54" s="142">
        <f>AgeStanSec!F54/86400</f>
        <v>1.6898148148148148E-2</v>
      </c>
      <c r="G54" s="142">
        <f>AgeStanSec!G54/86400</f>
        <v>1.7025462962962964E-2</v>
      </c>
      <c r="H54" s="142">
        <f>AgeStanSec!H54/86400</f>
        <v>2.1284722222222222E-2</v>
      </c>
      <c r="I54" s="142">
        <f>AgeStanSec!I54/86400</f>
        <v>2.5717592592592594E-2</v>
      </c>
      <c r="J54" s="142">
        <f>AgeStanSec!J54/86400</f>
        <v>3.2418981481481479E-2</v>
      </c>
      <c r="K54" s="142">
        <f>AgeStanSec!K54/86400</f>
        <v>3.4826388888888886E-2</v>
      </c>
      <c r="L54" s="142">
        <f>AgeStanSec!L54/86400</f>
        <v>4.372685185185185E-2</v>
      </c>
      <c r="M54" s="142">
        <f>AgeStanSec!M54/86400</f>
        <v>4.6273148148148147E-2</v>
      </c>
      <c r="N54" s="142">
        <f>AgeStanSec!N54/86400</f>
        <v>5.4976851851851853E-2</v>
      </c>
      <c r="O54" s="142">
        <f>AgeStanSec!O54/86400</f>
        <v>6.6446759259259261E-2</v>
      </c>
      <c r="P54" s="142">
        <f>AgeStanSec!P54/86400</f>
        <v>9.6064814814814811E-2</v>
      </c>
      <c r="Q54" s="142">
        <f>AgeStanSec!Q54/86400</f>
        <v>0.11710648148148148</v>
      </c>
      <c r="R54" s="142">
        <f>AgeStanSec!R54/86400</f>
        <v>0.21350694444444446</v>
      </c>
      <c r="S54" s="142">
        <f>AgeStanSec!S54/86400</f>
        <v>0.28361111111111109</v>
      </c>
      <c r="T54" s="142">
        <f>AgeStanSec!T54/86400</f>
        <v>0.48197916666666668</v>
      </c>
      <c r="U54" s="142">
        <f>AgeStanSec!U54/86400</f>
        <v>0.52831018518518513</v>
      </c>
      <c r="V54" s="142">
        <f>AgeStanSec!V54/86400</f>
        <v>0.70105324074074071</v>
      </c>
      <c r="W54" s="47"/>
    </row>
    <row r="55" spans="1:23">
      <c r="A55" s="49">
        <v>54</v>
      </c>
      <c r="B55" s="172">
        <f>AgeStanSec!B55/86400</f>
        <v>3.1597222222222222E-3</v>
      </c>
      <c r="C55" s="169">
        <f>AgeStanSec!C55/86400</f>
        <v>1.0497685185185185E-2</v>
      </c>
      <c r="D55" s="142">
        <f>AgeStanSec!D55/86400</f>
        <v>1.2673611111111111E-2</v>
      </c>
      <c r="E55" s="142">
        <f>AgeStanSec!E55/86400</f>
        <v>1.361111111111111E-2</v>
      </c>
      <c r="F55" s="142">
        <f>AgeStanSec!F55/86400</f>
        <v>1.7048611111111112E-2</v>
      </c>
      <c r="G55" s="142">
        <f>AgeStanSec!G55/86400</f>
        <v>1.7175925925925924E-2</v>
      </c>
      <c r="H55" s="142">
        <f>AgeStanSec!H55/86400</f>
        <v>2.1469907407407406E-2</v>
      </c>
      <c r="I55" s="142">
        <f>AgeStanSec!I55/86400</f>
        <v>2.5949074074074076E-2</v>
      </c>
      <c r="J55" s="142">
        <f>AgeStanSec!J55/86400</f>
        <v>3.2708333333333332E-2</v>
      </c>
      <c r="K55" s="142">
        <f>AgeStanSec!K55/86400</f>
        <v>3.5138888888888886E-2</v>
      </c>
      <c r="L55" s="142">
        <f>AgeStanSec!L55/86400</f>
        <v>4.4120370370370372E-2</v>
      </c>
      <c r="M55" s="142">
        <f>AgeStanSec!M55/86400</f>
        <v>4.670138888888889E-2</v>
      </c>
      <c r="N55" s="142">
        <f>AgeStanSec!N55/86400</f>
        <v>5.5486111111111111E-2</v>
      </c>
      <c r="O55" s="142">
        <f>AgeStanSec!O55/86400</f>
        <v>6.7060185185185181E-2</v>
      </c>
      <c r="P55" s="142">
        <f>AgeStanSec!P55/86400</f>
        <v>9.6979166666666672E-2</v>
      </c>
      <c r="Q55" s="142">
        <f>AgeStanSec!Q55/86400</f>
        <v>0.1182175925925926</v>
      </c>
      <c r="R55" s="142">
        <f>AgeStanSec!R55/86400</f>
        <v>0.21553240740740739</v>
      </c>
      <c r="S55" s="142">
        <f>AgeStanSec!S55/86400</f>
        <v>0.28630787037037037</v>
      </c>
      <c r="T55" s="142">
        <f>AgeStanSec!T55/86400</f>
        <v>0.48655092592592591</v>
      </c>
      <c r="U55" s="142">
        <f>AgeStanSec!U55/86400</f>
        <v>0.53333333333333333</v>
      </c>
      <c r="V55" s="142">
        <f>AgeStanSec!V55/86400</f>
        <v>0.70770833333333338</v>
      </c>
      <c r="W55" s="47"/>
    </row>
    <row r="56" spans="1:23">
      <c r="A56" s="54">
        <v>55</v>
      </c>
      <c r="B56" s="173">
        <f>AgeStanSec!B56/86400</f>
        <v>3.1828703703703702E-3</v>
      </c>
      <c r="C56" s="170">
        <f>AgeStanSec!C56/86400</f>
        <v>1.0578703703703703E-2</v>
      </c>
      <c r="D56" s="143">
        <f>AgeStanSec!D56/86400</f>
        <v>1.2777777777777779E-2</v>
      </c>
      <c r="E56" s="143">
        <f>AgeStanSec!E56/86400</f>
        <v>1.3726851851851851E-2</v>
      </c>
      <c r="F56" s="143">
        <f>AgeStanSec!F56/86400</f>
        <v>1.7199074074074075E-2</v>
      </c>
      <c r="G56" s="143">
        <f>AgeStanSec!G56/86400</f>
        <v>1.7314814814814814E-2</v>
      </c>
      <c r="H56" s="143">
        <f>AgeStanSec!H56/86400</f>
        <v>2.1666666666666667E-2</v>
      </c>
      <c r="I56" s="143">
        <f>AgeStanSec!I56/86400</f>
        <v>2.6180555555555554E-2</v>
      </c>
      <c r="J56" s="143">
        <f>AgeStanSec!J56/86400</f>
        <v>3.2997685185185185E-2</v>
      </c>
      <c r="K56" s="143">
        <f>AgeStanSec!K56/86400</f>
        <v>3.5451388888888886E-2</v>
      </c>
      <c r="L56" s="143">
        <f>AgeStanSec!L56/86400</f>
        <v>4.4525462962962961E-2</v>
      </c>
      <c r="M56" s="143">
        <f>AgeStanSec!M56/86400</f>
        <v>4.7129629629629632E-2</v>
      </c>
      <c r="N56" s="143">
        <f>AgeStanSec!N56/86400</f>
        <v>5.6006944444444443E-2</v>
      </c>
      <c r="O56" s="143">
        <f>AgeStanSec!O56/86400</f>
        <v>6.7696759259259262E-2</v>
      </c>
      <c r="P56" s="143">
        <f>AgeStanSec!P56/86400</f>
        <v>9.7905092592592599E-2</v>
      </c>
      <c r="Q56" s="143">
        <f>AgeStanSec!Q56/86400</f>
        <v>0.11935185185185185</v>
      </c>
      <c r="R56" s="143">
        <f>AgeStanSec!R56/86400</f>
        <v>0.21759259259259259</v>
      </c>
      <c r="S56" s="143">
        <f>AgeStanSec!S56/86400</f>
        <v>0.28905092592592591</v>
      </c>
      <c r="T56" s="143">
        <f>AgeStanSec!T56/86400</f>
        <v>0.49121527777777779</v>
      </c>
      <c r="U56" s="143">
        <f>AgeStanSec!U56/86400</f>
        <v>0.53844907407407405</v>
      </c>
      <c r="V56" s="143">
        <f>AgeStanSec!V56/86400</f>
        <v>0.71450231481481485</v>
      </c>
      <c r="W56" s="47"/>
    </row>
    <row r="57" spans="1:23">
      <c r="A57" s="49">
        <v>56</v>
      </c>
      <c r="B57" s="172">
        <f>AgeStanSec!B57/86400</f>
        <v>3.2175925925925926E-3</v>
      </c>
      <c r="C57" s="169">
        <f>AgeStanSec!C57/86400</f>
        <v>1.0671296296296297E-2</v>
      </c>
      <c r="D57" s="142">
        <f>AgeStanSec!D57/86400</f>
        <v>1.2881944444444444E-2</v>
      </c>
      <c r="E57" s="142">
        <f>AgeStanSec!E57/86400</f>
        <v>1.3842592592592592E-2</v>
      </c>
      <c r="F57" s="142">
        <f>AgeStanSec!F57/86400</f>
        <v>1.7349537037037038E-2</v>
      </c>
      <c r="G57" s="142">
        <f>AgeStanSec!G57/86400</f>
        <v>1.7476851851851851E-2</v>
      </c>
      <c r="H57" s="142">
        <f>AgeStanSec!H57/86400</f>
        <v>2.1851851851851851E-2</v>
      </c>
      <c r="I57" s="142">
        <f>AgeStanSec!I57/86400</f>
        <v>2.6412037037037036E-2</v>
      </c>
      <c r="J57" s="142">
        <f>AgeStanSec!J57/86400</f>
        <v>3.3298611111111112E-2</v>
      </c>
      <c r="K57" s="142">
        <f>AgeStanSec!K57/86400</f>
        <v>3.577546296296296E-2</v>
      </c>
      <c r="L57" s="142">
        <f>AgeStanSec!L57/86400</f>
        <v>4.494212962962963E-2</v>
      </c>
      <c r="M57" s="142">
        <f>AgeStanSec!M57/86400</f>
        <v>4.7569444444444442E-2</v>
      </c>
      <c r="N57" s="142">
        <f>AgeStanSec!N57/86400</f>
        <v>5.6527777777777781E-2</v>
      </c>
      <c r="O57" s="142">
        <f>AgeStanSec!O57/86400</f>
        <v>6.8333333333333329E-2</v>
      </c>
      <c r="P57" s="142">
        <f>AgeStanSec!P57/86400</f>
        <v>9.8854166666666674E-2</v>
      </c>
      <c r="Q57" s="142">
        <f>AgeStanSec!Q57/86400</f>
        <v>0.12050925925925926</v>
      </c>
      <c r="R57" s="142">
        <f>AgeStanSec!R57/86400</f>
        <v>0.21969907407407407</v>
      </c>
      <c r="S57" s="142">
        <f>AgeStanSec!S57/86400</f>
        <v>0.29184027777777777</v>
      </c>
      <c r="T57" s="142">
        <f>AgeStanSec!T57/86400</f>
        <v>0.4959722222222222</v>
      </c>
      <c r="U57" s="142">
        <f>AgeStanSec!U57/86400</f>
        <v>0.54365740740740742</v>
      </c>
      <c r="V57" s="142">
        <f>AgeStanSec!V57/86400</f>
        <v>0.72141203703703705</v>
      </c>
      <c r="W57" s="47"/>
    </row>
    <row r="58" spans="1:23">
      <c r="A58" s="49">
        <v>57</v>
      </c>
      <c r="B58" s="172">
        <f>AgeStanSec!B58/86400</f>
        <v>3.2523148148148147E-3</v>
      </c>
      <c r="C58" s="169">
        <f>AgeStanSec!C58/86400</f>
        <v>1.0763888888888889E-2</v>
      </c>
      <c r="D58" s="142">
        <f>AgeStanSec!D58/86400</f>
        <v>1.2997685185185185E-2</v>
      </c>
      <c r="E58" s="142">
        <f>AgeStanSec!E58/86400</f>
        <v>1.3969907407407407E-2</v>
      </c>
      <c r="F58" s="142">
        <f>AgeStanSec!F58/86400</f>
        <v>1.7500000000000002E-2</v>
      </c>
      <c r="G58" s="142">
        <f>AgeStanSec!G58/86400</f>
        <v>1.7627314814814814E-2</v>
      </c>
      <c r="H58" s="142">
        <f>AgeStanSec!H58/86400</f>
        <v>2.2048611111111113E-2</v>
      </c>
      <c r="I58" s="142">
        <f>AgeStanSec!I58/86400</f>
        <v>2.6655092592592591E-2</v>
      </c>
      <c r="J58" s="142">
        <f>AgeStanSec!J58/86400</f>
        <v>3.3611111111111112E-2</v>
      </c>
      <c r="K58" s="142">
        <f>AgeStanSec!K58/86400</f>
        <v>3.6111111111111108E-2</v>
      </c>
      <c r="L58" s="142">
        <f>AgeStanSec!L58/86400</f>
        <v>4.5358796296296293E-2</v>
      </c>
      <c r="M58" s="142">
        <f>AgeStanSec!M58/86400</f>
        <v>4.8009259259259258E-2</v>
      </c>
      <c r="N58" s="142">
        <f>AgeStanSec!N58/86400</f>
        <v>5.7060185185185186E-2</v>
      </c>
      <c r="O58" s="142">
        <f>AgeStanSec!O58/86400</f>
        <v>6.8993055555555557E-2</v>
      </c>
      <c r="P58" s="142">
        <f>AgeStanSec!P58/86400</f>
        <v>9.9814814814814815E-2</v>
      </c>
      <c r="Q58" s="142">
        <f>AgeStanSec!Q58/86400</f>
        <v>0.12168981481481482</v>
      </c>
      <c r="R58" s="142">
        <f>AgeStanSec!R58/86400</f>
        <v>0.22185185185185186</v>
      </c>
      <c r="S58" s="142">
        <f>AgeStanSec!S58/86400</f>
        <v>0.29469907407407409</v>
      </c>
      <c r="T58" s="142">
        <f>AgeStanSec!T58/86400</f>
        <v>0.50082175925925931</v>
      </c>
      <c r="U58" s="142">
        <f>AgeStanSec!U58/86400</f>
        <v>0.54896990740740736</v>
      </c>
      <c r="V58" s="142">
        <f>AgeStanSec!V58/86400</f>
        <v>0.72847222222222219</v>
      </c>
      <c r="W58" s="47"/>
    </row>
    <row r="59" spans="1:23">
      <c r="A59" s="49">
        <v>58</v>
      </c>
      <c r="B59" s="172">
        <f>AgeStanSec!B59/86400</f>
        <v>3.2754629629629631E-3</v>
      </c>
      <c r="C59" s="169">
        <f>AgeStanSec!C59/86400</f>
        <v>1.0856481481481481E-2</v>
      </c>
      <c r="D59" s="142">
        <f>AgeStanSec!D59/86400</f>
        <v>1.3113425925925926E-2</v>
      </c>
      <c r="E59" s="142">
        <f>AgeStanSec!E59/86400</f>
        <v>1.4085648148148147E-2</v>
      </c>
      <c r="F59" s="142">
        <f>AgeStanSec!F59/86400</f>
        <v>1.7662037037037039E-2</v>
      </c>
      <c r="G59" s="142">
        <f>AgeStanSec!G59/86400</f>
        <v>1.7789351851851851E-2</v>
      </c>
      <c r="H59" s="142">
        <f>AgeStanSec!H59/86400</f>
        <v>2.2256944444444444E-2</v>
      </c>
      <c r="I59" s="142">
        <f>AgeStanSec!I59/86400</f>
        <v>2.6898148148148147E-2</v>
      </c>
      <c r="J59" s="142">
        <f>AgeStanSec!J59/86400</f>
        <v>3.3923611111111113E-2</v>
      </c>
      <c r="K59" s="142">
        <f>AgeStanSec!K59/86400</f>
        <v>3.6446759259259262E-2</v>
      </c>
      <c r="L59" s="142">
        <f>AgeStanSec!L59/86400</f>
        <v>4.5775462962962962E-2</v>
      </c>
      <c r="M59" s="142">
        <f>AgeStanSec!M59/86400</f>
        <v>4.8460648148148149E-2</v>
      </c>
      <c r="N59" s="142">
        <f>AgeStanSec!N59/86400</f>
        <v>5.7604166666666665E-2</v>
      </c>
      <c r="O59" s="142">
        <f>AgeStanSec!O59/86400</f>
        <v>6.9652777777777772E-2</v>
      </c>
      <c r="P59" s="142">
        <f>AgeStanSec!P59/86400</f>
        <v>0.10081018518518518</v>
      </c>
      <c r="Q59" s="142">
        <f>AgeStanSec!Q59/86400</f>
        <v>0.12289351851851851</v>
      </c>
      <c r="R59" s="142">
        <f>AgeStanSec!R59/86400</f>
        <v>0.22403935185185186</v>
      </c>
      <c r="S59" s="142">
        <f>AgeStanSec!S59/86400</f>
        <v>0.29760416666666667</v>
      </c>
      <c r="T59" s="142">
        <f>AgeStanSec!T59/86400</f>
        <v>0.5057638888888889</v>
      </c>
      <c r="U59" s="142">
        <f>AgeStanSec!U59/86400</f>
        <v>0.5543865740740741</v>
      </c>
      <c r="V59" s="142">
        <f>AgeStanSec!V59/86400</f>
        <v>0.7356597222222222</v>
      </c>
      <c r="W59" s="47"/>
    </row>
    <row r="60" spans="1:23">
      <c r="A60" s="49">
        <v>59</v>
      </c>
      <c r="B60" s="172">
        <f>AgeStanSec!B60/86400</f>
        <v>3.3101851851851851E-3</v>
      </c>
      <c r="C60" s="169">
        <f>AgeStanSec!C60/86400</f>
        <v>1.0949074074074075E-2</v>
      </c>
      <c r="D60" s="142">
        <f>AgeStanSec!D60/86400</f>
        <v>1.3229166666666667E-2</v>
      </c>
      <c r="E60" s="142">
        <f>AgeStanSec!E60/86400</f>
        <v>1.4212962962962964E-2</v>
      </c>
      <c r="F60" s="142">
        <f>AgeStanSec!F60/86400</f>
        <v>1.7812499999999998E-2</v>
      </c>
      <c r="G60" s="142">
        <f>AgeStanSec!G60/86400</f>
        <v>1.7939814814814815E-2</v>
      </c>
      <c r="H60" s="142">
        <f>AgeStanSec!H60/86400</f>
        <v>2.2453703703703705E-2</v>
      </c>
      <c r="I60" s="142">
        <f>AgeStanSec!I60/86400</f>
        <v>2.7152777777777779E-2</v>
      </c>
      <c r="J60" s="142">
        <f>AgeStanSec!J60/86400</f>
        <v>3.4236111111111113E-2</v>
      </c>
      <c r="K60" s="142">
        <f>AgeStanSec!K60/86400</f>
        <v>3.6793981481481483E-2</v>
      </c>
      <c r="L60" s="142">
        <f>AgeStanSec!L60/86400</f>
        <v>4.6215277777777779E-2</v>
      </c>
      <c r="M60" s="142">
        <f>AgeStanSec!M60/86400</f>
        <v>4.8923611111111112E-2</v>
      </c>
      <c r="N60" s="142">
        <f>AgeStanSec!N60/86400</f>
        <v>5.8159722222222224E-2</v>
      </c>
      <c r="O60" s="142">
        <f>AgeStanSec!O60/86400</f>
        <v>7.0335648148148147E-2</v>
      </c>
      <c r="P60" s="142">
        <f>AgeStanSec!P60/86400</f>
        <v>0.10180555555555555</v>
      </c>
      <c r="Q60" s="142">
        <f>AgeStanSec!Q60/86400</f>
        <v>0.1241087962962963</v>
      </c>
      <c r="R60" s="142">
        <f>AgeStanSec!R60/86400</f>
        <v>0.22627314814814814</v>
      </c>
      <c r="S60" s="142">
        <f>AgeStanSec!S60/86400</f>
        <v>0.30057870370370371</v>
      </c>
      <c r="T60" s="142">
        <f>AgeStanSec!T60/86400</f>
        <v>0.51081018518518517</v>
      </c>
      <c r="U60" s="142">
        <f>AgeStanSec!U60/86400</f>
        <v>0.55991898148148145</v>
      </c>
      <c r="V60" s="142">
        <f>AgeStanSec!V60/86400</f>
        <v>0.74299768518518516</v>
      </c>
      <c r="W60" s="47"/>
    </row>
    <row r="61" spans="1:23">
      <c r="A61" s="54">
        <v>60</v>
      </c>
      <c r="B61" s="173">
        <f>AgeStanSec!B61/86400</f>
        <v>3.3449074074074076E-3</v>
      </c>
      <c r="C61" s="170">
        <f>AgeStanSec!C61/86400</f>
        <v>1.1041666666666667E-2</v>
      </c>
      <c r="D61" s="143">
        <f>AgeStanSec!D61/86400</f>
        <v>1.3344907407407408E-2</v>
      </c>
      <c r="E61" s="143">
        <f>AgeStanSec!E61/86400</f>
        <v>1.4340277777777778E-2</v>
      </c>
      <c r="F61" s="143">
        <f>AgeStanSec!F61/86400</f>
        <v>1.7974537037037035E-2</v>
      </c>
      <c r="G61" s="143">
        <f>AgeStanSec!G61/86400</f>
        <v>1.8101851851851852E-2</v>
      </c>
      <c r="H61" s="143">
        <f>AgeStanSec!H61/86400</f>
        <v>2.2662037037037036E-2</v>
      </c>
      <c r="I61" s="143">
        <f>AgeStanSec!I61/86400</f>
        <v>2.7407407407407408E-2</v>
      </c>
      <c r="J61" s="143">
        <f>AgeStanSec!J61/86400</f>
        <v>3.4560185185185187E-2</v>
      </c>
      <c r="K61" s="143">
        <f>AgeStanSec!K61/86400</f>
        <v>3.7141203703703704E-2</v>
      </c>
      <c r="L61" s="143">
        <f>AgeStanSec!L61/86400</f>
        <v>4.6666666666666669E-2</v>
      </c>
      <c r="M61" s="143">
        <f>AgeStanSec!M61/86400</f>
        <v>4.9398148148148149E-2</v>
      </c>
      <c r="N61" s="143">
        <f>AgeStanSec!N61/86400</f>
        <v>5.872685185185185E-2</v>
      </c>
      <c r="O61" s="143">
        <f>AgeStanSec!O61/86400</f>
        <v>7.1030092592592589E-2</v>
      </c>
      <c r="P61" s="143">
        <f>AgeStanSec!P61/86400</f>
        <v>0.10283564814814815</v>
      </c>
      <c r="Q61" s="143">
        <f>AgeStanSec!Q61/86400</f>
        <v>0.12535879629629629</v>
      </c>
      <c r="R61" s="143">
        <f>AgeStanSec!R61/86400</f>
        <v>0.22855324074074074</v>
      </c>
      <c r="S61" s="143">
        <f>AgeStanSec!S61/86400</f>
        <v>0.30359953703703701</v>
      </c>
      <c r="T61" s="143">
        <f>AgeStanSec!T61/86400</f>
        <v>0.51594907407407409</v>
      </c>
      <c r="U61" s="143">
        <f>AgeStanSec!U61/86400</f>
        <v>0.56555555555555559</v>
      </c>
      <c r="V61" s="143">
        <f>AgeStanSec!V61/86400</f>
        <v>0.75047453703703704</v>
      </c>
      <c r="W61" s="47"/>
    </row>
    <row r="62" spans="1:23">
      <c r="A62" s="49">
        <v>61</v>
      </c>
      <c r="B62" s="172">
        <f>AgeStanSec!B62/86400</f>
        <v>3.3796296296296296E-3</v>
      </c>
      <c r="C62" s="169">
        <f>AgeStanSec!C62/86400</f>
        <v>1.1134259259259259E-2</v>
      </c>
      <c r="D62" s="142">
        <f>AgeStanSec!D62/86400</f>
        <v>1.3460648148148149E-2</v>
      </c>
      <c r="E62" s="142">
        <f>AgeStanSec!E62/86400</f>
        <v>1.4467592592592593E-2</v>
      </c>
      <c r="F62" s="142">
        <f>AgeStanSec!F62/86400</f>
        <v>1.8148148148148149E-2</v>
      </c>
      <c r="G62" s="142">
        <f>AgeStanSec!G62/86400</f>
        <v>1.8275462962962962E-2</v>
      </c>
      <c r="H62" s="142">
        <f>AgeStanSec!H62/86400</f>
        <v>2.2881944444444444E-2</v>
      </c>
      <c r="I62" s="142">
        <f>AgeStanSec!I62/86400</f>
        <v>2.7662037037037037E-2</v>
      </c>
      <c r="J62" s="142">
        <f>AgeStanSec!J62/86400</f>
        <v>3.4895833333333334E-2</v>
      </c>
      <c r="K62" s="142">
        <f>AgeStanSec!K62/86400</f>
        <v>3.7499999999999999E-2</v>
      </c>
      <c r="L62" s="142">
        <f>AgeStanSec!L62/86400</f>
        <v>4.7118055555555559E-2</v>
      </c>
      <c r="M62" s="142">
        <f>AgeStanSec!M62/86400</f>
        <v>4.9872685185185187E-2</v>
      </c>
      <c r="N62" s="142">
        <f>AgeStanSec!N62/86400</f>
        <v>5.9305555555555556E-2</v>
      </c>
      <c r="O62" s="142">
        <f>AgeStanSec!O62/86400</f>
        <v>7.1736111111111112E-2</v>
      </c>
      <c r="P62" s="142">
        <f>AgeStanSec!P62/86400</f>
        <v>0.10387731481481481</v>
      </c>
      <c r="Q62" s="142">
        <f>AgeStanSec!Q62/86400</f>
        <v>0.12664351851851852</v>
      </c>
      <c r="R62" s="142">
        <f>AgeStanSec!R62/86400</f>
        <v>0.23087962962962963</v>
      </c>
      <c r="S62" s="142">
        <f>AgeStanSec!S62/86400</f>
        <v>0.30668981481481483</v>
      </c>
      <c r="T62" s="142">
        <f>AgeStanSec!T62/86400</f>
        <v>0.52120370370370372</v>
      </c>
      <c r="U62" s="142">
        <f>AgeStanSec!U62/86400</f>
        <v>0.57130787037037034</v>
      </c>
      <c r="V62" s="142">
        <f>AgeStanSec!V62/86400</f>
        <v>0.7581134259259259</v>
      </c>
      <c r="W62" s="47"/>
    </row>
    <row r="63" spans="1:23">
      <c r="A63" s="49">
        <v>62</v>
      </c>
      <c r="B63" s="172">
        <f>AgeStanSec!B63/86400</f>
        <v>3.414351851851852E-3</v>
      </c>
      <c r="C63" s="169">
        <f>AgeStanSec!C63/86400</f>
        <v>1.1238425925925926E-2</v>
      </c>
      <c r="D63" s="142">
        <f>AgeStanSec!D63/86400</f>
        <v>1.3587962962962963E-2</v>
      </c>
      <c r="E63" s="142">
        <f>AgeStanSec!E63/86400</f>
        <v>1.4606481481481481E-2</v>
      </c>
      <c r="F63" s="142">
        <f>AgeStanSec!F63/86400</f>
        <v>1.8310185185185186E-2</v>
      </c>
      <c r="G63" s="142">
        <f>AgeStanSec!G63/86400</f>
        <v>1.8437499999999999E-2</v>
      </c>
      <c r="H63" s="142">
        <f>AgeStanSec!H63/86400</f>
        <v>2.3090277777777779E-2</v>
      </c>
      <c r="I63" s="142">
        <f>AgeStanSec!I63/86400</f>
        <v>2.792824074074074E-2</v>
      </c>
      <c r="J63" s="142">
        <f>AgeStanSec!J63/86400</f>
        <v>3.5231481481481482E-2</v>
      </c>
      <c r="K63" s="142">
        <f>AgeStanSec!K63/86400</f>
        <v>3.7858796296296293E-2</v>
      </c>
      <c r="L63" s="142">
        <f>AgeStanSec!L63/86400</f>
        <v>4.7569444444444442E-2</v>
      </c>
      <c r="M63" s="142">
        <f>AgeStanSec!M63/86400</f>
        <v>5.0358796296296297E-2</v>
      </c>
      <c r="N63" s="142">
        <f>AgeStanSec!N63/86400</f>
        <v>5.9884259259259262E-2</v>
      </c>
      <c r="O63" s="142">
        <f>AgeStanSec!O63/86400</f>
        <v>7.2453703703703701E-2</v>
      </c>
      <c r="P63" s="142">
        <f>AgeStanSec!P63/86400</f>
        <v>0.1049537037037037</v>
      </c>
      <c r="Q63" s="142">
        <f>AgeStanSec!Q63/86400</f>
        <v>0.12793981481481481</v>
      </c>
      <c r="R63" s="142">
        <f>AgeStanSec!R63/86400</f>
        <v>0.23325231481481482</v>
      </c>
      <c r="S63" s="142">
        <f>AgeStanSec!S63/86400</f>
        <v>0.30983796296296295</v>
      </c>
      <c r="T63" s="142">
        <f>AgeStanSec!T63/86400</f>
        <v>0.52655092592592589</v>
      </c>
      <c r="U63" s="142">
        <f>AgeStanSec!U63/86400</f>
        <v>0.57717592592592593</v>
      </c>
      <c r="V63" s="142">
        <f>AgeStanSec!V63/86400</f>
        <v>0.76590277777777782</v>
      </c>
      <c r="W63" s="47"/>
    </row>
    <row r="64" spans="1:23">
      <c r="A64" s="49">
        <v>63</v>
      </c>
      <c r="B64" s="172">
        <f>AgeStanSec!B64/86400</f>
        <v>3.449074074074074E-3</v>
      </c>
      <c r="C64" s="169">
        <f>AgeStanSec!C64/86400</f>
        <v>1.1331018518518518E-2</v>
      </c>
      <c r="D64" s="142">
        <f>AgeStanSec!D64/86400</f>
        <v>1.3703703703703704E-2</v>
      </c>
      <c r="E64" s="142">
        <f>AgeStanSec!E64/86400</f>
        <v>1.4733796296296297E-2</v>
      </c>
      <c r="F64" s="142">
        <f>AgeStanSec!F64/86400</f>
        <v>1.8483796296296297E-2</v>
      </c>
      <c r="G64" s="142">
        <f>AgeStanSec!G64/86400</f>
        <v>1.861111111111111E-2</v>
      </c>
      <c r="H64" s="142">
        <f>AgeStanSec!H64/86400</f>
        <v>2.3310185185185184E-2</v>
      </c>
      <c r="I64" s="142">
        <f>AgeStanSec!I64/86400</f>
        <v>2.8194444444444446E-2</v>
      </c>
      <c r="J64" s="142">
        <f>AgeStanSec!J64/86400</f>
        <v>3.5567129629629629E-2</v>
      </c>
      <c r="K64" s="142">
        <f>AgeStanSec!K64/86400</f>
        <v>3.8229166666666668E-2</v>
      </c>
      <c r="L64" s="142">
        <f>AgeStanSec!L64/86400</f>
        <v>4.8043981481481479E-2</v>
      </c>
      <c r="M64" s="142">
        <f>AgeStanSec!M64/86400</f>
        <v>5.0856481481481482E-2</v>
      </c>
      <c r="N64" s="142">
        <f>AgeStanSec!N64/86400</f>
        <v>6.0486111111111109E-2</v>
      </c>
      <c r="O64" s="142">
        <f>AgeStanSec!O64/86400</f>
        <v>7.3194444444444451E-2</v>
      </c>
      <c r="P64" s="142">
        <f>AgeStanSec!P64/86400</f>
        <v>0.10604166666666667</v>
      </c>
      <c r="Q64" s="142">
        <f>AgeStanSec!Q64/86400</f>
        <v>0.12927083333333333</v>
      </c>
      <c r="R64" s="142">
        <f>AgeStanSec!R64/86400</f>
        <v>0.2356712962962963</v>
      </c>
      <c r="S64" s="142">
        <f>AgeStanSec!S64/86400</f>
        <v>0.31305555555555553</v>
      </c>
      <c r="T64" s="142">
        <f>AgeStanSec!T64/86400</f>
        <v>0.53202546296296294</v>
      </c>
      <c r="U64" s="142">
        <f>AgeStanSec!U64/86400</f>
        <v>0.58317129629629627</v>
      </c>
      <c r="V64" s="142">
        <f>AgeStanSec!V64/86400</f>
        <v>0.77385416666666662</v>
      </c>
      <c r="W64" s="47"/>
    </row>
    <row r="65" spans="1:23">
      <c r="A65" s="49">
        <v>64</v>
      </c>
      <c r="B65" s="172">
        <f>AgeStanSec!B65/86400</f>
        <v>3.4837962962962965E-3</v>
      </c>
      <c r="C65" s="169">
        <f>AgeStanSec!C65/86400</f>
        <v>1.1435185185185185E-2</v>
      </c>
      <c r="D65" s="142">
        <f>AgeStanSec!D65/86400</f>
        <v>1.3831018518518519E-2</v>
      </c>
      <c r="E65" s="142">
        <f>AgeStanSec!E65/86400</f>
        <v>1.4872685185185185E-2</v>
      </c>
      <c r="F65" s="142">
        <f>AgeStanSec!F65/86400</f>
        <v>1.8657407407407407E-2</v>
      </c>
      <c r="G65" s="142">
        <f>AgeStanSec!G65/86400</f>
        <v>1.8784722222222223E-2</v>
      </c>
      <c r="H65" s="142">
        <f>AgeStanSec!H65/86400</f>
        <v>2.3541666666666666E-2</v>
      </c>
      <c r="I65" s="142">
        <f>AgeStanSec!I65/86400</f>
        <v>2.8472222222222222E-2</v>
      </c>
      <c r="J65" s="142">
        <f>AgeStanSec!J65/86400</f>
        <v>3.5925925925925924E-2</v>
      </c>
      <c r="K65" s="142">
        <f>AgeStanSec!K65/86400</f>
        <v>3.8599537037037036E-2</v>
      </c>
      <c r="L65" s="142">
        <f>AgeStanSec!L65/86400</f>
        <v>4.8518518518518516E-2</v>
      </c>
      <c r="M65" s="142">
        <f>AgeStanSec!M65/86400</f>
        <v>5.1377314814814813E-2</v>
      </c>
      <c r="N65" s="142">
        <f>AgeStanSec!N65/86400</f>
        <v>6.1099537037037036E-2</v>
      </c>
      <c r="O65" s="142">
        <f>AgeStanSec!O65/86400</f>
        <v>7.3946759259259254E-2</v>
      </c>
      <c r="P65" s="142">
        <f>AgeStanSec!P65/86400</f>
        <v>0.10715277777777778</v>
      </c>
      <c r="Q65" s="142">
        <f>AgeStanSec!Q65/86400</f>
        <v>0.13062499999999999</v>
      </c>
      <c r="R65" s="142">
        <f>AgeStanSec!R65/86400</f>
        <v>0.23814814814814814</v>
      </c>
      <c r="S65" s="142">
        <f>AgeStanSec!S65/86400</f>
        <v>0.31634259259259262</v>
      </c>
      <c r="T65" s="142">
        <f>AgeStanSec!T65/86400</f>
        <v>0.53760416666666666</v>
      </c>
      <c r="U65" s="142">
        <f>AgeStanSec!U65/86400</f>
        <v>0.58929398148148149</v>
      </c>
      <c r="V65" s="142">
        <f>AgeStanSec!V65/86400</f>
        <v>0.78196759259259263</v>
      </c>
      <c r="W65" s="47"/>
    </row>
    <row r="66" spans="1:23">
      <c r="A66" s="54">
        <v>65</v>
      </c>
      <c r="B66" s="173">
        <f>AgeStanSec!B66/86400</f>
        <v>3.5185185185185185E-3</v>
      </c>
      <c r="C66" s="170">
        <f>AgeStanSec!C66/86400</f>
        <v>1.1539351851851851E-2</v>
      </c>
      <c r="D66" s="143">
        <f>AgeStanSec!D66/86400</f>
        <v>1.3958333333333333E-2</v>
      </c>
      <c r="E66" s="143">
        <f>AgeStanSec!E66/86400</f>
        <v>1.5011574074074075E-2</v>
      </c>
      <c r="F66" s="143">
        <f>AgeStanSec!F66/86400</f>
        <v>1.8831018518518518E-2</v>
      </c>
      <c r="G66" s="143">
        <f>AgeStanSec!G66/86400</f>
        <v>1.8969907407407408E-2</v>
      </c>
      <c r="H66" s="143">
        <f>AgeStanSec!H66/86400</f>
        <v>2.3773148148148147E-2</v>
      </c>
      <c r="I66" s="143">
        <f>AgeStanSec!I66/86400</f>
        <v>2.8750000000000001E-2</v>
      </c>
      <c r="J66" s="143">
        <f>AgeStanSec!J66/86400</f>
        <v>3.6284722222222225E-2</v>
      </c>
      <c r="K66" s="143">
        <f>AgeStanSec!K66/86400</f>
        <v>3.8993055555555559E-2</v>
      </c>
      <c r="L66" s="143">
        <f>AgeStanSec!L66/86400</f>
        <v>4.9016203703703701E-2</v>
      </c>
      <c r="M66" s="143">
        <f>AgeStanSec!M66/86400</f>
        <v>5.1898148148148152E-2</v>
      </c>
      <c r="N66" s="143">
        <f>AgeStanSec!N66/86400</f>
        <v>6.173611111111111E-2</v>
      </c>
      <c r="O66" s="143">
        <f>AgeStanSec!O66/86400</f>
        <v>7.4710648148148151E-2</v>
      </c>
      <c r="P66" s="143">
        <f>AgeStanSec!P66/86400</f>
        <v>0.10828703703703704</v>
      </c>
      <c r="Q66" s="143">
        <f>AgeStanSec!Q66/86400</f>
        <v>0.13201388888888888</v>
      </c>
      <c r="R66" s="143">
        <f>AgeStanSec!R66/86400</f>
        <v>0.2406712962962963</v>
      </c>
      <c r="S66" s="143">
        <f>AgeStanSec!S66/86400</f>
        <v>0.31969907407407405</v>
      </c>
      <c r="T66" s="143">
        <f>AgeStanSec!T66/86400</f>
        <v>0.54331018518518515</v>
      </c>
      <c r="U66" s="143">
        <f>AgeStanSec!U66/86400</f>
        <v>0.59554398148148147</v>
      </c>
      <c r="V66" s="143">
        <f>AgeStanSec!V66/86400</f>
        <v>0.79026620370370371</v>
      </c>
      <c r="W66" s="47"/>
    </row>
    <row r="67" spans="1:23">
      <c r="A67" s="49">
        <v>66</v>
      </c>
      <c r="B67" s="172">
        <f>AgeStanSec!B67/86400</f>
        <v>3.5648148148148149E-3</v>
      </c>
      <c r="C67" s="169">
        <f>AgeStanSec!C67/86400</f>
        <v>1.1643518518518518E-2</v>
      </c>
      <c r="D67" s="142">
        <f>AgeStanSec!D67/86400</f>
        <v>1.4085648148148147E-2</v>
      </c>
      <c r="E67" s="142">
        <f>AgeStanSec!E67/86400</f>
        <v>1.5150462962962963E-2</v>
      </c>
      <c r="F67" s="142">
        <f>AgeStanSec!F67/86400</f>
        <v>1.9016203703703705E-2</v>
      </c>
      <c r="G67" s="142">
        <f>AgeStanSec!G67/86400</f>
        <v>1.9155092592592592E-2</v>
      </c>
      <c r="H67" s="142">
        <f>AgeStanSec!H67/86400</f>
        <v>2.4004629629629629E-2</v>
      </c>
      <c r="I67" s="142">
        <f>AgeStanSec!I67/86400</f>
        <v>2.9039351851851851E-2</v>
      </c>
      <c r="J67" s="142">
        <f>AgeStanSec!J67/86400</f>
        <v>3.664351851851852E-2</v>
      </c>
      <c r="K67" s="142">
        <f>AgeStanSec!K67/86400</f>
        <v>3.9386574074074074E-2</v>
      </c>
      <c r="L67" s="142">
        <f>AgeStanSec!L67/86400</f>
        <v>4.9513888888888892E-2</v>
      </c>
      <c r="M67" s="142">
        <f>AgeStanSec!M67/86400</f>
        <v>5.2418981481481483E-2</v>
      </c>
      <c r="N67" s="142">
        <f>AgeStanSec!N67/86400</f>
        <v>6.2372685185185184E-2</v>
      </c>
      <c r="O67" s="142">
        <f>AgeStanSec!O67/86400</f>
        <v>7.5497685185185182E-2</v>
      </c>
      <c r="P67" s="142">
        <f>AgeStanSec!P67/86400</f>
        <v>0.10944444444444444</v>
      </c>
      <c r="Q67" s="142">
        <f>AgeStanSec!Q67/86400</f>
        <v>0.13342592592592592</v>
      </c>
      <c r="R67" s="142">
        <f>AgeStanSec!R67/86400</f>
        <v>0.24325231481481482</v>
      </c>
      <c r="S67" s="142">
        <f>AgeStanSec!S67/86400</f>
        <v>0.323125</v>
      </c>
      <c r="T67" s="142">
        <f>AgeStanSec!T67/86400</f>
        <v>0.54913194444444446</v>
      </c>
      <c r="U67" s="142">
        <f>AgeStanSec!U67/86400</f>
        <v>0.60192129629629632</v>
      </c>
      <c r="V67" s="142">
        <f>AgeStanSec!V67/86400</f>
        <v>0.79873842592592592</v>
      </c>
      <c r="W67" s="47"/>
    </row>
    <row r="68" spans="1:23">
      <c r="A68" s="49">
        <v>67</v>
      </c>
      <c r="B68" s="172">
        <f>AgeStanSec!B68/86400</f>
        <v>3.5995370370370369E-3</v>
      </c>
      <c r="C68" s="169">
        <f>AgeStanSec!C68/86400</f>
        <v>1.1759259259259259E-2</v>
      </c>
      <c r="D68" s="142">
        <f>AgeStanSec!D68/86400</f>
        <v>1.4224537037037037E-2</v>
      </c>
      <c r="E68" s="142">
        <f>AgeStanSec!E68/86400</f>
        <v>1.5289351851851853E-2</v>
      </c>
      <c r="F68" s="142">
        <f>AgeStanSec!F68/86400</f>
        <v>1.9201388888888889E-2</v>
      </c>
      <c r="G68" s="142">
        <f>AgeStanSec!G68/86400</f>
        <v>1.9340277777777779E-2</v>
      </c>
      <c r="H68" s="142">
        <f>AgeStanSec!H68/86400</f>
        <v>2.4236111111111111E-2</v>
      </c>
      <c r="I68" s="142">
        <f>AgeStanSec!I68/86400</f>
        <v>2.9328703703703704E-2</v>
      </c>
      <c r="J68" s="142">
        <f>AgeStanSec!J68/86400</f>
        <v>3.7013888888888888E-2</v>
      </c>
      <c r="K68" s="142">
        <f>AgeStanSec!K68/86400</f>
        <v>3.9780092592592596E-2</v>
      </c>
      <c r="L68" s="142">
        <f>AgeStanSec!L68/86400</f>
        <v>5.0011574074074076E-2</v>
      </c>
      <c r="M68" s="142">
        <f>AgeStanSec!M68/86400</f>
        <v>5.2962962962962962E-2</v>
      </c>
      <c r="N68" s="142">
        <f>AgeStanSec!N68/86400</f>
        <v>6.3009259259259265E-2</v>
      </c>
      <c r="O68" s="142">
        <f>AgeStanSec!O68/86400</f>
        <v>7.6284722222222226E-2</v>
      </c>
      <c r="P68" s="142">
        <f>AgeStanSec!P68/86400</f>
        <v>0.11063657407407407</v>
      </c>
      <c r="Q68" s="142">
        <f>AgeStanSec!Q68/86400</f>
        <v>0.13487268518518519</v>
      </c>
      <c r="R68" s="142">
        <f>AgeStanSec!R68/86400</f>
        <v>0.24589120370370371</v>
      </c>
      <c r="S68" s="142">
        <f>AgeStanSec!S68/86400</f>
        <v>0.32662037037037039</v>
      </c>
      <c r="T68" s="142">
        <f>AgeStanSec!T68/86400</f>
        <v>0.55508101851851854</v>
      </c>
      <c r="U68" s="142">
        <f>AgeStanSec!U68/86400</f>
        <v>0.60844907407407411</v>
      </c>
      <c r="V68" s="142">
        <f>AgeStanSec!V68/86400</f>
        <v>0.80738425925925927</v>
      </c>
      <c r="W68" s="47"/>
    </row>
    <row r="69" spans="1:23">
      <c r="A69" s="49">
        <v>68</v>
      </c>
      <c r="B69" s="172">
        <f>AgeStanSec!B69/86400</f>
        <v>3.6458333333333334E-3</v>
      </c>
      <c r="C69" s="169">
        <f>AgeStanSec!C69/86400</f>
        <v>1.1863425925925927E-2</v>
      </c>
      <c r="D69" s="142">
        <f>AgeStanSec!D69/86400</f>
        <v>1.4351851851851852E-2</v>
      </c>
      <c r="E69" s="142">
        <f>AgeStanSec!E69/86400</f>
        <v>1.5439814814814814E-2</v>
      </c>
      <c r="F69" s="142">
        <f>AgeStanSec!F69/86400</f>
        <v>1.9386574074074073E-2</v>
      </c>
      <c r="G69" s="142">
        <f>AgeStanSec!G69/86400</f>
        <v>1.9525462962962963E-2</v>
      </c>
      <c r="H69" s="142">
        <f>AgeStanSec!H69/86400</f>
        <v>2.4479166666666666E-2</v>
      </c>
      <c r="I69" s="142">
        <f>AgeStanSec!I69/86400</f>
        <v>2.9618055555555557E-2</v>
      </c>
      <c r="J69" s="142">
        <f>AgeStanSec!J69/86400</f>
        <v>3.7395833333333336E-2</v>
      </c>
      <c r="K69" s="142">
        <f>AgeStanSec!K69/86400</f>
        <v>4.0196759259259258E-2</v>
      </c>
      <c r="L69" s="142">
        <f>AgeStanSec!L69/86400</f>
        <v>5.0532407407407408E-2</v>
      </c>
      <c r="M69" s="142">
        <f>AgeStanSec!M69/86400</f>
        <v>5.3518518518518521E-2</v>
      </c>
      <c r="N69" s="142">
        <f>AgeStanSec!N69/86400</f>
        <v>6.368055555555556E-2</v>
      </c>
      <c r="O69" s="142">
        <f>AgeStanSec!O69/86400</f>
        <v>7.7094907407407404E-2</v>
      </c>
      <c r="P69" s="142">
        <f>AgeStanSec!P69/86400</f>
        <v>0.11184027777777777</v>
      </c>
      <c r="Q69" s="142">
        <f>AgeStanSec!Q69/86400</f>
        <v>0.1363425925925926</v>
      </c>
      <c r="R69" s="142">
        <f>AgeStanSec!R69/86400</f>
        <v>0.24857638888888889</v>
      </c>
      <c r="S69" s="142">
        <f>AgeStanSec!S69/86400</f>
        <v>0.33019675925925923</v>
      </c>
      <c r="T69" s="142">
        <f>AgeStanSec!T69/86400</f>
        <v>0.56115740740740738</v>
      </c>
      <c r="U69" s="142">
        <f>AgeStanSec!U69/86400</f>
        <v>0.61510416666666667</v>
      </c>
      <c r="V69" s="142">
        <f>AgeStanSec!V69/86400</f>
        <v>0.81622685185185184</v>
      </c>
      <c r="W69" s="47"/>
    </row>
    <row r="70" spans="1:23">
      <c r="A70" s="49">
        <v>69</v>
      </c>
      <c r="B70" s="172">
        <f>AgeStanSec!B70/86400</f>
        <v>3.6921296296296298E-3</v>
      </c>
      <c r="C70" s="169">
        <f>AgeStanSec!C70/86400</f>
        <v>1.1990740740740741E-2</v>
      </c>
      <c r="D70" s="142">
        <f>AgeStanSec!D70/86400</f>
        <v>1.4502314814814815E-2</v>
      </c>
      <c r="E70" s="142">
        <f>AgeStanSec!E70/86400</f>
        <v>1.5601851851851851E-2</v>
      </c>
      <c r="F70" s="142">
        <f>AgeStanSec!F70/86400</f>
        <v>1.9583333333333335E-2</v>
      </c>
      <c r="G70" s="142">
        <f>AgeStanSec!G70/86400</f>
        <v>1.9722222222222221E-2</v>
      </c>
      <c r="H70" s="142">
        <f>AgeStanSec!H70/86400</f>
        <v>2.4733796296296295E-2</v>
      </c>
      <c r="I70" s="142">
        <f>AgeStanSec!I70/86400</f>
        <v>2.9930555555555554E-2</v>
      </c>
      <c r="J70" s="142">
        <f>AgeStanSec!J70/86400</f>
        <v>3.7789351851851852E-2</v>
      </c>
      <c r="K70" s="142">
        <f>AgeStanSec!K70/86400</f>
        <v>4.0613425925925928E-2</v>
      </c>
      <c r="L70" s="142">
        <f>AgeStanSec!L70/86400</f>
        <v>5.108796296296296E-2</v>
      </c>
      <c r="M70" s="142">
        <f>AgeStanSec!M70/86400</f>
        <v>5.409722222222222E-2</v>
      </c>
      <c r="N70" s="142">
        <f>AgeStanSec!N70/86400</f>
        <v>6.4375000000000002E-2</v>
      </c>
      <c r="O70" s="142">
        <f>AgeStanSec!O70/86400</f>
        <v>7.7939814814814809E-2</v>
      </c>
      <c r="P70" s="142">
        <f>AgeStanSec!P70/86400</f>
        <v>0.11307870370370371</v>
      </c>
      <c r="Q70" s="142">
        <f>AgeStanSec!Q70/86400</f>
        <v>0.1378587962962963</v>
      </c>
      <c r="R70" s="142">
        <f>AgeStanSec!R70/86400</f>
        <v>0.25133101851851852</v>
      </c>
      <c r="S70" s="142">
        <f>AgeStanSec!S70/86400</f>
        <v>0.33385416666666667</v>
      </c>
      <c r="T70" s="142">
        <f>AgeStanSec!T70/86400</f>
        <v>0.56737268518518513</v>
      </c>
      <c r="U70" s="142">
        <f>AgeStanSec!U70/86400</f>
        <v>0.62192129629629633</v>
      </c>
      <c r="V70" s="142">
        <f>AgeStanSec!V70/86400</f>
        <v>0.82526620370370374</v>
      </c>
      <c r="W70" s="47"/>
    </row>
    <row r="71" spans="1:23">
      <c r="A71" s="54">
        <v>70</v>
      </c>
      <c r="B71" s="173">
        <f>AgeStanSec!B71/86400</f>
        <v>3.7499999999999999E-3</v>
      </c>
      <c r="C71" s="170">
        <f>AgeStanSec!C71/86400</f>
        <v>1.2129629629629629E-2</v>
      </c>
      <c r="D71" s="143">
        <f>AgeStanSec!D71/86400</f>
        <v>1.4664351851851852E-2</v>
      </c>
      <c r="E71" s="143">
        <f>AgeStanSec!E71/86400</f>
        <v>1.5775462962962963E-2</v>
      </c>
      <c r="F71" s="143">
        <f>AgeStanSec!F71/86400</f>
        <v>1.9791666666666666E-2</v>
      </c>
      <c r="G71" s="143">
        <f>AgeStanSec!G71/86400</f>
        <v>1.9942129629629629E-2</v>
      </c>
      <c r="H71" s="143">
        <f>AgeStanSec!H71/86400</f>
        <v>2.4988425925925924E-2</v>
      </c>
      <c r="I71" s="143">
        <f>AgeStanSec!I71/86400</f>
        <v>3.0254629629629631E-2</v>
      </c>
      <c r="J71" s="143">
        <f>AgeStanSec!J71/86400</f>
        <v>3.8206018518518521E-2</v>
      </c>
      <c r="K71" s="143">
        <f>AgeStanSec!K71/86400</f>
        <v>4.1076388888888891E-2</v>
      </c>
      <c r="L71" s="143">
        <f>AgeStanSec!L71/86400</f>
        <v>5.167824074074074E-2</v>
      </c>
      <c r="M71" s="143">
        <f>AgeStanSec!M71/86400</f>
        <v>5.4733796296296294E-2</v>
      </c>
      <c r="N71" s="143">
        <f>AgeStanSec!N71/86400</f>
        <v>6.5127314814814818E-2</v>
      </c>
      <c r="O71" s="143">
        <f>AgeStanSec!O71/86400</f>
        <v>7.8842592592592589E-2</v>
      </c>
      <c r="P71" s="143">
        <f>AgeStanSec!P71/86400</f>
        <v>0.11435185185185186</v>
      </c>
      <c r="Q71" s="143">
        <f>AgeStanSec!Q71/86400</f>
        <v>0.13939814814814816</v>
      </c>
      <c r="R71" s="143">
        <f>AgeStanSec!R71/86400</f>
        <v>0.25414351851851852</v>
      </c>
      <c r="S71" s="143">
        <f>AgeStanSec!S71/86400</f>
        <v>0.33759259259259261</v>
      </c>
      <c r="T71" s="143">
        <f>AgeStanSec!T71/86400</f>
        <v>0.5737268518518519</v>
      </c>
      <c r="U71" s="143">
        <f>AgeStanSec!U71/86400</f>
        <v>0.62888888888888894</v>
      </c>
      <c r="V71" s="143"/>
      <c r="W71" s="47"/>
    </row>
    <row r="72" spans="1:23">
      <c r="A72" s="49">
        <v>71</v>
      </c>
      <c r="B72" s="172">
        <f>AgeStanSec!B72/86400</f>
        <v>3.8078703703703703E-3</v>
      </c>
      <c r="C72" s="169">
        <f>AgeStanSec!C72/86400</f>
        <v>1.2280092592592592E-2</v>
      </c>
      <c r="D72" s="142">
        <f>AgeStanSec!D72/86400</f>
        <v>1.4837962962962963E-2</v>
      </c>
      <c r="E72" s="142">
        <f>AgeStanSec!E72/86400</f>
        <v>1.5960648148148147E-2</v>
      </c>
      <c r="F72" s="142">
        <f>AgeStanSec!F72/86400</f>
        <v>2.0023148148148148E-2</v>
      </c>
      <c r="G72" s="142">
        <f>AgeStanSec!G72/86400</f>
        <v>2.0162037037037037E-2</v>
      </c>
      <c r="H72" s="142">
        <f>AgeStanSec!H72/86400</f>
        <v>2.525462962962963E-2</v>
      </c>
      <c r="I72" s="142">
        <f>AgeStanSec!I72/86400</f>
        <v>3.0590277777777779E-2</v>
      </c>
      <c r="J72" s="142">
        <f>AgeStanSec!J72/86400</f>
        <v>3.8657407407407404E-2</v>
      </c>
      <c r="K72" s="142">
        <f>AgeStanSec!K72/86400</f>
        <v>4.1574074074074076E-2</v>
      </c>
      <c r="L72" s="142">
        <f>AgeStanSec!L72/86400</f>
        <v>5.2337962962962961E-2</v>
      </c>
      <c r="M72" s="142">
        <f>AgeStanSec!M72/86400</f>
        <v>5.5439814814814817E-2</v>
      </c>
      <c r="N72" s="142">
        <f>AgeStanSec!N72/86400</f>
        <v>6.5937499999999996E-2</v>
      </c>
      <c r="O72" s="142">
        <f>AgeStanSec!O72/86400</f>
        <v>7.9803240740740744E-2</v>
      </c>
      <c r="P72" s="142">
        <f>AgeStanSec!P72/86400</f>
        <v>0.11564814814814815</v>
      </c>
      <c r="Q72" s="142">
        <f>AgeStanSec!Q72/86400</f>
        <v>0.14098379629629629</v>
      </c>
      <c r="R72" s="142">
        <f>AgeStanSec!R72/86400</f>
        <v>0.25702546296296297</v>
      </c>
      <c r="S72" s="142">
        <f>AgeStanSec!S72/86400</f>
        <v>0.34142361111111114</v>
      </c>
      <c r="T72" s="142">
        <f>AgeStanSec!T72/86400</f>
        <v>0.58021990740740736</v>
      </c>
      <c r="U72" s="142">
        <f>AgeStanSec!U72/86400</f>
        <v>0.6360069444444445</v>
      </c>
      <c r="V72" s="142"/>
      <c r="W72" s="47"/>
    </row>
    <row r="73" spans="1:23">
      <c r="A73" s="49">
        <v>72</v>
      </c>
      <c r="B73" s="172">
        <f>AgeStanSec!B73/86400</f>
        <v>3.8773148148148148E-3</v>
      </c>
      <c r="C73" s="169">
        <f>AgeStanSec!C73/86400</f>
        <v>1.2442129629629629E-2</v>
      </c>
      <c r="D73" s="142">
        <f>AgeStanSec!D73/86400</f>
        <v>1.5034722222222222E-2</v>
      </c>
      <c r="E73" s="142">
        <f>AgeStanSec!E73/86400</f>
        <v>1.6157407407407409E-2</v>
      </c>
      <c r="F73" s="142">
        <f>AgeStanSec!F73/86400</f>
        <v>2.0266203703703703E-2</v>
      </c>
      <c r="G73" s="142">
        <f>AgeStanSec!G73/86400</f>
        <v>2.0416666666666666E-2</v>
      </c>
      <c r="H73" s="142">
        <f>AgeStanSec!H73/86400</f>
        <v>2.5555555555555557E-2</v>
      </c>
      <c r="I73" s="142">
        <f>AgeStanSec!I73/86400</f>
        <v>3.0972222222222224E-2</v>
      </c>
      <c r="J73" s="142">
        <f>AgeStanSec!J73/86400</f>
        <v>3.9166666666666669E-2</v>
      </c>
      <c r="K73" s="142">
        <f>AgeStanSec!K73/86400</f>
        <v>4.2129629629629628E-2</v>
      </c>
      <c r="L73" s="142">
        <f>AgeStanSec!L73/86400</f>
        <v>5.3055555555555557E-2</v>
      </c>
      <c r="M73" s="142">
        <f>AgeStanSec!M73/86400</f>
        <v>5.6203703703703707E-2</v>
      </c>
      <c r="N73" s="142">
        <f>AgeStanSec!N73/86400</f>
        <v>6.682870370370371E-2</v>
      </c>
      <c r="O73" s="142">
        <f>AgeStanSec!O73/86400</f>
        <v>8.0844907407407407E-2</v>
      </c>
      <c r="P73" s="142">
        <f>AgeStanSec!P73/86400</f>
        <v>0.11704861111111112</v>
      </c>
      <c r="Q73" s="142">
        <f>AgeStanSec!Q73/86400</f>
        <v>0.14269675925925926</v>
      </c>
      <c r="R73" s="142">
        <f>AgeStanSec!R73/86400</f>
        <v>0.26015046296296296</v>
      </c>
      <c r="S73" s="142">
        <f>AgeStanSec!S73/86400</f>
        <v>0.34556712962962965</v>
      </c>
      <c r="T73" s="142">
        <f>AgeStanSec!T73/86400</f>
        <v>0.58728009259259262</v>
      </c>
      <c r="U73" s="142">
        <f>AgeStanSec!U73/86400</f>
        <v>0.64373842592592589</v>
      </c>
      <c r="V73" s="142"/>
      <c r="W73" s="47"/>
    </row>
    <row r="74" spans="1:23">
      <c r="A74" s="49">
        <v>73</v>
      </c>
      <c r="B74" s="172">
        <f>AgeStanSec!B74/86400</f>
        <v>3.9467592592592592E-3</v>
      </c>
      <c r="C74" s="169">
        <f>AgeStanSec!C74/86400</f>
        <v>1.2615740740740742E-2</v>
      </c>
      <c r="D74" s="142">
        <f>AgeStanSec!D74/86400</f>
        <v>1.5243055555555555E-2</v>
      </c>
      <c r="E74" s="142">
        <f>AgeStanSec!E74/86400</f>
        <v>1.638888888888889E-2</v>
      </c>
      <c r="F74" s="142">
        <f>AgeStanSec!F74/86400</f>
        <v>2.0543981481481483E-2</v>
      </c>
      <c r="G74" s="142">
        <f>AgeStanSec!G74/86400</f>
        <v>2.0682870370370369E-2</v>
      </c>
      <c r="H74" s="142">
        <f>AgeStanSec!H74/86400</f>
        <v>2.5891203703703704E-2</v>
      </c>
      <c r="I74" s="142">
        <f>AgeStanSec!I74/86400</f>
        <v>3.138888888888889E-2</v>
      </c>
      <c r="J74" s="142">
        <f>AgeStanSec!J74/86400</f>
        <v>3.9722222222222221E-2</v>
      </c>
      <c r="K74" s="142">
        <f>AgeStanSec!K74/86400</f>
        <v>4.2731481481481481E-2</v>
      </c>
      <c r="L74" s="142">
        <f>AgeStanSec!L74/86400</f>
        <v>5.3865740740740742E-2</v>
      </c>
      <c r="M74" s="142">
        <f>AgeStanSec!M74/86400</f>
        <v>5.707175925925926E-2</v>
      </c>
      <c r="N74" s="142">
        <f>AgeStanSec!N74/86400</f>
        <v>6.7835648148148145E-2</v>
      </c>
      <c r="O74" s="142">
        <f>AgeStanSec!O74/86400</f>
        <v>8.200231481481482E-2</v>
      </c>
      <c r="P74" s="142">
        <f>AgeStanSec!P74/86400</f>
        <v>0.11864583333333334</v>
      </c>
      <c r="Q74" s="142">
        <f>AgeStanSec!Q74/86400</f>
        <v>0.14462962962962964</v>
      </c>
      <c r="R74" s="142">
        <f>AgeStanSec!R74/86400</f>
        <v>0.26369212962962962</v>
      </c>
      <c r="S74" s="142">
        <f>AgeStanSec!S74/86400</f>
        <v>0.3502777777777778</v>
      </c>
      <c r="T74" s="142">
        <f>AgeStanSec!T74/86400</f>
        <v>0.59526620370370376</v>
      </c>
      <c r="U74" s="142">
        <f>AgeStanSec!U74/86400</f>
        <v>0.65249999999999997</v>
      </c>
      <c r="V74" s="142"/>
      <c r="W74" s="47"/>
    </row>
    <row r="75" spans="1:23">
      <c r="A75" s="49">
        <v>74</v>
      </c>
      <c r="B75" s="172">
        <f>AgeStanSec!B75/86400</f>
        <v>4.0277777777777777E-3</v>
      </c>
      <c r="C75" s="169">
        <f>AgeStanSec!C75/86400</f>
        <v>1.2812499999999999E-2</v>
      </c>
      <c r="D75" s="142">
        <f>AgeStanSec!D75/86400</f>
        <v>1.5474537037037037E-2</v>
      </c>
      <c r="E75" s="142">
        <f>AgeStanSec!E75/86400</f>
        <v>1.6631944444444446E-2</v>
      </c>
      <c r="F75" s="142">
        <f>AgeStanSec!F75/86400</f>
        <v>2.0833333333333332E-2</v>
      </c>
      <c r="G75" s="142">
        <f>AgeStanSec!G75/86400</f>
        <v>2.0983796296296296E-2</v>
      </c>
      <c r="H75" s="142">
        <f>AgeStanSec!H75/86400</f>
        <v>2.6249999999999999E-2</v>
      </c>
      <c r="I75" s="142">
        <f>AgeStanSec!I75/86400</f>
        <v>3.1851851851851853E-2</v>
      </c>
      <c r="J75" s="142">
        <f>AgeStanSec!J75/86400</f>
        <v>4.0335648148148148E-2</v>
      </c>
      <c r="K75" s="142">
        <f>AgeStanSec!K75/86400</f>
        <v>4.3391203703703703E-2</v>
      </c>
      <c r="L75" s="142">
        <f>AgeStanSec!L75/86400</f>
        <v>5.4733796296296294E-2</v>
      </c>
      <c r="M75" s="142">
        <f>AgeStanSec!M75/86400</f>
        <v>5.800925925925926E-2</v>
      </c>
      <c r="N75" s="142">
        <f>AgeStanSec!N75/86400</f>
        <v>6.8912037037037036E-2</v>
      </c>
      <c r="O75" s="142">
        <f>AgeStanSec!O75/86400</f>
        <v>8.3275462962962968E-2</v>
      </c>
      <c r="P75" s="142">
        <f>AgeStanSec!P75/86400</f>
        <v>0.12041666666666667</v>
      </c>
      <c r="Q75" s="142">
        <f>AgeStanSec!Q75/86400</f>
        <v>0.14679398148148148</v>
      </c>
      <c r="R75" s="142">
        <f>AgeStanSec!R75/86400</f>
        <v>0.26762731481481483</v>
      </c>
      <c r="S75" s="142">
        <f>AgeStanSec!S75/86400</f>
        <v>0.35550925925925925</v>
      </c>
      <c r="T75" s="142">
        <f>AgeStanSec!T75/86400</f>
        <v>0.60416666666666663</v>
      </c>
      <c r="U75" s="142">
        <f>AgeStanSec!U75/86400</f>
        <v>0.6622569444444445</v>
      </c>
      <c r="V75" s="142"/>
      <c r="W75" s="47"/>
    </row>
    <row r="76" spans="1:23">
      <c r="A76" s="54">
        <v>75</v>
      </c>
      <c r="B76" s="173">
        <f>AgeStanSec!B76/86400</f>
        <v>4.1203703703703706E-3</v>
      </c>
      <c r="C76" s="170">
        <f>AgeStanSec!C76/86400</f>
        <v>1.3020833333333334E-2</v>
      </c>
      <c r="D76" s="143">
        <f>AgeStanSec!D76/86400</f>
        <v>1.5729166666666666E-2</v>
      </c>
      <c r="E76" s="143">
        <f>AgeStanSec!E76/86400</f>
        <v>1.6898148148148148E-2</v>
      </c>
      <c r="F76" s="143">
        <f>AgeStanSec!F76/86400</f>
        <v>2.1168981481481483E-2</v>
      </c>
      <c r="G76" s="143">
        <f>AgeStanSec!G76/86400</f>
        <v>2.1319444444444443E-2</v>
      </c>
      <c r="H76" s="143">
        <f>AgeStanSec!H76/86400</f>
        <v>2.6655092592592591E-2</v>
      </c>
      <c r="I76" s="143">
        <f>AgeStanSec!I76/86400</f>
        <v>3.2361111111111111E-2</v>
      </c>
      <c r="J76" s="143">
        <f>AgeStanSec!J76/86400</f>
        <v>4.1006944444444443E-2</v>
      </c>
      <c r="K76" s="143">
        <f>AgeStanSec!K76/86400</f>
        <v>4.4131944444444446E-2</v>
      </c>
      <c r="L76" s="143">
        <f>AgeStanSec!L76/86400</f>
        <v>5.5706018518518516E-2</v>
      </c>
      <c r="M76" s="143">
        <f>AgeStanSec!M76/86400</f>
        <v>5.903935185185185E-2</v>
      </c>
      <c r="N76" s="143">
        <f>AgeStanSec!N76/86400</f>
        <v>7.0104166666666662E-2</v>
      </c>
      <c r="O76" s="143">
        <f>AgeStanSec!O76/86400</f>
        <v>8.4699074074074079E-2</v>
      </c>
      <c r="P76" s="143">
        <f>AgeStanSec!P76/86400</f>
        <v>0.12238425925925926</v>
      </c>
      <c r="Q76" s="143">
        <f>AgeStanSec!Q76/86400</f>
        <v>0.1492013888888889</v>
      </c>
      <c r="R76" s="143">
        <f>AgeStanSec!R76/86400</f>
        <v>0.27201388888888889</v>
      </c>
      <c r="S76" s="143">
        <f>AgeStanSec!S76/86400</f>
        <v>0.36133101851851851</v>
      </c>
      <c r="T76" s="143">
        <f>AgeStanSec!T76/86400</f>
        <v>0.61406249999999996</v>
      </c>
      <c r="U76" s="143">
        <f>AgeStanSec!U76/86400</f>
        <v>0.6731018518518519</v>
      </c>
      <c r="V76" s="143"/>
      <c r="W76" s="47"/>
    </row>
    <row r="77" spans="1:23">
      <c r="A77" s="49">
        <v>76</v>
      </c>
      <c r="B77" s="172">
        <f>AgeStanSec!B77/86400</f>
        <v>4.2245370370370371E-3</v>
      </c>
      <c r="C77" s="169">
        <f>AgeStanSec!C77/86400</f>
        <v>1.3252314814814814E-2</v>
      </c>
      <c r="D77" s="142">
        <f>AgeStanSec!D77/86400</f>
        <v>1.5995370370370372E-2</v>
      </c>
      <c r="E77" s="142">
        <f>AgeStanSec!E77/86400</f>
        <v>1.7187500000000001E-2</v>
      </c>
      <c r="F77" s="142">
        <f>AgeStanSec!F77/86400</f>
        <v>2.1527777777777778E-2</v>
      </c>
      <c r="G77" s="142">
        <f>AgeStanSec!G77/86400</f>
        <v>2.1678240740740741E-2</v>
      </c>
      <c r="H77" s="142">
        <f>AgeStanSec!H77/86400</f>
        <v>2.7094907407407408E-2</v>
      </c>
      <c r="I77" s="142">
        <f>AgeStanSec!I77/86400</f>
        <v>3.2916666666666664E-2</v>
      </c>
      <c r="J77" s="142">
        <f>AgeStanSec!J77/86400</f>
        <v>4.1736111111111113E-2</v>
      </c>
      <c r="K77" s="142">
        <f>AgeStanSec!K77/86400</f>
        <v>4.4930555555555557E-2</v>
      </c>
      <c r="L77" s="142">
        <f>AgeStanSec!L77/86400</f>
        <v>5.6759259259259259E-2</v>
      </c>
      <c r="M77" s="142">
        <f>AgeStanSec!M77/86400</f>
        <v>6.0162037037037035E-2</v>
      </c>
      <c r="N77" s="142">
        <f>AgeStanSec!N77/86400</f>
        <v>7.1435185185185185E-2</v>
      </c>
      <c r="O77" s="142">
        <f>AgeStanSec!O77/86400</f>
        <v>8.6273148148148154E-2</v>
      </c>
      <c r="P77" s="142">
        <f>AgeStanSec!P77/86400</f>
        <v>0.1245949074074074</v>
      </c>
      <c r="Q77" s="142">
        <f>AgeStanSec!Q77/86400</f>
        <v>0.15188657407407408</v>
      </c>
      <c r="R77" s="142">
        <f>AgeStanSec!R77/86400</f>
        <v>0.27690972222222221</v>
      </c>
      <c r="S77" s="142">
        <f>AgeStanSec!S77/86400</f>
        <v>0.36783564814814818</v>
      </c>
      <c r="T77" s="142">
        <f>AgeStanSec!T77/86400</f>
        <v>0.62511574074074072</v>
      </c>
      <c r="U77" s="142">
        <f>AgeStanSec!U77/86400</f>
        <v>0.68520833333333331</v>
      </c>
      <c r="V77" s="142"/>
      <c r="W77" s="47"/>
    </row>
    <row r="78" spans="1:23">
      <c r="A78" s="49">
        <v>77</v>
      </c>
      <c r="B78" s="172">
        <f>AgeStanSec!B78/86400</f>
        <v>4.3287037037037035E-3</v>
      </c>
      <c r="C78" s="169">
        <f>AgeStanSec!C78/86400</f>
        <v>1.3506944444444445E-2</v>
      </c>
      <c r="D78" s="142">
        <f>AgeStanSec!D78/86400</f>
        <v>1.6296296296296295E-2</v>
      </c>
      <c r="E78" s="142">
        <f>AgeStanSec!E78/86400</f>
        <v>1.7511574074074075E-2</v>
      </c>
      <c r="F78" s="142">
        <f>AgeStanSec!F78/86400</f>
        <v>2.1909722222222223E-2</v>
      </c>
      <c r="G78" s="142">
        <f>AgeStanSec!G78/86400</f>
        <v>2.207175925925926E-2</v>
      </c>
      <c r="H78" s="142">
        <f>AgeStanSec!H78/86400</f>
        <v>2.7581018518518519E-2</v>
      </c>
      <c r="I78" s="142">
        <f>AgeStanSec!I78/86400</f>
        <v>3.3518518518518517E-2</v>
      </c>
      <c r="J78" s="142">
        <f>AgeStanSec!J78/86400</f>
        <v>4.2546296296296297E-2</v>
      </c>
      <c r="K78" s="142">
        <f>AgeStanSec!K78/86400</f>
        <v>4.5810185185185183E-2</v>
      </c>
      <c r="L78" s="142">
        <f>AgeStanSec!L78/86400</f>
        <v>5.7916666666666665E-2</v>
      </c>
      <c r="M78" s="142">
        <f>AgeStanSec!M78/86400</f>
        <v>6.1400462962962962E-2</v>
      </c>
      <c r="N78" s="142">
        <f>AgeStanSec!N78/86400</f>
        <v>7.2893518518518524E-2</v>
      </c>
      <c r="O78" s="142">
        <f>AgeStanSec!O78/86400</f>
        <v>8.8009259259259259E-2</v>
      </c>
      <c r="P78" s="142">
        <f>AgeStanSec!P78/86400</f>
        <v>0.12702546296296297</v>
      </c>
      <c r="Q78" s="142">
        <f>AgeStanSec!Q78/86400</f>
        <v>0.15486111111111112</v>
      </c>
      <c r="R78" s="142">
        <f>AgeStanSec!R78/86400</f>
        <v>0.28232638888888889</v>
      </c>
      <c r="S78" s="142">
        <f>AgeStanSec!S78/86400</f>
        <v>0.37503472222222223</v>
      </c>
      <c r="T78" s="142">
        <f>AgeStanSec!T78/86400</f>
        <v>0.63734953703703701</v>
      </c>
      <c r="U78" s="142">
        <f>AgeStanSec!U78/86400</f>
        <v>0.69862268518518522</v>
      </c>
      <c r="V78" s="142"/>
      <c r="W78" s="47"/>
    </row>
    <row r="79" spans="1:23">
      <c r="A79" s="49">
        <v>78</v>
      </c>
      <c r="B79" s="172">
        <f>AgeStanSec!B79/86400</f>
        <v>4.4560185185185189E-3</v>
      </c>
      <c r="C79" s="169">
        <f>AgeStanSec!C79/86400</f>
        <v>1.3784722222222223E-2</v>
      </c>
      <c r="D79" s="142">
        <f>AgeStanSec!D79/86400</f>
        <v>1.6631944444444446E-2</v>
      </c>
      <c r="E79" s="142">
        <f>AgeStanSec!E79/86400</f>
        <v>1.7858796296296296E-2</v>
      </c>
      <c r="F79" s="142">
        <f>AgeStanSec!F79/86400</f>
        <v>2.2349537037037036E-2</v>
      </c>
      <c r="G79" s="142">
        <f>AgeStanSec!G79/86400</f>
        <v>2.2499999999999999E-2</v>
      </c>
      <c r="H79" s="142">
        <f>AgeStanSec!H79/86400</f>
        <v>2.8113425925925927E-2</v>
      </c>
      <c r="I79" s="142">
        <f>AgeStanSec!I79/86400</f>
        <v>3.4189814814814812E-2</v>
      </c>
      <c r="J79" s="142">
        <f>AgeStanSec!J79/86400</f>
        <v>4.3425925925925923E-2</v>
      </c>
      <c r="K79" s="142">
        <f>AgeStanSec!K79/86400</f>
        <v>4.6770833333333331E-2</v>
      </c>
      <c r="L79" s="142">
        <f>AgeStanSec!L79/86400</f>
        <v>5.917824074074074E-2</v>
      </c>
      <c r="M79" s="142">
        <f>AgeStanSec!M79/86400</f>
        <v>6.2754629629629632E-2</v>
      </c>
      <c r="N79" s="142">
        <f>AgeStanSec!N79/86400</f>
        <v>7.4479166666666666E-2</v>
      </c>
      <c r="O79" s="142">
        <f>AgeStanSec!O79/86400</f>
        <v>8.9907407407407408E-2</v>
      </c>
      <c r="P79" s="142">
        <f>AgeStanSec!P79/86400</f>
        <v>0.12972222222222221</v>
      </c>
      <c r="Q79" s="142">
        <f>AgeStanSec!Q79/86400</f>
        <v>0.15814814814814815</v>
      </c>
      <c r="R79" s="142">
        <f>AgeStanSec!R79/86400</f>
        <v>0.28832175925925924</v>
      </c>
      <c r="S79" s="142">
        <f>AgeStanSec!S79/86400</f>
        <v>0.38299768518518518</v>
      </c>
      <c r="T79" s="142">
        <f>AgeStanSec!T79/86400</f>
        <v>0.6508680555555556</v>
      </c>
      <c r="U79" s="142"/>
      <c r="V79" s="142"/>
      <c r="W79" s="47"/>
    </row>
    <row r="80" spans="1:23">
      <c r="A80" s="49">
        <v>79</v>
      </c>
      <c r="B80" s="172">
        <f>AgeStanSec!B80/86400</f>
        <v>4.5949074074074078E-3</v>
      </c>
      <c r="C80" s="169">
        <f>AgeStanSec!C80/86400</f>
        <v>1.4085648148148147E-2</v>
      </c>
      <c r="D80" s="142">
        <f>AgeStanSec!D80/86400</f>
        <v>1.6979166666666667E-2</v>
      </c>
      <c r="E80" s="142">
        <f>AgeStanSec!E80/86400</f>
        <v>1.8240740740740741E-2</v>
      </c>
      <c r="F80" s="142">
        <f>AgeStanSec!F80/86400</f>
        <v>2.2812499999999999E-2</v>
      </c>
      <c r="G80" s="142">
        <f>AgeStanSec!G80/86400</f>
        <v>2.2974537037037036E-2</v>
      </c>
      <c r="H80" s="142">
        <f>AgeStanSec!H80/86400</f>
        <v>2.8703703703703703E-2</v>
      </c>
      <c r="I80" s="142">
        <f>AgeStanSec!I80/86400</f>
        <v>3.4930555555555555E-2</v>
      </c>
      <c r="J80" s="142">
        <f>AgeStanSec!J80/86400</f>
        <v>4.4398148148148145E-2</v>
      </c>
      <c r="K80" s="142">
        <f>AgeStanSec!K80/86400</f>
        <v>4.7824074074074074E-2</v>
      </c>
      <c r="L80" s="142">
        <f>AgeStanSec!L80/86400</f>
        <v>6.056712962962963E-2</v>
      </c>
      <c r="M80" s="142">
        <f>AgeStanSec!M80/86400</f>
        <v>6.4236111111111105E-2</v>
      </c>
      <c r="N80" s="142">
        <f>AgeStanSec!N80/86400</f>
        <v>7.6238425925925932E-2</v>
      </c>
      <c r="O80" s="142">
        <f>AgeStanSec!O80/86400</f>
        <v>9.2013888888888895E-2</v>
      </c>
      <c r="P80" s="142">
        <f>AgeStanSec!P80/86400</f>
        <v>0.13273148148148148</v>
      </c>
      <c r="Q80" s="142">
        <f>AgeStanSec!Q80/86400</f>
        <v>0.16180555555555556</v>
      </c>
      <c r="R80" s="142">
        <f>AgeStanSec!R80/86400</f>
        <v>0.29498842592592595</v>
      </c>
      <c r="S80" s="142">
        <f>AgeStanSec!S80/86400</f>
        <v>0.39185185185185184</v>
      </c>
      <c r="T80" s="142">
        <f>AgeStanSec!T80/86400</f>
        <v>0.66593749999999996</v>
      </c>
      <c r="U80" s="142"/>
      <c r="V80" s="142"/>
      <c r="W80" s="47"/>
    </row>
    <row r="81" spans="1:23">
      <c r="A81" s="54">
        <v>80</v>
      </c>
      <c r="B81" s="173">
        <f>AgeStanSec!B81/86400</f>
        <v>4.7453703703703703E-3</v>
      </c>
      <c r="C81" s="170">
        <f>AgeStanSec!C81/86400</f>
        <v>1.4409722222222223E-2</v>
      </c>
      <c r="D81" s="143">
        <f>AgeStanSec!D81/86400</f>
        <v>1.7372685185185185E-2</v>
      </c>
      <c r="E81" s="143">
        <f>AgeStanSec!E81/86400</f>
        <v>1.8657407407407407E-2</v>
      </c>
      <c r="F81" s="143">
        <f>AgeStanSec!F81/86400</f>
        <v>2.3333333333333334E-2</v>
      </c>
      <c r="G81" s="143">
        <f>AgeStanSec!G81/86400</f>
        <v>2.3495370370370371E-2</v>
      </c>
      <c r="H81" s="143">
        <f>AgeStanSec!H81/86400</f>
        <v>2.9340277777777778E-2</v>
      </c>
      <c r="I81" s="143">
        <f>AgeStanSec!I81/86400</f>
        <v>3.577546296296296E-2</v>
      </c>
      <c r="J81" s="143">
        <f>AgeStanSec!J81/86400</f>
        <v>4.5462962962962962E-2</v>
      </c>
      <c r="K81" s="143">
        <f>AgeStanSec!K81/86400</f>
        <v>4.8993055555555554E-2</v>
      </c>
      <c r="L81" s="143">
        <f>AgeStanSec!L81/86400</f>
        <v>6.2094907407407404E-2</v>
      </c>
      <c r="M81" s="143">
        <f>AgeStanSec!M81/86400</f>
        <v>6.5879629629629635E-2</v>
      </c>
      <c r="N81" s="143">
        <f>AgeStanSec!N81/86400</f>
        <v>7.8159722222222228E-2</v>
      </c>
      <c r="O81" s="143">
        <f>AgeStanSec!O81/86400</f>
        <v>9.4340277777777773E-2</v>
      </c>
      <c r="P81" s="143">
        <f>AgeStanSec!P81/86400</f>
        <v>0.13605324074074074</v>
      </c>
      <c r="Q81" s="143">
        <f>AgeStanSec!Q81/86400</f>
        <v>0.16585648148148149</v>
      </c>
      <c r="R81" s="143">
        <f>AgeStanSec!R81/86400</f>
        <v>0.30237268518518517</v>
      </c>
      <c r="S81" s="143">
        <f>AgeStanSec!S81/86400</f>
        <v>0.40165509259259258</v>
      </c>
      <c r="T81" s="143">
        <f>AgeStanSec!T81/86400</f>
        <v>0.68259259259259264</v>
      </c>
      <c r="U81" s="143"/>
      <c r="V81" s="143"/>
      <c r="W81" s="47"/>
    </row>
    <row r="82" spans="1:23">
      <c r="A82" s="49">
        <v>81</v>
      </c>
      <c r="B82" s="172">
        <f>AgeStanSec!B82/86400</f>
        <v>4.9074074074074072E-3</v>
      </c>
      <c r="C82" s="169">
        <f>AgeStanSec!C82/86400</f>
        <v>1.4768518518518519E-2</v>
      </c>
      <c r="D82" s="142">
        <f>AgeStanSec!D82/86400</f>
        <v>1.7800925925925925E-2</v>
      </c>
      <c r="E82" s="142">
        <f>AgeStanSec!E82/86400</f>
        <v>1.9120370370370371E-2</v>
      </c>
      <c r="F82" s="142">
        <f>AgeStanSec!F82/86400</f>
        <v>2.388888888888889E-2</v>
      </c>
      <c r="G82" s="142">
        <f>AgeStanSec!G82/86400</f>
        <v>2.4062500000000001E-2</v>
      </c>
      <c r="H82" s="142">
        <f>AgeStanSec!H82/86400</f>
        <v>3.0034722222222223E-2</v>
      </c>
      <c r="I82" s="142">
        <f>AgeStanSec!I82/86400</f>
        <v>3.6608796296296299E-2</v>
      </c>
      <c r="J82" s="142">
        <f>AgeStanSec!J82/86400</f>
        <v>4.6631944444444441E-2</v>
      </c>
      <c r="K82" s="142">
        <f>AgeStanSec!K82/86400</f>
        <v>5.0266203703703702E-2</v>
      </c>
      <c r="L82" s="142">
        <f>AgeStanSec!L82/86400</f>
        <v>6.3773148148148148E-2</v>
      </c>
      <c r="M82" s="142">
        <f>AgeStanSec!M82/86400</f>
        <v>6.7673611111111115E-2</v>
      </c>
      <c r="N82" s="142">
        <f>AgeStanSec!N82/86400</f>
        <v>8.0300925925925928E-2</v>
      </c>
      <c r="O82" s="142">
        <f>AgeStanSec!O82/86400</f>
        <v>9.6909722222222217E-2</v>
      </c>
      <c r="P82" s="142">
        <f>AgeStanSec!P82/86400</f>
        <v>0.13974537037037038</v>
      </c>
      <c r="Q82" s="142">
        <f>AgeStanSec!Q82/86400</f>
        <v>0.17037037037037037</v>
      </c>
      <c r="R82" s="142">
        <f>AgeStanSec!R82/86400</f>
        <v>0.31060185185185185</v>
      </c>
      <c r="S82" s="142">
        <f>AgeStanSec!S82/86400</f>
        <v>0.41259259259259257</v>
      </c>
      <c r="T82" s="142"/>
      <c r="U82" s="142"/>
      <c r="V82" s="142"/>
      <c r="W82" s="47"/>
    </row>
    <row r="83" spans="1:23">
      <c r="A83" s="49">
        <v>82</v>
      </c>
      <c r="B83" s="172">
        <f>AgeStanSec!B83/86400</f>
        <v>5.1041666666666666E-3</v>
      </c>
      <c r="C83" s="169">
        <f>AgeStanSec!C83/86400</f>
        <v>1.5150462962962963E-2</v>
      </c>
      <c r="D83" s="142">
        <f>AgeStanSec!D83/86400</f>
        <v>1.8263888888888889E-2</v>
      </c>
      <c r="E83" s="142">
        <f>AgeStanSec!E83/86400</f>
        <v>1.9618055555555555E-2</v>
      </c>
      <c r="F83" s="142">
        <f>AgeStanSec!F83/86400</f>
        <v>2.4513888888888891E-2</v>
      </c>
      <c r="G83" s="142">
        <f>AgeStanSec!G83/86400</f>
        <v>2.4687500000000001E-2</v>
      </c>
      <c r="H83" s="142">
        <f>AgeStanSec!H83/86400</f>
        <v>3.0810185185185184E-2</v>
      </c>
      <c r="I83" s="142">
        <f>AgeStanSec!I83/86400</f>
        <v>3.7581018518518521E-2</v>
      </c>
      <c r="J83" s="142">
        <f>AgeStanSec!J83/86400</f>
        <v>4.791666666666667E-2</v>
      </c>
      <c r="K83" s="142">
        <f>AgeStanSec!K83/86400</f>
        <v>5.1666666666666666E-2</v>
      </c>
      <c r="L83" s="142">
        <f>AgeStanSec!L83/86400</f>
        <v>6.5625000000000003E-2</v>
      </c>
      <c r="M83" s="142">
        <f>AgeStanSec!M83/86400</f>
        <v>6.9652777777777772E-2</v>
      </c>
      <c r="N83" s="142">
        <f>AgeStanSec!N83/86400</f>
        <v>8.2662037037037034E-2</v>
      </c>
      <c r="O83" s="142">
        <f>AgeStanSec!O83/86400</f>
        <v>9.975694444444444E-2</v>
      </c>
      <c r="P83" s="142">
        <f>AgeStanSec!P83/86400</f>
        <v>0.14385416666666667</v>
      </c>
      <c r="Q83" s="142">
        <f>AgeStanSec!Q83/86400</f>
        <v>0.17537037037037037</v>
      </c>
      <c r="R83" s="142">
        <f>AgeStanSec!R83/86400</f>
        <v>0.31972222222222224</v>
      </c>
      <c r="S83" s="142">
        <f>AgeStanSec!S83/86400</f>
        <v>0.42471064814814813</v>
      </c>
      <c r="T83" s="142"/>
      <c r="U83" s="142"/>
      <c r="V83" s="142"/>
      <c r="W83" s="47"/>
    </row>
    <row r="84" spans="1:23">
      <c r="A84" s="49">
        <v>83</v>
      </c>
      <c r="B84" s="172">
        <f>AgeStanSec!B84/86400</f>
        <v>5.3125000000000004E-3</v>
      </c>
      <c r="C84" s="169">
        <f>AgeStanSec!C84/86400</f>
        <v>1.5578703703703704E-2</v>
      </c>
      <c r="D84" s="142">
        <f>AgeStanSec!D84/86400</f>
        <v>1.8773148148148146E-2</v>
      </c>
      <c r="E84" s="142">
        <f>AgeStanSec!E84/86400</f>
        <v>2.0162037037037037E-2</v>
      </c>
      <c r="F84" s="142">
        <f>AgeStanSec!F84/86400</f>
        <v>2.5196759259259259E-2</v>
      </c>
      <c r="G84" s="142">
        <f>AgeStanSec!G84/86400</f>
        <v>2.537037037037037E-2</v>
      </c>
      <c r="H84" s="142">
        <f>AgeStanSec!H84/86400</f>
        <v>3.1655092592592596E-2</v>
      </c>
      <c r="I84" s="142">
        <f>AgeStanSec!I84/86400</f>
        <v>3.8645833333333331E-2</v>
      </c>
      <c r="J84" s="142">
        <f>AgeStanSec!J84/86400</f>
        <v>4.9328703703703701E-2</v>
      </c>
      <c r="K84" s="142">
        <f>AgeStanSec!K84/86400</f>
        <v>5.3217592592592594E-2</v>
      </c>
      <c r="L84" s="142">
        <f>AgeStanSec!L84/86400</f>
        <v>6.7650462962962968E-2</v>
      </c>
      <c r="M84" s="142">
        <f>AgeStanSec!M84/86400</f>
        <v>7.1840277777777781E-2</v>
      </c>
      <c r="N84" s="142">
        <f>AgeStanSec!N84/86400</f>
        <v>8.5254629629629625E-2</v>
      </c>
      <c r="O84" s="142">
        <f>AgeStanSec!O84/86400</f>
        <v>0.10289351851851852</v>
      </c>
      <c r="P84" s="142">
        <f>AgeStanSec!P84/86400</f>
        <v>0.14841435185185184</v>
      </c>
      <c r="Q84" s="142">
        <f>AgeStanSec!Q84/86400</f>
        <v>0.1809375</v>
      </c>
      <c r="R84" s="142">
        <f>AgeStanSec!R84/86400</f>
        <v>0.3298726851851852</v>
      </c>
      <c r="S84" s="142">
        <f>AgeStanSec!S84/86400</f>
        <v>0.43818287037037035</v>
      </c>
      <c r="T84" s="142"/>
      <c r="U84" s="142"/>
      <c r="V84" s="142"/>
      <c r="W84" s="47"/>
    </row>
    <row r="85" spans="1:23">
      <c r="A85" s="49">
        <v>84</v>
      </c>
      <c r="B85" s="172">
        <f>AgeStanSec!B85/86400</f>
        <v>5.5555555555555558E-3</v>
      </c>
      <c r="C85" s="169">
        <f>AgeStanSec!C85/86400</f>
        <v>1.6053240740740739E-2</v>
      </c>
      <c r="D85" s="142">
        <f>AgeStanSec!D85/86400</f>
        <v>1.9340277777777779E-2</v>
      </c>
      <c r="E85" s="142">
        <f>AgeStanSec!E85/86400</f>
        <v>2.0763888888888887E-2</v>
      </c>
      <c r="F85" s="142">
        <f>AgeStanSec!F85/86400</f>
        <v>2.5937499999999999E-2</v>
      </c>
      <c r="G85" s="142">
        <f>AgeStanSec!G85/86400</f>
        <v>2.6122685185185186E-2</v>
      </c>
      <c r="H85" s="142">
        <f>AgeStanSec!H85/86400</f>
        <v>3.2581018518518516E-2</v>
      </c>
      <c r="I85" s="142">
        <f>AgeStanSec!I85/86400</f>
        <v>3.982638888888889E-2</v>
      </c>
      <c r="J85" s="142">
        <f>AgeStanSec!J85/86400</f>
        <v>5.0902777777777776E-2</v>
      </c>
      <c r="K85" s="142">
        <f>AgeStanSec!K85/86400</f>
        <v>5.4930555555555559E-2</v>
      </c>
      <c r="L85" s="142">
        <f>AgeStanSec!L85/86400</f>
        <v>6.9930555555555551E-2</v>
      </c>
      <c r="M85" s="142">
        <f>AgeStanSec!M85/86400</f>
        <v>7.4270833333333328E-2</v>
      </c>
      <c r="N85" s="142">
        <f>AgeStanSec!N85/86400</f>
        <v>8.8136574074074076E-2</v>
      </c>
      <c r="O85" s="142">
        <f>AgeStanSec!O85/86400</f>
        <v>0.10640046296296296</v>
      </c>
      <c r="P85" s="142">
        <f>AgeStanSec!P85/86400</f>
        <v>0.15353009259259259</v>
      </c>
      <c r="Q85" s="142">
        <f>AgeStanSec!Q85/86400</f>
        <v>0.18717592592592591</v>
      </c>
      <c r="R85" s="142">
        <f>AgeStanSec!R85/86400</f>
        <v>0.3412384259259259</v>
      </c>
      <c r="S85" s="142">
        <f>AgeStanSec!S85/86400</f>
        <v>0.45328703703703704</v>
      </c>
      <c r="T85" s="142"/>
      <c r="U85" s="142"/>
      <c r="V85" s="142"/>
      <c r="W85" s="47"/>
    </row>
    <row r="86" spans="1:23">
      <c r="A86" s="54">
        <v>85</v>
      </c>
      <c r="B86" s="173">
        <f>AgeStanSec!B86/86400</f>
        <v>5.8217592592592592E-3</v>
      </c>
      <c r="C86" s="170">
        <f>AgeStanSec!C86/86400</f>
        <v>1.6574074074074074E-2</v>
      </c>
      <c r="D86" s="143">
        <f>AgeStanSec!D86/86400</f>
        <v>1.9953703703703703E-2</v>
      </c>
      <c r="E86" s="143">
        <f>AgeStanSec!E86/86400</f>
        <v>2.1435185185185186E-2</v>
      </c>
      <c r="F86" s="143">
        <f>AgeStanSec!F86/86400</f>
        <v>2.6770833333333334E-2</v>
      </c>
      <c r="G86" s="143">
        <f>AgeStanSec!G86/86400</f>
        <v>2.6956018518518518E-2</v>
      </c>
      <c r="H86" s="143">
        <f>AgeStanSec!H86/86400</f>
        <v>3.3611111111111112E-2</v>
      </c>
      <c r="I86" s="143">
        <f>AgeStanSec!I86/86400</f>
        <v>4.1122685185185186E-2</v>
      </c>
      <c r="J86" s="143">
        <f>AgeStanSec!J86/86400</f>
        <v>5.2627314814814814E-2</v>
      </c>
      <c r="K86" s="143">
        <f>AgeStanSec!K86/86400</f>
        <v>5.6817129629629627E-2</v>
      </c>
      <c r="L86" s="143">
        <f>AgeStanSec!L86/86400</f>
        <v>7.2430555555555554E-2</v>
      </c>
      <c r="M86" s="143">
        <f>AgeStanSec!M86/86400</f>
        <v>7.6956018518518521E-2</v>
      </c>
      <c r="N86" s="143">
        <f>AgeStanSec!N86/86400</f>
        <v>9.1354166666666667E-2</v>
      </c>
      <c r="O86" s="143">
        <f>AgeStanSec!O86/86400</f>
        <v>0.11031249999999999</v>
      </c>
      <c r="P86" s="143">
        <f>AgeStanSec!P86/86400</f>
        <v>0.15925925925925927</v>
      </c>
      <c r="Q86" s="143">
        <f>AgeStanSec!Q86/86400</f>
        <v>0.19414351851851852</v>
      </c>
      <c r="R86" s="143">
        <f>AgeStanSec!R86/86400</f>
        <v>0.35395833333333332</v>
      </c>
      <c r="S86" s="143">
        <f>AgeStanSec!S86/86400</f>
        <v>0.47018518518518521</v>
      </c>
      <c r="T86" s="143"/>
      <c r="U86" s="143"/>
      <c r="V86" s="143"/>
      <c r="W86" s="47"/>
    </row>
    <row r="87" spans="1:23">
      <c r="A87" s="49">
        <v>86</v>
      </c>
      <c r="B87" s="172">
        <f>AgeStanSec!B87/86400</f>
        <v>6.1342592592592594E-3</v>
      </c>
      <c r="C87" s="169">
        <f>AgeStanSec!C87/86400</f>
        <v>1.7141203703703704E-2</v>
      </c>
      <c r="D87" s="142">
        <f>AgeStanSec!D87/86400</f>
        <v>2.0648148148148148E-2</v>
      </c>
      <c r="E87" s="142">
        <f>AgeStanSec!E87/86400</f>
        <v>2.2164351851851852E-2</v>
      </c>
      <c r="F87" s="142">
        <f>AgeStanSec!F87/86400</f>
        <v>2.7673611111111111E-2</v>
      </c>
      <c r="G87" s="142">
        <f>AgeStanSec!G87/86400</f>
        <v>2.7870370370370372E-2</v>
      </c>
      <c r="H87" s="142">
        <f>AgeStanSec!H87/86400</f>
        <v>3.4756944444444444E-2</v>
      </c>
      <c r="I87" s="142">
        <f>AgeStanSec!I87/86400</f>
        <v>4.2569444444444444E-2</v>
      </c>
      <c r="J87" s="142">
        <f>AgeStanSec!J87/86400</f>
        <v>5.4560185185185184E-2</v>
      </c>
      <c r="K87" s="142">
        <f>AgeStanSec!K87/86400</f>
        <v>5.8923611111111114E-2</v>
      </c>
      <c r="L87" s="142">
        <f>AgeStanSec!L87/86400</f>
        <v>7.5231481481481483E-2</v>
      </c>
      <c r="M87" s="142">
        <f>AgeStanSec!M87/86400</f>
        <v>7.9965277777777774E-2</v>
      </c>
      <c r="N87" s="142">
        <f>AgeStanSec!N87/86400</f>
        <v>9.4965277777777773E-2</v>
      </c>
      <c r="O87" s="142">
        <f>AgeStanSec!O87/86400</f>
        <v>0.11472222222222223</v>
      </c>
      <c r="P87" s="142">
        <f>AgeStanSec!P87/86400</f>
        <v>0.16571759259259258</v>
      </c>
      <c r="Q87" s="142">
        <f>AgeStanSec!Q87/86400</f>
        <v>0.20202546296296298</v>
      </c>
      <c r="R87" s="142">
        <f>AgeStanSec!R87/86400</f>
        <v>0.36832175925925925</v>
      </c>
      <c r="S87" s="142">
        <f>AgeStanSec!S87/86400</f>
        <v>0.48925925925925928</v>
      </c>
      <c r="T87" s="142"/>
      <c r="U87" s="142"/>
      <c r="V87" s="142"/>
      <c r="W87" s="47"/>
    </row>
    <row r="88" spans="1:23">
      <c r="A88" s="49">
        <v>87</v>
      </c>
      <c r="B88" s="172">
        <f>AgeStanSec!B88/86400</f>
        <v>6.4930555555555557E-3</v>
      </c>
      <c r="C88" s="169">
        <f>AgeStanSec!C88/86400</f>
        <v>1.7777777777777778E-2</v>
      </c>
      <c r="D88" s="142">
        <f>AgeStanSec!D88/86400</f>
        <v>2.1400462962962961E-2</v>
      </c>
      <c r="E88" s="142">
        <f>AgeStanSec!E88/86400</f>
        <v>2.2974537037037036E-2</v>
      </c>
      <c r="F88" s="142">
        <f>AgeStanSec!F88/86400</f>
        <v>2.869212962962963E-2</v>
      </c>
      <c r="G88" s="142">
        <f>AgeStanSec!G88/86400</f>
        <v>2.8900462962962965E-2</v>
      </c>
      <c r="H88" s="142">
        <f>AgeStanSec!H88/86400</f>
        <v>3.6030092592592593E-2</v>
      </c>
      <c r="I88" s="142">
        <f>AgeStanSec!I88/86400</f>
        <v>4.417824074074074E-2</v>
      </c>
      <c r="J88" s="142">
        <f>AgeStanSec!J88/86400</f>
        <v>5.6724537037037039E-2</v>
      </c>
      <c r="K88" s="142">
        <f>AgeStanSec!K88/86400</f>
        <v>6.1296296296296293E-2</v>
      </c>
      <c r="L88" s="142">
        <f>AgeStanSec!L88/86400</f>
        <v>7.8379629629629632E-2</v>
      </c>
      <c r="M88" s="142">
        <f>AgeStanSec!M88/86400</f>
        <v>8.3333333333333329E-2</v>
      </c>
      <c r="N88" s="142">
        <f>AgeStanSec!N88/86400</f>
        <v>9.9004629629629623E-2</v>
      </c>
      <c r="O88" s="142">
        <f>AgeStanSec!O88/86400</f>
        <v>0.11965277777777777</v>
      </c>
      <c r="P88" s="142">
        <f>AgeStanSec!P88/86400</f>
        <v>0.17300925925925925</v>
      </c>
      <c r="Q88" s="142">
        <f>AgeStanSec!Q88/86400</f>
        <v>0.21091435185185184</v>
      </c>
      <c r="R88" s="142">
        <f>AgeStanSec!R88/86400</f>
        <v>0.38452546296296297</v>
      </c>
      <c r="S88" s="142">
        <f>AgeStanSec!S88/86400</f>
        <v>0.51078703703703698</v>
      </c>
      <c r="T88" s="142"/>
      <c r="U88" s="142"/>
      <c r="V88" s="142"/>
      <c r="W88" s="47"/>
    </row>
    <row r="89" spans="1:23">
      <c r="A89" s="49">
        <v>88</v>
      </c>
      <c r="B89" s="172">
        <f>AgeStanSec!B89/86400</f>
        <v>6.9097222222222225E-3</v>
      </c>
      <c r="C89" s="169">
        <f>AgeStanSec!C89/86400</f>
        <v>1.8483796296296297E-2</v>
      </c>
      <c r="D89" s="142">
        <f>AgeStanSec!D89/86400</f>
        <v>2.2256944444444444E-2</v>
      </c>
      <c r="E89" s="142">
        <f>AgeStanSec!E89/86400</f>
        <v>2.388888888888889E-2</v>
      </c>
      <c r="F89" s="142">
        <f>AgeStanSec!F89/86400</f>
        <v>2.9826388888888888E-2</v>
      </c>
      <c r="G89" s="142">
        <f>AgeStanSec!G89/86400</f>
        <v>3.0034722222222223E-2</v>
      </c>
      <c r="H89" s="142">
        <f>AgeStanSec!H89/86400</f>
        <v>3.7442129629629631E-2</v>
      </c>
      <c r="I89" s="142">
        <f>AgeStanSec!I89/86400</f>
        <v>4.5983796296296293E-2</v>
      </c>
      <c r="J89" s="142">
        <f>AgeStanSec!J89/86400</f>
        <v>5.9131944444444445E-2</v>
      </c>
      <c r="K89" s="142">
        <f>AgeStanSec!K89/86400</f>
        <v>6.3946759259259259E-2</v>
      </c>
      <c r="L89" s="142">
        <f>AgeStanSec!L89/86400</f>
        <v>8.1921296296296298E-2</v>
      </c>
      <c r="M89" s="142">
        <f>AgeStanSec!M89/86400</f>
        <v>8.7129629629629626E-2</v>
      </c>
      <c r="N89" s="142">
        <f>AgeStanSec!N89/86400</f>
        <v>0.10356481481481482</v>
      </c>
      <c r="O89" s="142">
        <f>AgeStanSec!O89/86400</f>
        <v>0.12524305555555557</v>
      </c>
      <c r="P89" s="142">
        <f>AgeStanSec!P89/86400</f>
        <v>0.18129629629629629</v>
      </c>
      <c r="Q89" s="142">
        <f>AgeStanSec!Q89/86400</f>
        <v>0.22100694444444444</v>
      </c>
      <c r="R89" s="142">
        <f>AgeStanSec!R89/86400</f>
        <v>0.40292824074074074</v>
      </c>
      <c r="S89" s="142">
        <f>AgeStanSec!S89/86400</f>
        <v>0.53523148148148147</v>
      </c>
      <c r="T89" s="142"/>
      <c r="U89" s="142"/>
      <c r="V89" s="142"/>
      <c r="W89" s="47"/>
    </row>
    <row r="90" spans="1:23">
      <c r="A90" s="49">
        <v>89</v>
      </c>
      <c r="B90" s="172">
        <f>AgeStanSec!B90/86400</f>
        <v>7.4074074074074077E-3</v>
      </c>
      <c r="C90" s="169">
        <f>AgeStanSec!C90/86400</f>
        <v>1.9270833333333334E-2</v>
      </c>
      <c r="D90" s="142">
        <f>AgeStanSec!D90/86400</f>
        <v>2.3206018518518518E-2</v>
      </c>
      <c r="E90" s="142">
        <f>AgeStanSec!E90/86400</f>
        <v>2.4907407407407406E-2</v>
      </c>
      <c r="F90" s="142">
        <f>AgeStanSec!F90/86400</f>
        <v>3.1087962962962963E-2</v>
      </c>
      <c r="G90" s="142">
        <f>AgeStanSec!G90/86400</f>
        <v>3.1307870370370368E-2</v>
      </c>
      <c r="H90" s="142">
        <f>AgeStanSec!H90/86400</f>
        <v>3.9027777777777779E-2</v>
      </c>
      <c r="I90" s="142">
        <f>AgeStanSec!I90/86400</f>
        <v>4.8009259259259258E-2</v>
      </c>
      <c r="J90" s="142">
        <f>AgeStanSec!J90/86400</f>
        <v>6.1851851851851852E-2</v>
      </c>
      <c r="K90" s="142">
        <f>AgeStanSec!K90/86400</f>
        <v>6.6921296296296298E-2</v>
      </c>
      <c r="L90" s="142">
        <f>AgeStanSec!L90/86400</f>
        <v>8.5914351851851853E-2</v>
      </c>
      <c r="M90" s="142">
        <f>AgeStanSec!M90/86400</f>
        <v>9.1423611111111108E-2</v>
      </c>
      <c r="N90" s="142">
        <f>AgeStanSec!N90/86400</f>
        <v>0.10875</v>
      </c>
      <c r="O90" s="142">
        <f>AgeStanSec!O90/86400</f>
        <v>0.13162037037037036</v>
      </c>
      <c r="P90" s="142">
        <f>AgeStanSec!P90/86400</f>
        <v>0.19078703703703703</v>
      </c>
      <c r="Q90" s="142">
        <f>AgeStanSec!Q90/86400</f>
        <v>0.2325925925925926</v>
      </c>
      <c r="R90" s="142">
        <f>AgeStanSec!R90/86400</f>
        <v>0.42403935185185188</v>
      </c>
      <c r="S90" s="142">
        <f>AgeStanSec!S90/86400</f>
        <v>0.56327546296296294</v>
      </c>
      <c r="T90" s="142"/>
      <c r="U90" s="142"/>
      <c r="V90" s="142"/>
      <c r="W90" s="47"/>
    </row>
    <row r="91" spans="1:23">
      <c r="A91" s="54">
        <v>90</v>
      </c>
      <c r="B91" s="173">
        <f>AgeStanSec!B91/86400</f>
        <v>7.9976851851851858E-3</v>
      </c>
      <c r="C91" s="170">
        <f>AgeStanSec!C91/86400</f>
        <v>2.0162037037037037E-2</v>
      </c>
      <c r="D91" s="143">
        <f>AgeStanSec!D91/86400</f>
        <v>2.4270833333333332E-2</v>
      </c>
      <c r="E91" s="143">
        <f>AgeStanSec!E91/86400</f>
        <v>2.6053240740740741E-2</v>
      </c>
      <c r="F91" s="143">
        <f>AgeStanSec!F91/86400</f>
        <v>3.2511574074074075E-2</v>
      </c>
      <c r="G91" s="143">
        <f>AgeStanSec!G91/86400</f>
        <v>3.2754629629629627E-2</v>
      </c>
      <c r="H91" s="143">
        <f>AgeStanSec!H91/86400</f>
        <v>4.0821759259259259E-2</v>
      </c>
      <c r="I91" s="143">
        <f>AgeStanSec!I91/86400</f>
        <v>5.0289351851851849E-2</v>
      </c>
      <c r="J91" s="143">
        <f>AgeStanSec!J91/86400</f>
        <v>6.4942129629629627E-2</v>
      </c>
      <c r="K91" s="143">
        <f>AgeStanSec!K91/86400</f>
        <v>7.0324074074074081E-2</v>
      </c>
      <c r="L91" s="143">
        <f>AgeStanSec!L91/86400</f>
        <v>9.0462962962962967E-2</v>
      </c>
      <c r="M91" s="143">
        <f>AgeStanSec!M91/86400</f>
        <v>9.6342592592592591E-2</v>
      </c>
      <c r="N91" s="143">
        <f>AgeStanSec!N91/86400</f>
        <v>0.11471064814814814</v>
      </c>
      <c r="O91" s="143">
        <f>AgeStanSec!O91/86400</f>
        <v>0.13895833333333332</v>
      </c>
      <c r="P91" s="143">
        <f>AgeStanSec!P91/86400</f>
        <v>0.20178240740740741</v>
      </c>
      <c r="Q91" s="143">
        <f>AgeStanSec!Q91/86400</f>
        <v>0.2459837962962963</v>
      </c>
      <c r="R91" s="143">
        <f>AgeStanSec!R91/86400</f>
        <v>0.44846064814814812</v>
      </c>
      <c r="S91" s="143">
        <f>AgeStanSec!S91/86400</f>
        <v>0.5957175925925926</v>
      </c>
      <c r="T91" s="143"/>
      <c r="U91" s="143"/>
      <c r="V91" s="143"/>
      <c r="W91" s="47"/>
    </row>
    <row r="92" spans="1:23">
      <c r="A92" s="49">
        <v>91</v>
      </c>
      <c r="B92" s="172">
        <f>AgeStanSec!B92/86400</f>
        <v>8.7037037037037031E-3</v>
      </c>
      <c r="C92" s="169">
        <f>AgeStanSec!C92/86400</f>
        <v>2.1157407407407406E-2</v>
      </c>
      <c r="D92" s="142">
        <f>AgeStanSec!D92/86400</f>
        <v>2.5474537037037039E-2</v>
      </c>
      <c r="E92" s="142">
        <f>AgeStanSec!E92/86400</f>
        <v>2.7349537037037037E-2</v>
      </c>
      <c r="F92" s="142">
        <f>AgeStanSec!F92/86400</f>
        <v>3.4131944444444444E-2</v>
      </c>
      <c r="G92" s="142">
        <f>AgeStanSec!G92/86400</f>
        <v>3.4386574074074076E-2</v>
      </c>
      <c r="H92" s="142">
        <f>AgeStanSec!H92/86400</f>
        <v>4.2858796296296298E-2</v>
      </c>
      <c r="I92" s="142">
        <f>AgeStanSec!I92/86400</f>
        <v>5.289351851851852E-2</v>
      </c>
      <c r="J92" s="142">
        <f>AgeStanSec!J92/86400</f>
        <v>6.8472222222222226E-2</v>
      </c>
      <c r="K92" s="142">
        <f>AgeStanSec!K92/86400</f>
        <v>7.4201388888888886E-2</v>
      </c>
      <c r="L92" s="142">
        <f>AgeStanSec!L92/86400</f>
        <v>9.5694444444444443E-2</v>
      </c>
      <c r="M92" s="142">
        <f>AgeStanSec!M92/86400</f>
        <v>0.1019675925925926</v>
      </c>
      <c r="N92" s="142">
        <f>AgeStanSec!N92/86400</f>
        <v>0.12153935185185186</v>
      </c>
      <c r="O92" s="142">
        <f>AgeStanSec!O92/86400</f>
        <v>0.14741898148148147</v>
      </c>
      <c r="P92" s="142">
        <f>AgeStanSec!P92/86400</f>
        <v>0.21449074074074073</v>
      </c>
      <c r="Q92" s="142">
        <f>AgeStanSec!Q92/86400</f>
        <v>0.26148148148148148</v>
      </c>
      <c r="R92" s="142">
        <f>AgeStanSec!R92/86400</f>
        <v>0.47672453703703704</v>
      </c>
      <c r="S92" s="142">
        <f>AgeStanSec!S92/86400</f>
        <v>0.63325231481481481</v>
      </c>
      <c r="T92" s="142"/>
      <c r="U92" s="142"/>
      <c r="V92" s="142"/>
      <c r="W92" s="47"/>
    </row>
    <row r="93" spans="1:23">
      <c r="A93" s="49">
        <v>92</v>
      </c>
      <c r="B93" s="172">
        <f>AgeStanSec!B93/86400</f>
        <v>9.5833333333333326E-3</v>
      </c>
      <c r="C93" s="169">
        <f>AgeStanSec!C93/86400</f>
        <v>2.2303240740740742E-2</v>
      </c>
      <c r="D93" s="142">
        <f>AgeStanSec!D93/86400</f>
        <v>2.6851851851851852E-2</v>
      </c>
      <c r="E93" s="142">
        <f>AgeStanSec!E93/86400</f>
        <v>2.8819444444444446E-2</v>
      </c>
      <c r="F93" s="142">
        <f>AgeStanSec!F93/86400</f>
        <v>3.5983796296296298E-2</v>
      </c>
      <c r="G93" s="142">
        <f>AgeStanSec!G93/86400</f>
        <v>3.622685185185185E-2</v>
      </c>
      <c r="H93" s="142">
        <f>AgeStanSec!H93/86400</f>
        <v>4.5162037037037035E-2</v>
      </c>
      <c r="I93" s="142">
        <f>AgeStanSec!I93/86400</f>
        <v>5.5868055555555553E-2</v>
      </c>
      <c r="J93" s="142">
        <f>AgeStanSec!J93/86400</f>
        <v>7.2523148148148142E-2</v>
      </c>
      <c r="K93" s="142">
        <f>AgeStanSec!K93/86400</f>
        <v>7.8668981481481479E-2</v>
      </c>
      <c r="L93" s="142">
        <f>AgeStanSec!L93/86400</f>
        <v>0.10175925925925926</v>
      </c>
      <c r="M93" s="142">
        <f>AgeStanSec!M93/86400</f>
        <v>0.10850694444444445</v>
      </c>
      <c r="N93" s="142">
        <f>AgeStanSec!N93/86400</f>
        <v>0.1295138888888889</v>
      </c>
      <c r="O93" s="142">
        <f>AgeStanSec!O93/86400</f>
        <v>0.15726851851851853</v>
      </c>
      <c r="P93" s="142">
        <f>AgeStanSec!P93/86400</f>
        <v>0.22947916666666668</v>
      </c>
      <c r="Q93" s="142">
        <f>AgeStanSec!Q93/86400</f>
        <v>0.27975694444444443</v>
      </c>
      <c r="R93" s="142">
        <f>AgeStanSec!R93/86400</f>
        <v>0.51003472222222224</v>
      </c>
      <c r="S93" s="142"/>
      <c r="T93" s="142"/>
      <c r="U93" s="142"/>
      <c r="V93" s="142"/>
      <c r="W93" s="47"/>
    </row>
    <row r="94" spans="1:23">
      <c r="A94" s="49">
        <v>93</v>
      </c>
      <c r="B94" s="172">
        <f>AgeStanSec!B94/86400</f>
        <v>1.0694444444444444E-2</v>
      </c>
      <c r="C94" s="169">
        <f>AgeStanSec!C94/86400</f>
        <v>2.361111111111111E-2</v>
      </c>
      <c r="D94" s="142">
        <f>AgeStanSec!D94/86400</f>
        <v>2.8425925925925927E-2</v>
      </c>
      <c r="E94" s="142">
        <f>AgeStanSec!E94/86400</f>
        <v>3.050925925925926E-2</v>
      </c>
      <c r="F94" s="142">
        <f>AgeStanSec!F94/86400</f>
        <v>3.8090277777777778E-2</v>
      </c>
      <c r="G94" s="142">
        <f>AgeStanSec!G94/86400</f>
        <v>3.8368055555555558E-2</v>
      </c>
      <c r="H94" s="142">
        <f>AgeStanSec!H94/86400</f>
        <v>4.7835648148148148E-2</v>
      </c>
      <c r="I94" s="142">
        <f>AgeStanSec!I94/86400</f>
        <v>5.9305555555555556E-2</v>
      </c>
      <c r="J94" s="142">
        <f>AgeStanSec!J94/86400</f>
        <v>7.7256944444444448E-2</v>
      </c>
      <c r="K94" s="142">
        <f>AgeStanSec!K94/86400</f>
        <v>8.3877314814814821E-2</v>
      </c>
      <c r="L94" s="142">
        <f>AgeStanSec!L94/86400</f>
        <v>0.10886574074074074</v>
      </c>
      <c r="M94" s="142">
        <f>AgeStanSec!M94/86400</f>
        <v>0.11618055555555555</v>
      </c>
      <c r="N94" s="142">
        <f>AgeStanSec!N94/86400</f>
        <v>0.1388888888888889</v>
      </c>
      <c r="O94" s="142">
        <f>AgeStanSec!O94/86400</f>
        <v>0.16898148148148148</v>
      </c>
      <c r="P94" s="142">
        <f>AgeStanSec!P94/86400</f>
        <v>0.24738425925925925</v>
      </c>
      <c r="Q94" s="142">
        <f>AgeStanSec!Q94/86400</f>
        <v>0.30157407407407405</v>
      </c>
      <c r="R94" s="142">
        <f>AgeStanSec!R94/86400</f>
        <v>0.54981481481481487</v>
      </c>
      <c r="S94" s="142"/>
      <c r="T94" s="142"/>
      <c r="U94" s="142"/>
      <c r="V94" s="142"/>
      <c r="W94" s="47"/>
    </row>
    <row r="95" spans="1:23">
      <c r="A95" s="49">
        <v>94</v>
      </c>
      <c r="B95" s="172">
        <f>AgeStanSec!B95/86400</f>
        <v>1.2129629629629629E-2</v>
      </c>
      <c r="C95" s="169">
        <f>AgeStanSec!C95/86400</f>
        <v>2.5127314814814814E-2</v>
      </c>
      <c r="D95" s="142">
        <f>AgeStanSec!D95/86400</f>
        <v>3.0266203703703705E-2</v>
      </c>
      <c r="E95" s="142">
        <f>AgeStanSec!E95/86400</f>
        <v>3.2488425925925928E-2</v>
      </c>
      <c r="F95" s="142">
        <f>AgeStanSec!F95/86400</f>
        <v>4.0567129629629627E-2</v>
      </c>
      <c r="G95" s="142">
        <f>AgeStanSec!G95/86400</f>
        <v>4.0844907407407406E-2</v>
      </c>
      <c r="H95" s="142">
        <f>AgeStanSec!H95/86400</f>
        <v>5.0925925925925923E-2</v>
      </c>
      <c r="I95" s="142">
        <f>AgeStanSec!I95/86400</f>
        <v>6.3321759259259258E-2</v>
      </c>
      <c r="J95" s="142">
        <f>AgeStanSec!J95/86400</f>
        <v>8.2766203703703703E-2</v>
      </c>
      <c r="K95" s="142">
        <f>AgeStanSec!K95/86400</f>
        <v>8.997685185185185E-2</v>
      </c>
      <c r="L95" s="142">
        <f>AgeStanSec!L95/86400</f>
        <v>0.11725694444444444</v>
      </c>
      <c r="M95" s="142">
        <f>AgeStanSec!M95/86400</f>
        <v>0.12525462962962963</v>
      </c>
      <c r="N95" s="142">
        <f>AgeStanSec!N95/86400</f>
        <v>0.15001157407407406</v>
      </c>
      <c r="O95" s="142">
        <f>AgeStanSec!O95/86400</f>
        <v>0.18292824074074074</v>
      </c>
      <c r="P95" s="142">
        <f>AgeStanSec!P95/86400</f>
        <v>0.26891203703703703</v>
      </c>
      <c r="Q95" s="142">
        <f>AgeStanSec!Q95/86400</f>
        <v>0.3278240740740741</v>
      </c>
      <c r="R95" s="142">
        <f>AgeStanSec!R95/86400</f>
        <v>0.59766203703703702</v>
      </c>
      <c r="S95" s="142"/>
      <c r="T95" s="142"/>
      <c r="U95" s="142"/>
      <c r="V95" s="142"/>
      <c r="W95" s="47"/>
    </row>
    <row r="96" spans="1:23">
      <c r="A96" s="54">
        <v>95</v>
      </c>
      <c r="B96" s="173">
        <f>AgeStanSec!B96/86400</f>
        <v>1.4085648148148147E-2</v>
      </c>
      <c r="C96" s="170">
        <f>AgeStanSec!C96/86400</f>
        <v>2.6898148148148147E-2</v>
      </c>
      <c r="D96" s="143">
        <f>AgeStanSec!D96/86400</f>
        <v>3.2407407407407406E-2</v>
      </c>
      <c r="E96" s="143">
        <f>AgeStanSec!E96/86400</f>
        <v>3.4780092592592592E-2</v>
      </c>
      <c r="F96" s="143">
        <f>AgeStanSec!F96/86400</f>
        <v>4.3437499999999997E-2</v>
      </c>
      <c r="G96" s="143">
        <f>AgeStanSec!G96/86400</f>
        <v>4.3749999999999997E-2</v>
      </c>
      <c r="H96" s="143">
        <f>AgeStanSec!H96/86400</f>
        <v>5.4560185185185184E-2</v>
      </c>
      <c r="I96" s="143">
        <f>AgeStanSec!I96/86400</f>
        <v>6.8090277777777777E-2</v>
      </c>
      <c r="J96" s="143">
        <f>AgeStanSec!J96/86400</f>
        <v>8.9363425925925929E-2</v>
      </c>
      <c r="K96" s="143">
        <f>AgeStanSec!K96/86400</f>
        <v>9.7291666666666665E-2</v>
      </c>
      <c r="L96" s="143">
        <f>AgeStanSec!L96/86400</f>
        <v>0.12733796296296296</v>
      </c>
      <c r="M96" s="143">
        <f>AgeStanSec!M96/86400</f>
        <v>0.13622685185185185</v>
      </c>
      <c r="N96" s="143">
        <f>AgeStanSec!N96/86400</f>
        <v>0.1635763888888889</v>
      </c>
      <c r="O96" s="143">
        <f>AgeStanSec!O96/86400</f>
        <v>0.2</v>
      </c>
      <c r="P96" s="143">
        <f>AgeStanSec!P96/86400</f>
        <v>0.2955787037037037</v>
      </c>
      <c r="Q96" s="143">
        <f>AgeStanSec!Q96/86400</f>
        <v>0.36033564814814817</v>
      </c>
      <c r="R96" s="143">
        <f>AgeStanSec!R96/86400</f>
        <v>0.65694444444444444</v>
      </c>
      <c r="S96" s="143"/>
      <c r="T96" s="143"/>
      <c r="U96" s="143"/>
      <c r="V96" s="143"/>
      <c r="W96" s="47"/>
    </row>
    <row r="97" spans="1:23">
      <c r="A97" s="49">
        <v>96</v>
      </c>
      <c r="B97" s="172">
        <f>AgeStanSec!B97/86400</f>
        <v>1.6863425925925928E-2</v>
      </c>
      <c r="C97" s="169">
        <f>AgeStanSec!C97/86400</f>
        <v>2.8993055555555557E-2</v>
      </c>
      <c r="D97" s="142">
        <f>AgeStanSec!D97/86400</f>
        <v>3.4930555555555555E-2</v>
      </c>
      <c r="E97" s="142">
        <f>AgeStanSec!E97/86400</f>
        <v>3.7499999999999999E-2</v>
      </c>
      <c r="F97" s="142">
        <f>AgeStanSec!F97/86400</f>
        <v>4.6851851851851853E-2</v>
      </c>
      <c r="G97" s="142">
        <f>AgeStanSec!G97/86400</f>
        <v>4.71875E-2</v>
      </c>
      <c r="H97" s="142">
        <f>AgeStanSec!H97/86400</f>
        <v>5.8877314814814813E-2</v>
      </c>
      <c r="I97" s="142">
        <f>AgeStanSec!I97/86400</f>
        <v>7.3761574074074077E-2</v>
      </c>
      <c r="J97" s="142">
        <f>AgeStanSec!J97/86400</f>
        <v>9.7326388888888893E-2</v>
      </c>
      <c r="K97" s="142">
        <f>AgeStanSec!K97/86400</f>
        <v>0.10613425925925926</v>
      </c>
      <c r="L97" s="142">
        <f>AgeStanSec!L97/86400</f>
        <v>0.13969907407407409</v>
      </c>
      <c r="M97" s="142">
        <f>AgeStanSec!M97/86400</f>
        <v>0.14965277777777777</v>
      </c>
      <c r="N97" s="142">
        <f>AgeStanSec!N97/86400</f>
        <v>0.18025462962962963</v>
      </c>
      <c r="O97" s="142">
        <f>AgeStanSec!O97/86400</f>
        <v>0.22118055555555555</v>
      </c>
      <c r="P97" s="142">
        <f>AgeStanSec!P97/86400</f>
        <v>0.32902777777777775</v>
      </c>
      <c r="Q97" s="142">
        <f>AgeStanSec!Q97/86400</f>
        <v>0.40111111111111108</v>
      </c>
      <c r="R97" s="142"/>
      <c r="S97" s="142"/>
      <c r="T97" s="142"/>
      <c r="U97" s="142"/>
      <c r="V97" s="142"/>
      <c r="W97" s="47"/>
    </row>
    <row r="98" spans="1:23">
      <c r="A98" s="49">
        <v>97</v>
      </c>
      <c r="B98" s="172">
        <f>AgeStanSec!B98/86400</f>
        <v>2.1157407407407406E-2</v>
      </c>
      <c r="C98" s="169">
        <f>AgeStanSec!C98/86400</f>
        <v>3.1504629629629632E-2</v>
      </c>
      <c r="D98" s="142">
        <f>AgeStanSec!D98/86400</f>
        <v>3.7986111111111109E-2</v>
      </c>
      <c r="E98" s="142">
        <f>AgeStanSec!E98/86400</f>
        <v>4.0787037037037038E-2</v>
      </c>
      <c r="F98" s="142">
        <f>AgeStanSec!F98/86400</f>
        <v>5.0983796296296298E-2</v>
      </c>
      <c r="G98" s="142">
        <f>AgeStanSec!G98/86400</f>
        <v>5.1331018518518519E-2</v>
      </c>
      <c r="H98" s="142">
        <f>AgeStanSec!H98/86400</f>
        <v>6.4085648148148142E-2</v>
      </c>
      <c r="I98" s="142">
        <f>AgeStanSec!I98/86400</f>
        <v>8.0659722222222216E-2</v>
      </c>
      <c r="J98" s="142">
        <f>AgeStanSec!J98/86400</f>
        <v>0.1070949074074074</v>
      </c>
      <c r="K98" s="142">
        <f>AgeStanSec!K98/86400</f>
        <v>0.11700231481481481</v>
      </c>
      <c r="L98" s="142">
        <f>AgeStanSec!L98/86400</f>
        <v>0.15515046296296298</v>
      </c>
      <c r="M98" s="142">
        <f>AgeStanSec!M98/86400</f>
        <v>0.16649305555555555</v>
      </c>
      <c r="N98" s="142">
        <f>AgeStanSec!N98/86400</f>
        <v>0.20140046296296296</v>
      </c>
      <c r="O98" s="142">
        <f>AgeStanSec!O98/86400</f>
        <v>0.24822916666666667</v>
      </c>
      <c r="P98" s="142">
        <f>AgeStanSec!P98/86400</f>
        <v>0.3725</v>
      </c>
      <c r="Q98" s="142">
        <f>AgeStanSec!Q98/86400</f>
        <v>0.4541087962962963</v>
      </c>
      <c r="R98" s="142"/>
      <c r="S98" s="142"/>
      <c r="T98" s="142"/>
      <c r="U98" s="142"/>
      <c r="V98" s="142"/>
      <c r="W98" s="47"/>
    </row>
    <row r="99" spans="1:23">
      <c r="A99" s="49">
        <v>98</v>
      </c>
      <c r="B99" s="172">
        <f>AgeStanSec!B99/86400</f>
        <v>2.8599537037037038E-2</v>
      </c>
      <c r="C99" s="169">
        <f>AgeStanSec!C99/86400</f>
        <v>3.4583333333333334E-2</v>
      </c>
      <c r="D99" s="142">
        <f>AgeStanSec!D99/86400</f>
        <v>4.1701388888888892E-2</v>
      </c>
      <c r="E99" s="142">
        <f>AgeStanSec!E99/86400</f>
        <v>4.4791666666666667E-2</v>
      </c>
      <c r="F99" s="142">
        <f>AgeStanSec!F99/86400</f>
        <v>5.6018518518518516E-2</v>
      </c>
      <c r="G99" s="142">
        <f>AgeStanSec!G99/86400</f>
        <v>5.6423611111111112E-2</v>
      </c>
      <c r="H99" s="142">
        <f>AgeStanSec!H99/86400</f>
        <v>7.0462962962962963E-2</v>
      </c>
      <c r="I99" s="142">
        <f>AgeStanSec!I99/86400</f>
        <v>8.9189814814814819E-2</v>
      </c>
      <c r="J99" s="142">
        <f>AgeStanSec!J99/86400</f>
        <v>0.11939814814814814</v>
      </c>
      <c r="K99" s="142">
        <f>AgeStanSec!K99/86400</f>
        <v>0.1308101851851852</v>
      </c>
      <c r="L99" s="142">
        <f>AgeStanSec!L99/86400</f>
        <v>0.17501157407407408</v>
      </c>
      <c r="M99" s="142">
        <f>AgeStanSec!M99/86400</f>
        <v>0.18822916666666667</v>
      </c>
      <c r="N99" s="142">
        <f>AgeStanSec!N99/86400</f>
        <v>0.22892361111111112</v>
      </c>
      <c r="O99" s="142">
        <f>AgeStanSec!O99/86400</f>
        <v>0.28379629629629627</v>
      </c>
      <c r="P99" s="142">
        <f>AgeStanSec!P99/86400</f>
        <v>0.43119212962962961</v>
      </c>
      <c r="Q99" s="142">
        <f>AgeStanSec!Q99/86400</f>
        <v>0.52565972222222224</v>
      </c>
      <c r="R99" s="142"/>
      <c r="S99" s="142"/>
      <c r="T99" s="142"/>
      <c r="U99" s="142"/>
      <c r="V99" s="142"/>
      <c r="W99" s="47"/>
    </row>
    <row r="100" spans="1:23">
      <c r="A100" s="49">
        <v>99</v>
      </c>
      <c r="B100" s="172">
        <f>AgeStanSec!B100/86400</f>
        <v>4.4675925925925924E-2</v>
      </c>
      <c r="C100" s="169">
        <f>AgeStanSec!C100/86400</f>
        <v>3.8425925925925926E-2</v>
      </c>
      <c r="D100" s="142">
        <f>AgeStanSec!D100/86400</f>
        <v>4.6377314814814816E-2</v>
      </c>
      <c r="E100" s="142">
        <f>AgeStanSec!E100/86400</f>
        <v>4.9826388888888892E-2</v>
      </c>
      <c r="F100" s="142">
        <f>AgeStanSec!F100/86400</f>
        <v>6.2372685185185184E-2</v>
      </c>
      <c r="G100" s="142">
        <f>AgeStanSec!G100/86400</f>
        <v>6.2812499999999993E-2</v>
      </c>
      <c r="H100" s="142">
        <f>AgeStanSec!H100/86400</f>
        <v>7.8518518518518515E-2</v>
      </c>
      <c r="I100" s="142">
        <f>AgeStanSec!I100/86400</f>
        <v>0.10011574074074074</v>
      </c>
      <c r="J100" s="142">
        <f>AgeStanSec!J100/86400</f>
        <v>0.1353587962962963</v>
      </c>
      <c r="K100" s="142">
        <f>AgeStanSec!K100/86400</f>
        <v>0.14883101851851852</v>
      </c>
      <c r="L100" s="142">
        <f>AgeStanSec!L100/86400</f>
        <v>0.2013425925925926</v>
      </c>
      <c r="M100" s="142">
        <f>AgeStanSec!M100/86400</f>
        <v>0.21731481481481482</v>
      </c>
      <c r="N100" s="142">
        <f>AgeStanSec!N100/86400</f>
        <v>0.26619212962962963</v>
      </c>
      <c r="O100" s="142">
        <f>AgeStanSec!O100/86400</f>
        <v>0.33297453703703705</v>
      </c>
      <c r="P100" s="142"/>
      <c r="Q100" s="142"/>
      <c r="R100" s="142"/>
      <c r="S100" s="142"/>
      <c r="T100" s="142"/>
      <c r="U100" s="142"/>
      <c r="V100" s="142"/>
      <c r="W100" s="47"/>
    </row>
    <row r="101" spans="1:23" ht="15.75" thickBot="1">
      <c r="A101" s="54">
        <v>100</v>
      </c>
      <c r="B101" s="174">
        <f>AgeStanSec!B101/86400</f>
        <v>0.1057175925925926</v>
      </c>
      <c r="C101" s="170">
        <f>AgeStanSec!C101/86400</f>
        <v>4.3356481481481482E-2</v>
      </c>
      <c r="D101" s="143">
        <f>AgeStanSec!D101/86400</f>
        <v>5.2384259259259262E-2</v>
      </c>
      <c r="E101" s="143">
        <f>AgeStanSec!E101/86400</f>
        <v>5.6296296296296296E-2</v>
      </c>
      <c r="F101" s="143">
        <f>AgeStanSec!F101/86400</f>
        <v>7.0543981481481485E-2</v>
      </c>
      <c r="G101" s="143">
        <f>AgeStanSec!G101/86400</f>
        <v>7.1053240740740736E-2</v>
      </c>
      <c r="H101" s="143">
        <f>AgeStanSec!H101/86400</f>
        <v>8.8912037037037039E-2</v>
      </c>
      <c r="I101" s="143">
        <f>AgeStanSec!I101/86400</f>
        <v>0.11449074074074074</v>
      </c>
      <c r="J101" s="143">
        <f>AgeStanSec!J101/86400</f>
        <v>0.15685185185185185</v>
      </c>
      <c r="K101" s="143">
        <f>AgeStanSec!K101/86400</f>
        <v>0.17320601851851852</v>
      </c>
      <c r="L101" s="143">
        <f>AgeStanSec!L101/86400</f>
        <v>0.23820601851851853</v>
      </c>
      <c r="M101" s="143">
        <f>AgeStanSec!M101/86400</f>
        <v>0.25819444444444445</v>
      </c>
      <c r="N101" s="143">
        <f>AgeStanSec!N101/86400</f>
        <v>0.31968750000000001</v>
      </c>
      <c r="O101" s="143">
        <f>AgeStanSec!O101/86400</f>
        <v>0.40447916666666667</v>
      </c>
      <c r="P101" s="143"/>
      <c r="Q101" s="143"/>
      <c r="R101" s="143"/>
      <c r="S101" s="143"/>
      <c r="T101" s="143"/>
      <c r="U101" s="143"/>
      <c r="V101" s="143"/>
    </row>
    <row r="102" spans="1:23" ht="15.75">
      <c r="A102" s="175" t="s">
        <v>1042</v>
      </c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</row>
    <row r="103" spans="1:23">
      <c r="A103" s="176" t="s">
        <v>383</v>
      </c>
    </row>
    <row r="104" spans="1:23" ht="15.75">
      <c r="A104" s="177" t="s">
        <v>1040</v>
      </c>
    </row>
    <row r="105" spans="1:23" ht="15.75">
      <c r="A105" s="177" t="s">
        <v>1041</v>
      </c>
    </row>
    <row r="106" spans="1:23" ht="15.75">
      <c r="A106" s="177" t="s">
        <v>379</v>
      </c>
    </row>
    <row r="107" spans="1:23" ht="15.75">
      <c r="A107" s="177"/>
    </row>
    <row r="108" spans="1:23" ht="15.75">
      <c r="A108" s="177"/>
    </row>
  </sheetData>
  <hyperlinks>
    <hyperlink ref="A103" r:id="rId1" xr:uid="{41220ED4-6381-4C49-B733-00BA896D4A3A}"/>
  </hyperlinks>
  <pageMargins left="0.5" right="0.5" top="0.5" bottom="0.5" header="0" footer="0"/>
  <pageSetup orientation="portrait" verticalDpi="0" r:id="rId2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V102"/>
  <sheetViews>
    <sheetView topLeftCell="A6" zoomScale="87" zoomScaleNormal="87" workbookViewId="0">
      <selection activeCell="V52" sqref="V52"/>
    </sheetView>
  </sheetViews>
  <sheetFormatPr defaultColWidth="9.6640625" defaultRowHeight="15"/>
  <cols>
    <col min="1" max="15" width="8.6640625" style="1" customWidth="1"/>
    <col min="16" max="16384" width="9.6640625" style="1"/>
  </cols>
  <sheetData>
    <row r="1" spans="1:22" ht="23.25">
      <c r="A1" s="44" t="s">
        <v>132</v>
      </c>
    </row>
    <row r="2" spans="1:22">
      <c r="A2" s="45" t="s">
        <v>69</v>
      </c>
      <c r="B2" s="46" t="s">
        <v>115</v>
      </c>
      <c r="C2" s="46" t="s">
        <v>116</v>
      </c>
      <c r="D2" s="46" t="s">
        <v>117</v>
      </c>
      <c r="E2" s="46" t="s">
        <v>118</v>
      </c>
      <c r="F2" s="46" t="s">
        <v>119</v>
      </c>
      <c r="G2" s="46" t="s">
        <v>120</v>
      </c>
      <c r="H2" s="46" t="s">
        <v>121</v>
      </c>
      <c r="I2" s="46" t="s">
        <v>122</v>
      </c>
      <c r="J2" s="46" t="s">
        <v>123</v>
      </c>
      <c r="K2" s="46" t="s">
        <v>124</v>
      </c>
      <c r="L2" s="46" t="s">
        <v>9</v>
      </c>
      <c r="M2" s="46" t="s">
        <v>125</v>
      </c>
      <c r="N2" s="46" t="s">
        <v>126</v>
      </c>
      <c r="O2" s="46" t="s">
        <v>10</v>
      </c>
      <c r="P2" s="46" t="s">
        <v>89</v>
      </c>
      <c r="Q2" s="46" t="s">
        <v>127</v>
      </c>
      <c r="R2" s="46" t="s">
        <v>128</v>
      </c>
      <c r="S2" s="46" t="s">
        <v>129</v>
      </c>
      <c r="T2" s="46" t="s">
        <v>130</v>
      </c>
      <c r="U2" s="46" t="s">
        <v>131</v>
      </c>
      <c r="V2" s="47"/>
    </row>
    <row r="3" spans="1:22">
      <c r="A3" s="45" t="s">
        <v>0</v>
      </c>
      <c r="B3" s="59">
        <f>Parameters!B13</f>
        <v>5</v>
      </c>
      <c r="C3" s="60">
        <f>Parameters!B14</f>
        <v>6</v>
      </c>
      <c r="D3" s="59">
        <f>Parameters!B15</f>
        <v>6.4373760000000004</v>
      </c>
      <c r="E3" s="59">
        <f>Parameters!B16</f>
        <v>8</v>
      </c>
      <c r="F3" s="60">
        <f>Parameters!B17</f>
        <v>8.0467200000000005</v>
      </c>
      <c r="G3" s="59">
        <f>Parameters!B18</f>
        <v>10</v>
      </c>
      <c r="H3" s="59">
        <f>Parameters!B19</f>
        <v>12</v>
      </c>
      <c r="I3" s="59">
        <f>Parameters!B20</f>
        <v>15</v>
      </c>
      <c r="J3" s="59">
        <f>Parameters!B21</f>
        <v>16.093440000000001</v>
      </c>
      <c r="K3" s="59">
        <f>Parameters!B22</f>
        <v>20</v>
      </c>
      <c r="L3" s="59">
        <f>Parameters!B23</f>
        <v>21.0975</v>
      </c>
      <c r="M3" s="59">
        <f>Parameters!B24</f>
        <v>25</v>
      </c>
      <c r="N3" s="59">
        <f>Parameters!B25</f>
        <v>30</v>
      </c>
      <c r="O3" s="59">
        <f>Parameters!B26</f>
        <v>42.195</v>
      </c>
      <c r="P3" s="59">
        <f>Parameters!$B27</f>
        <v>50</v>
      </c>
      <c r="Q3" s="59">
        <f>Parameters!$B28</f>
        <v>80.467200000000005</v>
      </c>
      <c r="R3" s="59">
        <f>Parameters!$B29</f>
        <v>100</v>
      </c>
      <c r="S3" s="59">
        <f>Parameters!$B30</f>
        <v>150</v>
      </c>
      <c r="T3" s="59">
        <f>Parameters!$B31</f>
        <v>160.93440000000001</v>
      </c>
      <c r="U3" s="59">
        <f>Parameters!$B32</f>
        <v>200</v>
      </c>
      <c r="V3" s="47"/>
    </row>
    <row r="4" spans="1:22">
      <c r="A4" s="49" t="s">
        <v>113</v>
      </c>
      <c r="B4" s="50">
        <f>'5K'!$E$5</f>
        <v>769</v>
      </c>
      <c r="C4" s="50">
        <f>'6K'!$E$5</f>
        <v>930</v>
      </c>
      <c r="D4" s="50">
        <f>'8K'!$E$5</f>
        <v>1254.9999999999998</v>
      </c>
      <c r="E4" s="50">
        <f>'8K'!$E$5</f>
        <v>1254.9999999999998</v>
      </c>
      <c r="F4" s="50">
        <f>'5MI'!$E$5</f>
        <v>1264</v>
      </c>
      <c r="G4" s="50">
        <f>'10K'!$E$5</f>
        <v>1584</v>
      </c>
      <c r="H4" s="50">
        <f>'12K'!$E$5</f>
        <v>1915</v>
      </c>
      <c r="I4" s="50">
        <f>'15K'!$E$5</f>
        <v>2415</v>
      </c>
      <c r="J4" s="50">
        <f>'10MI'!$E$5</f>
        <v>2595</v>
      </c>
      <c r="K4" s="50">
        <f>'20K'!$E$5</f>
        <v>3260</v>
      </c>
      <c r="L4" s="50">
        <f>H.Marathon!$E$5</f>
        <v>3451.0000000000005</v>
      </c>
      <c r="M4" s="50">
        <f>'25K'!$E$5</f>
        <v>4110</v>
      </c>
      <c r="N4" s="50">
        <f>'30K'!$E$5</f>
        <v>4980</v>
      </c>
      <c r="O4" s="50">
        <f>Marathon!$E$5</f>
        <v>7235</v>
      </c>
      <c r="P4" s="50">
        <f>Parameters!$H27</f>
        <v>8820</v>
      </c>
      <c r="Q4" s="50">
        <f>Parameters!$H28</f>
        <v>16080</v>
      </c>
      <c r="R4" s="50">
        <f>Parameters!$H29</f>
        <v>21360</v>
      </c>
      <c r="S4" s="50">
        <f>Parameters!$H30</f>
        <v>36300</v>
      </c>
      <c r="T4" s="50">
        <f>Parameters!$H31</f>
        <v>39790</v>
      </c>
      <c r="U4" s="50">
        <f>Parameters!$H32</f>
        <v>52800.000000000007</v>
      </c>
      <c r="V4" s="47"/>
    </row>
    <row r="5" spans="1:22">
      <c r="A5" s="49" t="s">
        <v>114</v>
      </c>
      <c r="B5" s="51">
        <f t="shared" ref="B5:U5" si="0">B4/86400</f>
        <v>8.9004629629629625E-3</v>
      </c>
      <c r="C5" s="51">
        <f t="shared" si="0"/>
        <v>1.0763888888888889E-2</v>
      </c>
      <c r="D5" s="51">
        <f t="shared" si="0"/>
        <v>1.4525462962962961E-2</v>
      </c>
      <c r="E5" s="51">
        <f t="shared" si="0"/>
        <v>1.4525462962962961E-2</v>
      </c>
      <c r="F5" s="51">
        <f t="shared" si="0"/>
        <v>1.462962962962963E-2</v>
      </c>
      <c r="G5" s="51">
        <f t="shared" si="0"/>
        <v>1.8333333333333333E-2</v>
      </c>
      <c r="H5" s="51">
        <f t="shared" si="0"/>
        <v>2.2164351851851852E-2</v>
      </c>
      <c r="I5" s="51">
        <f t="shared" si="0"/>
        <v>2.795138888888889E-2</v>
      </c>
      <c r="J5" s="51">
        <f t="shared" si="0"/>
        <v>3.0034722222222223E-2</v>
      </c>
      <c r="K5" s="51">
        <f t="shared" si="0"/>
        <v>3.7731481481481484E-2</v>
      </c>
      <c r="L5" s="51">
        <f t="shared" si="0"/>
        <v>3.9942129629629633E-2</v>
      </c>
      <c r="M5" s="51">
        <f t="shared" si="0"/>
        <v>4.7569444444444442E-2</v>
      </c>
      <c r="N5" s="51">
        <f t="shared" si="0"/>
        <v>5.7638888888888892E-2</v>
      </c>
      <c r="O5" s="51">
        <f t="shared" si="0"/>
        <v>8.3738425925925924E-2</v>
      </c>
      <c r="P5" s="51">
        <f t="shared" si="0"/>
        <v>0.10208333333333333</v>
      </c>
      <c r="Q5" s="51">
        <f t="shared" si="0"/>
        <v>0.18611111111111112</v>
      </c>
      <c r="R5" s="51">
        <f t="shared" si="0"/>
        <v>0.24722222222222223</v>
      </c>
      <c r="S5" s="51">
        <f t="shared" si="0"/>
        <v>0.4201388888888889</v>
      </c>
      <c r="T5" s="52">
        <f t="shared" si="0"/>
        <v>0.46053240740740742</v>
      </c>
      <c r="U5" s="52">
        <f t="shared" si="0"/>
        <v>0.61111111111111116</v>
      </c>
      <c r="V5" s="61"/>
    </row>
    <row r="6" spans="1:22">
      <c r="A6" s="62">
        <v>5</v>
      </c>
      <c r="B6" s="63">
        <f>AgeStanSec!C6/B$3</f>
        <v>278</v>
      </c>
      <c r="C6" s="63">
        <f>AgeStanSec!D6/C$3</f>
        <v>286.5</v>
      </c>
      <c r="D6" s="63">
        <f>AgeStanSec!E6/D$3</f>
        <v>280.85977889127491</v>
      </c>
      <c r="E6" s="63">
        <f>AgeStanSec!F6/E$3</f>
        <v>283.625</v>
      </c>
      <c r="F6" s="63">
        <f>AgeStanSec!G6/F$3</f>
        <v>283.9666348524616</v>
      </c>
      <c r="G6" s="63">
        <f>AgeStanSec!H6/G$3</f>
        <v>286.39999999999998</v>
      </c>
      <c r="H6" s="63">
        <f>AgeStanSec!I6/H$3</f>
        <v>288.5</v>
      </c>
      <c r="I6" s="63">
        <f>AgeStanSec!J6/I$3</f>
        <v>291.06666666666666</v>
      </c>
      <c r="J6" s="63">
        <f>AgeStanSec!K6/J$3</f>
        <v>291.54736339775707</v>
      </c>
      <c r="K6" s="63">
        <f>AgeStanSec!L6/K$3</f>
        <v>294.7</v>
      </c>
      <c r="L6" s="63">
        <f>AgeStanSec!M6/L$3</f>
        <v>295.72224197179759</v>
      </c>
      <c r="M6" s="63">
        <f>AgeStanSec!N6/M$3</f>
        <v>297.24</v>
      </c>
      <c r="N6" s="63">
        <f>AgeStanSec!O6/N$3</f>
        <v>300.13333333333333</v>
      </c>
      <c r="O6" s="63">
        <f>AgeStanSec!P6/O$3</f>
        <v>310.01303471975353</v>
      </c>
      <c r="P6" s="63">
        <f>AgeStanSec!Q6/P$3</f>
        <v>318.92</v>
      </c>
      <c r="Q6" s="63">
        <f>AgeStanSec!R6/Q$3</f>
        <v>361.3024934383202</v>
      </c>
      <c r="R6" s="63">
        <f>AgeStanSec!S6/R$3</f>
        <v>386.19</v>
      </c>
      <c r="S6" s="63">
        <f>AgeStanSec!T6/S$3</f>
        <v>437.53333333333336</v>
      </c>
      <c r="T6" s="63">
        <f>AgeStanSec!U6/T$3</f>
        <v>447.01443569553805</v>
      </c>
      <c r="U6" s="63">
        <f>AgeStanSec!V6/U$3</f>
        <v>477.31</v>
      </c>
      <c r="V6" s="47"/>
    </row>
    <row r="7" spans="1:22">
      <c r="A7" s="64">
        <v>6</v>
      </c>
      <c r="B7" s="65">
        <f>AgeStanSec!C7/B$3</f>
        <v>249.8</v>
      </c>
      <c r="C7" s="65">
        <f>AgeStanSec!D7/C$3</f>
        <v>257</v>
      </c>
      <c r="D7" s="65">
        <f>AgeStanSec!E7/D$3</f>
        <v>259.57781555714627</v>
      </c>
      <c r="E7" s="65">
        <f>AgeStanSec!F7/E$3</f>
        <v>269</v>
      </c>
      <c r="F7" s="65">
        <f>AgeStanSec!G7/F$3</f>
        <v>269.55082319255547</v>
      </c>
      <c r="G7" s="65">
        <f>AgeStanSec!H7/G$3</f>
        <v>279</v>
      </c>
      <c r="H7" s="65">
        <f>AgeStanSec!I7/H$3</f>
        <v>284.91666666666669</v>
      </c>
      <c r="I7" s="65">
        <f>AgeStanSec!J7/I$3</f>
        <v>292.33333333333331</v>
      </c>
      <c r="J7" s="65">
        <f>AgeStanSec!K7/J$3</f>
        <v>294.34353376282507</v>
      </c>
      <c r="K7" s="65">
        <f>AgeStanSec!L7/K$3</f>
        <v>302.64999999999998</v>
      </c>
      <c r="L7" s="65">
        <f>AgeStanSec!M7/L$3</f>
        <v>304.96504325157008</v>
      </c>
      <c r="M7" s="65">
        <f>AgeStanSec!N7/M$3</f>
        <v>310.56</v>
      </c>
      <c r="N7" s="65">
        <f>AgeStanSec!O7/N$3</f>
        <v>318</v>
      </c>
      <c r="O7" s="65">
        <f>AgeStanSec!P7/O$3</f>
        <v>337.52814314492241</v>
      </c>
      <c r="P7" s="65">
        <f>AgeStanSec!Q7/P$3</f>
        <v>347.24</v>
      </c>
      <c r="Q7" s="65">
        <f>AgeStanSec!R7/Q$3</f>
        <v>393.37767438161137</v>
      </c>
      <c r="R7" s="65">
        <f>AgeStanSec!S7/R$3</f>
        <v>420.47</v>
      </c>
      <c r="S7" s="65">
        <f>AgeStanSec!T7/S$3</f>
        <v>476.38</v>
      </c>
      <c r="T7" s="65">
        <f>AgeStanSec!U7/T$3</f>
        <v>486.70141374373657</v>
      </c>
      <c r="U7" s="65">
        <f>AgeStanSec!V7/U$3</f>
        <v>519.68499999999995</v>
      </c>
      <c r="V7" s="47"/>
    </row>
    <row r="8" spans="1:22">
      <c r="A8" s="64">
        <v>7</v>
      </c>
      <c r="B8" s="65">
        <f>AgeStanSec!C8/B$3</f>
        <v>228.4</v>
      </c>
      <c r="C8" s="65">
        <f>AgeStanSec!D8/C$3</f>
        <v>234.66666666666666</v>
      </c>
      <c r="D8" s="65">
        <f>AgeStanSec!E8/D$3</f>
        <v>236.89776704048356</v>
      </c>
      <c r="E8" s="65">
        <f>AgeStanSec!F8/E$3</f>
        <v>245</v>
      </c>
      <c r="F8" s="65">
        <f>AgeStanSec!G8/F$3</f>
        <v>245.56589517219436</v>
      </c>
      <c r="G8" s="65">
        <f>AgeStanSec!H8/G$3</f>
        <v>253.7</v>
      </c>
      <c r="H8" s="65">
        <f>AgeStanSec!I8/H$3</f>
        <v>257.58333333333331</v>
      </c>
      <c r="I8" s="65">
        <f>AgeStanSec!J8/I$3</f>
        <v>262.33333333333331</v>
      </c>
      <c r="J8" s="65">
        <f>AgeStanSec!K8/J$3</f>
        <v>263.46138550862958</v>
      </c>
      <c r="K8" s="65">
        <f>AgeStanSec!L8/K$3</f>
        <v>268.8</v>
      </c>
      <c r="L8" s="65">
        <f>AgeStanSec!M8/L$3</f>
        <v>270.36378717857565</v>
      </c>
      <c r="M8" s="65">
        <f>AgeStanSec!N8/M$3</f>
        <v>275.60000000000002</v>
      </c>
      <c r="N8" s="65">
        <f>AgeStanSec!O8/N$3</f>
        <v>282.63333333333333</v>
      </c>
      <c r="O8" s="65">
        <f>AgeStanSec!P8/O$3</f>
        <v>300.72283445905913</v>
      </c>
      <c r="P8" s="65">
        <f>AgeStanSec!Q8/P$3</f>
        <v>309.36</v>
      </c>
      <c r="Q8" s="65">
        <f>AgeStanSec!R8/Q$3</f>
        <v>350.46577984570109</v>
      </c>
      <c r="R8" s="65">
        <f>AgeStanSec!S8/R$3</f>
        <v>374.61</v>
      </c>
      <c r="S8" s="65">
        <f>AgeStanSec!T8/S$3</f>
        <v>424.41333333333336</v>
      </c>
      <c r="T8" s="65">
        <f>AgeStanSec!U8/T$3</f>
        <v>433.61145907897873</v>
      </c>
      <c r="U8" s="65">
        <f>AgeStanSec!V8/U$3</f>
        <v>462.995</v>
      </c>
      <c r="V8" s="47"/>
    </row>
    <row r="9" spans="1:22">
      <c r="A9" s="64">
        <v>8</v>
      </c>
      <c r="B9" s="65">
        <f>AgeStanSec!C9/B$3</f>
        <v>211.6</v>
      </c>
      <c r="C9" s="65">
        <f>AgeStanSec!D9/C$3</f>
        <v>217.16666666666666</v>
      </c>
      <c r="D9" s="65">
        <f>AgeStanSec!E9/D$3</f>
        <v>219.18868806171955</v>
      </c>
      <c r="E9" s="65">
        <f>AgeStanSec!F9/E$3</f>
        <v>226.375</v>
      </c>
      <c r="F9" s="65">
        <f>AgeStanSec!G9/F$3</f>
        <v>226.92475940507435</v>
      </c>
      <c r="G9" s="65">
        <f>AgeStanSec!H9/G$3</f>
        <v>234</v>
      </c>
      <c r="H9" s="65">
        <f>AgeStanSec!I9/H$3</f>
        <v>236.58333333333334</v>
      </c>
      <c r="I9" s="65">
        <f>AgeStanSec!J9/I$3</f>
        <v>239.6</v>
      </c>
      <c r="J9" s="65">
        <f>AgeStanSec!K9/J$3</f>
        <v>240.28424003817702</v>
      </c>
      <c r="K9" s="65">
        <f>AgeStanSec!L9/K$3</f>
        <v>243.85</v>
      </c>
      <c r="L9" s="65">
        <f>AgeStanSec!M9/L$3</f>
        <v>244.9579334044318</v>
      </c>
      <c r="M9" s="65">
        <f>AgeStanSec!N9/M$3</f>
        <v>249.84</v>
      </c>
      <c r="N9" s="65">
        <f>AgeStanSec!O9/N$3</f>
        <v>256.36666666666667</v>
      </c>
      <c r="O9" s="65">
        <f>AgeStanSec!P9/O$3</f>
        <v>273.08922858158547</v>
      </c>
      <c r="P9" s="65">
        <f>AgeStanSec!Q9/P$3</f>
        <v>280.94</v>
      </c>
      <c r="Q9" s="65">
        <f>AgeStanSec!R9/Q$3</f>
        <v>318.25389724011768</v>
      </c>
      <c r="R9" s="65">
        <f>AgeStanSec!S9/R$3</f>
        <v>340.18</v>
      </c>
      <c r="S9" s="65">
        <f>AgeStanSec!T9/S$3</f>
        <v>385.41333333333336</v>
      </c>
      <c r="T9" s="65">
        <f>AgeStanSec!U9/T$3</f>
        <v>393.76292452079849</v>
      </c>
      <c r="U9" s="65">
        <f>AgeStanSec!V9/U$3</f>
        <v>420.45</v>
      </c>
      <c r="V9" s="47"/>
    </row>
    <row r="10" spans="1:22">
      <c r="A10" s="64">
        <v>9</v>
      </c>
      <c r="B10" s="65">
        <f>AgeStanSec!C10/B$3</f>
        <v>198.4</v>
      </c>
      <c r="C10" s="65">
        <f>AgeStanSec!D10/C$3</f>
        <v>203.5</v>
      </c>
      <c r="D10" s="65">
        <f>AgeStanSec!E10/D$3</f>
        <v>205.20783623637953</v>
      </c>
      <c r="E10" s="65">
        <f>AgeStanSec!F10/E$3</f>
        <v>211.625</v>
      </c>
      <c r="F10" s="65">
        <f>AgeStanSec!G10/F$3</f>
        <v>212.01185079137835</v>
      </c>
      <c r="G10" s="65">
        <f>AgeStanSec!H10/G$3</f>
        <v>218.4</v>
      </c>
      <c r="H10" s="65">
        <f>AgeStanSec!I10/H$3</f>
        <v>220.08333333333334</v>
      </c>
      <c r="I10" s="65">
        <f>AgeStanSec!J10/I$3</f>
        <v>222.06666666666666</v>
      </c>
      <c r="J10" s="65">
        <f>AgeStanSec!K10/J$3</f>
        <v>222.3887497017418</v>
      </c>
      <c r="K10" s="65">
        <f>AgeStanSec!L10/K$3</f>
        <v>224.9</v>
      </c>
      <c r="L10" s="65">
        <f>AgeStanSec!M10/L$3</f>
        <v>225.66654816921437</v>
      </c>
      <c r="M10" s="65">
        <f>AgeStanSec!N10/M$3</f>
        <v>230.2</v>
      </c>
      <c r="N10" s="65">
        <f>AgeStanSec!O10/N$3</f>
        <v>236.23333333333332</v>
      </c>
      <c r="O10" s="65">
        <f>AgeStanSec!P10/O$3</f>
        <v>251.712288185804</v>
      </c>
      <c r="P10" s="65">
        <f>AgeStanSec!Q10/P$3</f>
        <v>258.95999999999998</v>
      </c>
      <c r="Q10" s="65">
        <f>AgeStanSec!R10/Q$3</f>
        <v>293.34933985524538</v>
      </c>
      <c r="R10" s="65">
        <f>AgeStanSec!S10/R$3</f>
        <v>313.56</v>
      </c>
      <c r="S10" s="65">
        <f>AgeStanSec!T10/S$3</f>
        <v>355.25333333333333</v>
      </c>
      <c r="T10" s="65">
        <f>AgeStanSec!U10/T$3</f>
        <v>362.9553408096715</v>
      </c>
      <c r="U10" s="65">
        <f>AgeStanSec!V10/U$3</f>
        <v>387.55</v>
      </c>
      <c r="V10" s="47"/>
    </row>
    <row r="11" spans="1:22">
      <c r="A11" s="66">
        <v>10</v>
      </c>
      <c r="B11" s="67">
        <f>AgeStanSec!C11/B$3</f>
        <v>188</v>
      </c>
      <c r="C11" s="67">
        <f>AgeStanSec!D11/C$3</f>
        <v>192.33333333333334</v>
      </c>
      <c r="D11" s="67">
        <f>AgeStanSec!E11/D$3</f>
        <v>194.02315477610753</v>
      </c>
      <c r="E11" s="67">
        <f>AgeStanSec!F11/E$3</f>
        <v>199.75</v>
      </c>
      <c r="F11" s="67">
        <f>AgeStanSec!G11/F$3</f>
        <v>200.08152390042153</v>
      </c>
      <c r="G11" s="67">
        <f>AgeStanSec!H11/G$3</f>
        <v>205.8</v>
      </c>
      <c r="H11" s="67">
        <f>AgeStanSec!I11/H$3</f>
        <v>206.83333333333334</v>
      </c>
      <c r="I11" s="67">
        <f>AgeStanSec!J11/I$3</f>
        <v>208.2</v>
      </c>
      <c r="J11" s="67">
        <f>AgeStanSec!K11/J$3</f>
        <v>208.34576075717806</v>
      </c>
      <c r="K11" s="67">
        <f>AgeStanSec!L11/K$3</f>
        <v>210.15</v>
      </c>
      <c r="L11" s="67">
        <f>AgeStanSec!M11/L$3</f>
        <v>210.73586917881266</v>
      </c>
      <c r="M11" s="67">
        <f>AgeStanSec!N11/M$3</f>
        <v>214.92</v>
      </c>
      <c r="N11" s="67">
        <f>AgeStanSec!O11/N$3</f>
        <v>220.5</v>
      </c>
      <c r="O11" s="67">
        <f>AgeStanSec!P11/O$3</f>
        <v>234.86195046806495</v>
      </c>
      <c r="P11" s="67">
        <f>AgeStanSec!Q11/P$3</f>
        <v>241.62</v>
      </c>
      <c r="Q11" s="67">
        <f>AgeStanSec!R11/Q$3</f>
        <v>273.70158275670087</v>
      </c>
      <c r="R11" s="67">
        <f>AgeStanSec!S11/R$3</f>
        <v>292.56</v>
      </c>
      <c r="S11" s="67">
        <f>AgeStanSec!T11/S$3</f>
        <v>331.46</v>
      </c>
      <c r="T11" s="67">
        <f>AgeStanSec!U11/T$3</f>
        <v>338.64108605742462</v>
      </c>
      <c r="U11" s="67">
        <f>AgeStanSec!V11/U$3</f>
        <v>361.59500000000003</v>
      </c>
      <c r="V11" s="47"/>
    </row>
    <row r="12" spans="1:22">
      <c r="A12" s="64">
        <v>11</v>
      </c>
      <c r="B12" s="65">
        <f>AgeStanSec!C12/B$3</f>
        <v>179.4</v>
      </c>
      <c r="C12" s="65">
        <f>AgeStanSec!D12/C$3</f>
        <v>183.5</v>
      </c>
      <c r="D12" s="65">
        <f>AgeStanSec!E12/D$3</f>
        <v>184.85792969060685</v>
      </c>
      <c r="E12" s="65">
        <f>AgeStanSec!F12/E$3</f>
        <v>190</v>
      </c>
      <c r="F12" s="65">
        <f>AgeStanSec!G12/F$3</f>
        <v>190.3881333015191</v>
      </c>
      <c r="G12" s="65">
        <f>AgeStanSec!H12/G$3</f>
        <v>195.5</v>
      </c>
      <c r="H12" s="65">
        <f>AgeStanSec!I12/H$3</f>
        <v>196.25</v>
      </c>
      <c r="I12" s="65">
        <f>AgeStanSec!J12/I$3</f>
        <v>197.2</v>
      </c>
      <c r="J12" s="65">
        <f>AgeStanSec!K12/J$3</f>
        <v>197.22321641612979</v>
      </c>
      <c r="K12" s="65">
        <f>AgeStanSec!L12/K$3</f>
        <v>198.55</v>
      </c>
      <c r="L12" s="65">
        <f>AgeStanSec!M12/L$3</f>
        <v>199.02832089110083</v>
      </c>
      <c r="M12" s="65">
        <f>AgeStanSec!N12/M$3</f>
        <v>202.92</v>
      </c>
      <c r="N12" s="65">
        <f>AgeStanSec!O12/N$3</f>
        <v>208.06666666666666</v>
      </c>
      <c r="O12" s="65">
        <f>AgeStanSec!P12/O$3</f>
        <v>221.40063988624243</v>
      </c>
      <c r="P12" s="65">
        <f>AgeStanSec!Q12/P$3</f>
        <v>227.76</v>
      </c>
      <c r="Q12" s="65">
        <f>AgeStanSec!R12/Q$3</f>
        <v>258.01817386463051</v>
      </c>
      <c r="R12" s="65">
        <f>AgeStanSec!S12/R$3</f>
        <v>275.79000000000002</v>
      </c>
      <c r="S12" s="65">
        <f>AgeStanSec!T12/S$3</f>
        <v>312.45999999999998</v>
      </c>
      <c r="T12" s="65">
        <f>AgeStanSec!U12/T$3</f>
        <v>319.22945001193028</v>
      </c>
      <c r="U12" s="65">
        <f>AgeStanSec!V12/U$3</f>
        <v>340.86500000000001</v>
      </c>
      <c r="V12" s="47"/>
    </row>
    <row r="13" spans="1:22">
      <c r="A13" s="64">
        <v>12</v>
      </c>
      <c r="B13" s="65">
        <f>AgeStanSec!C13/B$3</f>
        <v>172.6</v>
      </c>
      <c r="C13" s="65">
        <f>AgeStanSec!D13/C$3</f>
        <v>176.33333333333334</v>
      </c>
      <c r="D13" s="65">
        <f>AgeStanSec!E13/D$3</f>
        <v>177.55681818181816</v>
      </c>
      <c r="E13" s="65">
        <f>AgeStanSec!F13/E$3</f>
        <v>182.25</v>
      </c>
      <c r="F13" s="65">
        <f>AgeStanSec!G13/F$3</f>
        <v>182.55885627932869</v>
      </c>
      <c r="G13" s="65">
        <f>AgeStanSec!H13/G$3</f>
        <v>187.1</v>
      </c>
      <c r="H13" s="65">
        <f>AgeStanSec!I13/H$3</f>
        <v>187.66666666666666</v>
      </c>
      <c r="I13" s="65">
        <f>AgeStanSec!J13/I$3</f>
        <v>188.33333333333334</v>
      </c>
      <c r="J13" s="65">
        <f>AgeStanSec!K13/J$3</f>
        <v>188.33760836713591</v>
      </c>
      <c r="K13" s="65">
        <f>AgeStanSec!L13/K$3</f>
        <v>189.4</v>
      </c>
      <c r="L13" s="65">
        <f>AgeStanSec!M13/L$3</f>
        <v>189.83291859225025</v>
      </c>
      <c r="M13" s="65">
        <f>AgeStanSec!N13/M$3</f>
        <v>193.4</v>
      </c>
      <c r="N13" s="65">
        <f>AgeStanSec!O13/N$3</f>
        <v>198.16666666666666</v>
      </c>
      <c r="O13" s="65">
        <f>AgeStanSec!P13/O$3</f>
        <v>210.52257376466406</v>
      </c>
      <c r="P13" s="65">
        <f>AgeStanSec!Q13/P$3</f>
        <v>216.58</v>
      </c>
      <c r="Q13" s="65">
        <f>AgeStanSec!R13/Q$3</f>
        <v>245.34220154298893</v>
      </c>
      <c r="R13" s="65">
        <f>AgeStanSec!S13/R$3</f>
        <v>262.25</v>
      </c>
      <c r="S13" s="65">
        <f>AgeStanSec!T13/S$3</f>
        <v>297.11333333333334</v>
      </c>
      <c r="T13" s="65">
        <f>AgeStanSec!U13/T$3</f>
        <v>303.55225483178236</v>
      </c>
      <c r="U13" s="65">
        <f>AgeStanSec!V13/U$3</f>
        <v>324.125</v>
      </c>
      <c r="V13" s="47"/>
    </row>
    <row r="14" spans="1:22">
      <c r="A14" s="64">
        <v>13</v>
      </c>
      <c r="B14" s="65">
        <f>AgeStanSec!C14/B$3</f>
        <v>167.2</v>
      </c>
      <c r="C14" s="65">
        <f>AgeStanSec!D14/C$3</f>
        <v>170.5</v>
      </c>
      <c r="D14" s="65">
        <f>AgeStanSec!E14/D$3</f>
        <v>171.6537918555635</v>
      </c>
      <c r="E14" s="65">
        <f>AgeStanSec!F14/E$3</f>
        <v>175.75</v>
      </c>
      <c r="F14" s="65">
        <f>AgeStanSec!G14/F$3</f>
        <v>176.09659588006045</v>
      </c>
      <c r="G14" s="65">
        <f>AgeStanSec!H14/G$3</f>
        <v>180.1</v>
      </c>
      <c r="H14" s="65">
        <f>AgeStanSec!I14/H$3</f>
        <v>180.66666666666666</v>
      </c>
      <c r="I14" s="65">
        <f>AgeStanSec!J14/I$3</f>
        <v>181.26666666666668</v>
      </c>
      <c r="J14" s="65">
        <f>AgeStanSec!K14/J$3</f>
        <v>181.19183965640659</v>
      </c>
      <c r="K14" s="65">
        <f>AgeStanSec!L14/K$3</f>
        <v>182.2</v>
      </c>
      <c r="L14" s="65">
        <f>AgeStanSec!M14/L$3</f>
        <v>182.62827349211992</v>
      </c>
      <c r="M14" s="65">
        <f>AgeStanSec!N14/M$3</f>
        <v>185.88</v>
      </c>
      <c r="N14" s="65">
        <f>AgeStanSec!O14/N$3</f>
        <v>190.26666666666668</v>
      </c>
      <c r="O14" s="65">
        <f>AgeStanSec!P14/O$3</f>
        <v>201.73006280364973</v>
      </c>
      <c r="P14" s="65">
        <f>AgeStanSec!Q14/P$3</f>
        <v>207.52</v>
      </c>
      <c r="Q14" s="65">
        <f>AgeStanSec!R14/Q$3</f>
        <v>235.10200429491766</v>
      </c>
      <c r="R14" s="65">
        <f>AgeStanSec!S14/R$3</f>
        <v>251.29</v>
      </c>
      <c r="S14" s="65">
        <f>AgeStanSec!T14/S$3</f>
        <v>284.70666666666665</v>
      </c>
      <c r="T14" s="65">
        <f>AgeStanSec!U14/T$3</f>
        <v>290.87628251014075</v>
      </c>
      <c r="U14" s="65">
        <f>AgeStanSec!V14/U$3</f>
        <v>310.58999999999997</v>
      </c>
      <c r="V14" s="47"/>
    </row>
    <row r="15" spans="1:22">
      <c r="A15" s="64">
        <v>14</v>
      </c>
      <c r="B15" s="65">
        <f>AgeStanSec!C15/B$3</f>
        <v>162.80000000000001</v>
      </c>
      <c r="C15" s="65">
        <f>AgeStanSec!D15/C$3</f>
        <v>165.83333333333334</v>
      </c>
      <c r="D15" s="65">
        <f>AgeStanSec!E15/D$3</f>
        <v>166.83816511572417</v>
      </c>
      <c r="E15" s="65">
        <f>AgeStanSec!F15/E$3</f>
        <v>170.625</v>
      </c>
      <c r="F15" s="65">
        <f>AgeStanSec!G15/F$3</f>
        <v>170.87707786526684</v>
      </c>
      <c r="G15" s="65">
        <f>AgeStanSec!H15/G$3</f>
        <v>174.5</v>
      </c>
      <c r="H15" s="65">
        <f>AgeStanSec!I15/H$3</f>
        <v>175</v>
      </c>
      <c r="I15" s="65">
        <f>AgeStanSec!J15/I$3</f>
        <v>175.6</v>
      </c>
      <c r="J15" s="65">
        <f>AgeStanSec!K15/J$3</f>
        <v>175.59949892627057</v>
      </c>
      <c r="K15" s="65">
        <f>AgeStanSec!L15/K$3</f>
        <v>176.6</v>
      </c>
      <c r="L15" s="65">
        <f>AgeStanSec!M15/L$3</f>
        <v>176.98779476241262</v>
      </c>
      <c r="M15" s="65">
        <f>AgeStanSec!N15/M$3</f>
        <v>179.96</v>
      </c>
      <c r="N15" s="65">
        <f>AgeStanSec!O15/N$3</f>
        <v>183.96666666666667</v>
      </c>
      <c r="O15" s="65">
        <f>AgeStanSec!P15/O$3</f>
        <v>194.59651617490223</v>
      </c>
      <c r="P15" s="65">
        <f>AgeStanSec!Q15/P$3</f>
        <v>200.2</v>
      </c>
      <c r="Q15" s="65">
        <f>AgeStanSec!R15/Q$3</f>
        <v>226.80048516662688</v>
      </c>
      <c r="R15" s="65">
        <f>AgeStanSec!S15/R$3</f>
        <v>242.42</v>
      </c>
      <c r="S15" s="65">
        <f>AgeStanSec!T15/S$3</f>
        <v>274.66000000000003</v>
      </c>
      <c r="T15" s="65">
        <f>AgeStanSec!U15/T$3</f>
        <v>280.60501670245765</v>
      </c>
      <c r="U15" s="65">
        <f>AgeStanSec!V15/U$3</f>
        <v>299.625</v>
      </c>
      <c r="V15" s="47"/>
    </row>
    <row r="16" spans="1:22">
      <c r="A16" s="66">
        <v>15</v>
      </c>
      <c r="B16" s="67">
        <f>AgeStanSec!C16/B$3</f>
        <v>159.6</v>
      </c>
      <c r="C16" s="67">
        <f>AgeStanSec!D16/C$3</f>
        <v>162.16666666666666</v>
      </c>
      <c r="D16" s="67">
        <f>AgeStanSec!E16/D$3</f>
        <v>163.10993796230017</v>
      </c>
      <c r="E16" s="67">
        <f>AgeStanSec!F16/E$3</f>
        <v>166.5</v>
      </c>
      <c r="F16" s="67">
        <f>AgeStanSec!G16/F$3</f>
        <v>166.77602799650043</v>
      </c>
      <c r="G16" s="67">
        <f>AgeStanSec!H16/G$3</f>
        <v>169.9</v>
      </c>
      <c r="H16" s="67">
        <f>AgeStanSec!I16/H$3</f>
        <v>170.5</v>
      </c>
      <c r="I16" s="67">
        <f>AgeStanSec!J16/I$3</f>
        <v>171.26666666666668</v>
      </c>
      <c r="J16" s="67">
        <f>AgeStanSec!K16/J$3</f>
        <v>171.24990058060922</v>
      </c>
      <c r="K16" s="67">
        <f>AgeStanSec!L16/K$3</f>
        <v>172.35</v>
      </c>
      <c r="L16" s="67">
        <f>AgeStanSec!M16/L$3</f>
        <v>172.7692854603626</v>
      </c>
      <c r="M16" s="67">
        <f>AgeStanSec!N16/M$3</f>
        <v>175.4</v>
      </c>
      <c r="N16" s="67">
        <f>AgeStanSec!O16/N$3</f>
        <v>179.1</v>
      </c>
      <c r="O16" s="67">
        <f>AgeStanSec!P16/O$3</f>
        <v>188.88493897381207</v>
      </c>
      <c r="P16" s="67">
        <f>AgeStanSec!Q16/P$3</f>
        <v>194.32</v>
      </c>
      <c r="Q16" s="67">
        <f>AgeStanSec!R16/Q$3</f>
        <v>220.12695856199792</v>
      </c>
      <c r="R16" s="67">
        <f>AgeStanSec!S16/R$3</f>
        <v>235.29</v>
      </c>
      <c r="S16" s="67">
        <f>AgeStanSec!T16/S$3</f>
        <v>266.58</v>
      </c>
      <c r="T16" s="67">
        <f>AgeStanSec!U16/T$3</f>
        <v>272.35320726954586</v>
      </c>
      <c r="U16" s="67">
        <f>AgeStanSec!V16/U$3</f>
        <v>290.815</v>
      </c>
      <c r="V16" s="47"/>
    </row>
    <row r="17" spans="1:22">
      <c r="A17" s="64">
        <v>16</v>
      </c>
      <c r="B17" s="65">
        <f>AgeStanSec!C17/B$3</f>
        <v>157.19999999999999</v>
      </c>
      <c r="C17" s="65">
        <f>AgeStanSec!D17/C$3</f>
        <v>159.5</v>
      </c>
      <c r="D17" s="65">
        <f>AgeStanSec!E17/D$3</f>
        <v>160.31376759723216</v>
      </c>
      <c r="E17" s="65">
        <f>AgeStanSec!F17/E$3</f>
        <v>163.25</v>
      </c>
      <c r="F17" s="65">
        <f>AgeStanSec!G17/F$3</f>
        <v>163.54489779686628</v>
      </c>
      <c r="G17" s="65">
        <f>AgeStanSec!H17/G$3</f>
        <v>166.2</v>
      </c>
      <c r="H17" s="65">
        <f>AgeStanSec!I17/H$3</f>
        <v>167</v>
      </c>
      <c r="I17" s="65">
        <f>AgeStanSec!J17/I$3</f>
        <v>167.93333333333334</v>
      </c>
      <c r="J17" s="65">
        <f>AgeStanSec!K17/J$3</f>
        <v>168.0187703809751</v>
      </c>
      <c r="K17" s="65">
        <f>AgeStanSec!L17/K$3</f>
        <v>169.3</v>
      </c>
      <c r="L17" s="65">
        <f>AgeStanSec!M17/L$3</f>
        <v>169.73575068136034</v>
      </c>
      <c r="M17" s="65">
        <f>AgeStanSec!N17/M$3</f>
        <v>172.08</v>
      </c>
      <c r="N17" s="65">
        <f>AgeStanSec!O17/N$3</f>
        <v>175.36666666666667</v>
      </c>
      <c r="O17" s="65">
        <f>AgeStanSec!P17/O$3</f>
        <v>184.3820357862306</v>
      </c>
      <c r="P17" s="65">
        <f>AgeStanSec!Q17/P$3</f>
        <v>189.68</v>
      </c>
      <c r="Q17" s="65">
        <f>AgeStanSec!R17/Q$3</f>
        <v>214.87015827567006</v>
      </c>
      <c r="R17" s="65">
        <f>AgeStanSec!S17/R$3</f>
        <v>229.68</v>
      </c>
      <c r="S17" s="65">
        <f>AgeStanSec!T17/S$3</f>
        <v>260.21333333333331</v>
      </c>
      <c r="T17" s="65">
        <f>AgeStanSec!U17/T$3</f>
        <v>265.85366459874331</v>
      </c>
      <c r="U17" s="65">
        <f>AgeStanSec!V17/U$3</f>
        <v>283.87</v>
      </c>
      <c r="V17" s="47"/>
    </row>
    <row r="18" spans="1:22">
      <c r="A18" s="64">
        <v>17</v>
      </c>
      <c r="B18" s="65">
        <f>AgeStanSec!C18/B$3</f>
        <v>155.6</v>
      </c>
      <c r="C18" s="65">
        <f>AgeStanSec!D18/C$3</f>
        <v>157.66666666666666</v>
      </c>
      <c r="D18" s="65">
        <f>AgeStanSec!E18/D$3</f>
        <v>158.29431122246081</v>
      </c>
      <c r="E18" s="65">
        <f>AgeStanSec!F18/E$3</f>
        <v>160.875</v>
      </c>
      <c r="F18" s="65">
        <f>AgeStanSec!G18/F$3</f>
        <v>161.05941302791695</v>
      </c>
      <c r="G18" s="65">
        <f>AgeStanSec!H18/G$3</f>
        <v>163.4</v>
      </c>
      <c r="H18" s="65">
        <f>AgeStanSec!I18/H$3</f>
        <v>164.41666666666666</v>
      </c>
      <c r="I18" s="65">
        <f>AgeStanSec!J18/I$3</f>
        <v>165.6</v>
      </c>
      <c r="J18" s="65">
        <f>AgeStanSec!K18/J$3</f>
        <v>165.71969696969697</v>
      </c>
      <c r="K18" s="65">
        <f>AgeStanSec!L18/K$3</f>
        <v>167.25</v>
      </c>
      <c r="L18" s="65">
        <f>AgeStanSec!M18/L$3</f>
        <v>167.74499348264013</v>
      </c>
      <c r="M18" s="65">
        <f>AgeStanSec!N18/M$3</f>
        <v>169.68</v>
      </c>
      <c r="N18" s="65">
        <f>AgeStanSec!O18/N$3</f>
        <v>172.5</v>
      </c>
      <c r="O18" s="65">
        <f>AgeStanSec!P18/O$3</f>
        <v>180.49531935063396</v>
      </c>
      <c r="P18" s="65">
        <f>AgeStanSec!Q18/P$3</f>
        <v>185.68</v>
      </c>
      <c r="Q18" s="65">
        <f>AgeStanSec!R18/Q$3</f>
        <v>210.34657599618228</v>
      </c>
      <c r="R18" s="65">
        <f>AgeStanSec!S18/R$3</f>
        <v>224.84</v>
      </c>
      <c r="S18" s="65">
        <f>AgeStanSec!T18/S$3</f>
        <v>254.74</v>
      </c>
      <c r="T18" s="65">
        <f>AgeStanSec!U18/T$3</f>
        <v>260.25511015668496</v>
      </c>
      <c r="U18" s="65">
        <f>AgeStanSec!V18/U$3</f>
        <v>277.89499999999998</v>
      </c>
      <c r="V18" s="47"/>
    </row>
    <row r="19" spans="1:22">
      <c r="A19" s="64">
        <v>18</v>
      </c>
      <c r="B19" s="65">
        <f>AgeStanSec!C19/B$3</f>
        <v>154.19999999999999</v>
      </c>
      <c r="C19" s="65">
        <f>AgeStanSec!D19/C$3</f>
        <v>156</v>
      </c>
      <c r="D19" s="65">
        <f>AgeStanSec!E19/D$3</f>
        <v>156.58554044380816</v>
      </c>
      <c r="E19" s="65">
        <f>AgeStanSec!F19/E$3</f>
        <v>159</v>
      </c>
      <c r="F19" s="65">
        <f>AgeStanSec!G19/F$3</f>
        <v>159.19529945120496</v>
      </c>
      <c r="G19" s="65">
        <f>AgeStanSec!H19/G$3</f>
        <v>161.30000000000001</v>
      </c>
      <c r="H19" s="65">
        <f>AgeStanSec!I19/H$3</f>
        <v>162.41666666666666</v>
      </c>
      <c r="I19" s="65">
        <f>AgeStanSec!J19/I$3</f>
        <v>163.73333333333332</v>
      </c>
      <c r="J19" s="65">
        <f>AgeStanSec!K19/J$3</f>
        <v>163.91772051220869</v>
      </c>
      <c r="K19" s="65">
        <f>AgeStanSec!L19/K$3</f>
        <v>165.5</v>
      </c>
      <c r="L19" s="65">
        <f>AgeStanSec!M19/L$3</f>
        <v>166.08602915037326</v>
      </c>
      <c r="M19" s="65">
        <f>AgeStanSec!N19/M$3</f>
        <v>167.6</v>
      </c>
      <c r="N19" s="65">
        <f>AgeStanSec!O19/N$3</f>
        <v>170</v>
      </c>
      <c r="O19" s="65">
        <f>AgeStanSec!P19/O$3</f>
        <v>177.12999170517833</v>
      </c>
      <c r="P19" s="65">
        <f>AgeStanSec!Q19/P$3</f>
        <v>182.24</v>
      </c>
      <c r="Q19" s="65">
        <f>AgeStanSec!R19/Q$3</f>
        <v>206.44436490893182</v>
      </c>
      <c r="R19" s="65">
        <f>AgeStanSec!S19/R$3</f>
        <v>220.66</v>
      </c>
      <c r="S19" s="65">
        <f>AgeStanSec!T19/S$3</f>
        <v>250</v>
      </c>
      <c r="T19" s="65">
        <f>AgeStanSec!U19/T$3</f>
        <v>255.41462856915612</v>
      </c>
      <c r="U19" s="65">
        <f>AgeStanSec!V19/U$3</f>
        <v>272.72500000000002</v>
      </c>
      <c r="V19" s="47"/>
    </row>
    <row r="20" spans="1:22">
      <c r="A20" s="64">
        <v>19</v>
      </c>
      <c r="B20" s="65">
        <f>AgeStanSec!C20/B$3</f>
        <v>153.80000000000001</v>
      </c>
      <c r="C20" s="65">
        <f>AgeStanSec!D20/C$3</f>
        <v>155.33333333333334</v>
      </c>
      <c r="D20" s="65">
        <f>AgeStanSec!E20/D$3</f>
        <v>155.96416925157081</v>
      </c>
      <c r="E20" s="65">
        <f>AgeStanSec!F20/E$3</f>
        <v>157.875</v>
      </c>
      <c r="F20" s="65">
        <f>AgeStanSec!G20/F$3</f>
        <v>158.20110554362523</v>
      </c>
      <c r="G20" s="65">
        <f>AgeStanSec!H20/G$3</f>
        <v>160</v>
      </c>
      <c r="H20" s="65">
        <f>AgeStanSec!I20/H$3</f>
        <v>161</v>
      </c>
      <c r="I20" s="65">
        <f>AgeStanSec!J20/I$3</f>
        <v>162.13333333333333</v>
      </c>
      <c r="J20" s="65">
        <f>AgeStanSec!K20/J$3</f>
        <v>162.36429253161535</v>
      </c>
      <c r="K20" s="65">
        <f>AgeStanSec!L20/K$3</f>
        <v>163.85</v>
      </c>
      <c r="L20" s="65">
        <f>AgeStanSec!M20/L$3</f>
        <v>164.37966583718449</v>
      </c>
      <c r="M20" s="65">
        <f>AgeStanSec!N20/M$3</f>
        <v>165.76</v>
      </c>
      <c r="N20" s="65">
        <f>AgeStanSec!O20/N$3</f>
        <v>167.93333333333334</v>
      </c>
      <c r="O20" s="65">
        <f>AgeStanSec!P20/O$3</f>
        <v>174.61784571631711</v>
      </c>
      <c r="P20" s="65">
        <f>AgeStanSec!Q20/P$3</f>
        <v>179.64</v>
      </c>
      <c r="Q20" s="65">
        <f>AgeStanSec!R20/Q$3</f>
        <v>203.49906545772686</v>
      </c>
      <c r="R20" s="65">
        <f>AgeStanSec!S20/R$3</f>
        <v>217.52</v>
      </c>
      <c r="S20" s="65">
        <f>AgeStanSec!T20/S$3</f>
        <v>246.43333333333334</v>
      </c>
      <c r="T20" s="65">
        <f>AgeStanSec!U20/T$3</f>
        <v>251.77339338264534</v>
      </c>
      <c r="U20" s="65">
        <f>AgeStanSec!V20/U$3</f>
        <v>268.83999999999997</v>
      </c>
      <c r="V20" s="47"/>
    </row>
    <row r="21" spans="1:22">
      <c r="A21" s="66">
        <v>20</v>
      </c>
      <c r="B21" s="67">
        <f>AgeStanSec!C21/B$3</f>
        <v>153.80000000000001</v>
      </c>
      <c r="C21" s="67">
        <f>AgeStanSec!D21/C$3</f>
        <v>155.16666666666666</v>
      </c>
      <c r="D21" s="67">
        <f>AgeStanSec!E21/D$3</f>
        <v>155.49814085739283</v>
      </c>
      <c r="E21" s="67">
        <f>AgeStanSec!F21/E$3</f>
        <v>157.25</v>
      </c>
      <c r="F21" s="67">
        <f>AgeStanSec!G21/F$3</f>
        <v>157.45546011294041</v>
      </c>
      <c r="G21" s="67">
        <f>AgeStanSec!H21/G$3</f>
        <v>158.9</v>
      </c>
      <c r="H21" s="67">
        <f>AgeStanSec!I21/H$3</f>
        <v>160</v>
      </c>
      <c r="I21" s="67">
        <f>AgeStanSec!J21/I$3</f>
        <v>161.26666666666668</v>
      </c>
      <c r="J21" s="67">
        <f>AgeStanSec!K21/J$3</f>
        <v>161.43223574325935</v>
      </c>
      <c r="K21" s="67">
        <f>AgeStanSec!L21/K$3</f>
        <v>163.05000000000001</v>
      </c>
      <c r="L21" s="67">
        <f>AgeStanSec!M21/L$3</f>
        <v>163.57388316151201</v>
      </c>
      <c r="M21" s="67">
        <f>AgeStanSec!N21/M$3</f>
        <v>164.72</v>
      </c>
      <c r="N21" s="67">
        <f>AgeStanSec!O21/N$3</f>
        <v>166.7</v>
      </c>
      <c r="O21" s="67">
        <f>AgeStanSec!P21/O$3</f>
        <v>172.84038393174546</v>
      </c>
      <c r="P21" s="67">
        <f>AgeStanSec!Q21/P$3</f>
        <v>177.82</v>
      </c>
      <c r="Q21" s="67">
        <f>AgeStanSec!R21/Q$3</f>
        <v>201.44854052334367</v>
      </c>
      <c r="R21" s="67">
        <f>AgeStanSec!S21/R$3</f>
        <v>215.32</v>
      </c>
      <c r="S21" s="67">
        <f>AgeStanSec!T21/S$3</f>
        <v>243.95333333333335</v>
      </c>
      <c r="T21" s="67">
        <f>AgeStanSec!U21/T$3</f>
        <v>249.23819891831701</v>
      </c>
      <c r="U21" s="67">
        <f>AgeStanSec!V21/U$3</f>
        <v>266.13</v>
      </c>
      <c r="V21" s="47"/>
    </row>
    <row r="22" spans="1:22">
      <c r="A22" s="64">
        <v>21</v>
      </c>
      <c r="B22" s="65">
        <f>AgeStanSec!C22/B$3</f>
        <v>153.80000000000001</v>
      </c>
      <c r="C22" s="65">
        <f>AgeStanSec!D22/C$3</f>
        <v>155</v>
      </c>
      <c r="D22" s="65">
        <f>AgeStanSec!E22/D$3</f>
        <v>155.34279805933349</v>
      </c>
      <c r="E22" s="65">
        <f>AgeStanSec!F22/E$3</f>
        <v>156.875</v>
      </c>
      <c r="F22" s="65">
        <f>AgeStanSec!G22/F$3</f>
        <v>157.08263739759801</v>
      </c>
      <c r="G22" s="65">
        <f>AgeStanSec!H22/G$3</f>
        <v>158.4</v>
      </c>
      <c r="H22" s="65">
        <f>AgeStanSec!I22/H$3</f>
        <v>159.58333333333334</v>
      </c>
      <c r="I22" s="65">
        <f>AgeStanSec!J22/I$3</f>
        <v>161</v>
      </c>
      <c r="J22" s="65">
        <f>AgeStanSec!K22/J$3</f>
        <v>161.24582438558815</v>
      </c>
      <c r="K22" s="65">
        <f>AgeStanSec!L22/K$3</f>
        <v>163</v>
      </c>
      <c r="L22" s="65">
        <f>AgeStanSec!M22/L$3</f>
        <v>163.57388316151201</v>
      </c>
      <c r="M22" s="65">
        <f>AgeStanSec!N22/M$3</f>
        <v>164.48</v>
      </c>
      <c r="N22" s="65">
        <f>AgeStanSec!O22/N$3</f>
        <v>166.16666666666666</v>
      </c>
      <c r="O22" s="65">
        <f>AgeStanSec!P22/O$3</f>
        <v>171.79760635146343</v>
      </c>
      <c r="P22" s="65">
        <f>AgeStanSec!Q22/P$3</f>
        <v>176.76</v>
      </c>
      <c r="Q22" s="65">
        <f>AgeStanSec!R22/Q$3</f>
        <v>200.23065298655848</v>
      </c>
      <c r="R22" s="65">
        <f>AgeStanSec!S22/R$3</f>
        <v>214.03</v>
      </c>
      <c r="S22" s="65">
        <f>AgeStanSec!T22/S$3</f>
        <v>242.48666666666668</v>
      </c>
      <c r="T22" s="65">
        <f>AgeStanSec!U22/T$3</f>
        <v>247.74069434502505</v>
      </c>
      <c r="U22" s="65">
        <f>AgeStanSec!V22/U$3</f>
        <v>264.52999999999997</v>
      </c>
      <c r="V22" s="47"/>
    </row>
    <row r="23" spans="1:22">
      <c r="A23" s="64">
        <v>22</v>
      </c>
      <c r="B23" s="65">
        <f>AgeStanSec!C23/B$3</f>
        <v>153.80000000000001</v>
      </c>
      <c r="C23" s="65">
        <f>AgeStanSec!D23/C$3</f>
        <v>155</v>
      </c>
      <c r="D23" s="65">
        <f>AgeStanSec!E23/D$3</f>
        <v>155.34279805933349</v>
      </c>
      <c r="E23" s="65">
        <f>AgeStanSec!F23/E$3</f>
        <v>156.875</v>
      </c>
      <c r="F23" s="65">
        <f>AgeStanSec!G23/F$3</f>
        <v>157.08263739759801</v>
      </c>
      <c r="G23" s="65">
        <f>AgeStanSec!H23/G$3</f>
        <v>158.4</v>
      </c>
      <c r="H23" s="65">
        <f>AgeStanSec!I23/H$3</f>
        <v>159.58333333333334</v>
      </c>
      <c r="I23" s="65">
        <f>AgeStanSec!J23/I$3</f>
        <v>161</v>
      </c>
      <c r="J23" s="65">
        <f>AgeStanSec!K23/J$3</f>
        <v>161.24582438558815</v>
      </c>
      <c r="K23" s="65">
        <f>AgeStanSec!L23/K$3</f>
        <v>163</v>
      </c>
      <c r="L23" s="65">
        <f>AgeStanSec!M23/L$3</f>
        <v>163.57388316151201</v>
      </c>
      <c r="M23" s="65">
        <f>AgeStanSec!N23/M$3</f>
        <v>164.4</v>
      </c>
      <c r="N23" s="65">
        <f>AgeStanSec!O23/N$3</f>
        <v>166</v>
      </c>
      <c r="O23" s="65">
        <f>AgeStanSec!P23/O$3</f>
        <v>171.46581348501007</v>
      </c>
      <c r="P23" s="65">
        <f>AgeStanSec!Q23/P$3</f>
        <v>176.4</v>
      </c>
      <c r="Q23" s="65">
        <f>AgeStanSec!R23/Q$3</f>
        <v>199.83297542352659</v>
      </c>
      <c r="R23" s="65">
        <f>AgeStanSec!S23/R$3</f>
        <v>213.6</v>
      </c>
      <c r="S23" s="65">
        <f>AgeStanSec!T23/S$3</f>
        <v>242</v>
      </c>
      <c r="T23" s="65">
        <f>AgeStanSec!U23/T$3</f>
        <v>247.24359739123517</v>
      </c>
      <c r="U23" s="65">
        <f>AgeStanSec!V23/U$3</f>
        <v>264</v>
      </c>
      <c r="V23" s="47"/>
    </row>
    <row r="24" spans="1:22">
      <c r="A24" s="64">
        <v>23</v>
      </c>
      <c r="B24" s="65">
        <f>AgeStanSec!C24/B$3</f>
        <v>153.80000000000001</v>
      </c>
      <c r="C24" s="65">
        <f>AgeStanSec!D24/C$3</f>
        <v>155</v>
      </c>
      <c r="D24" s="65">
        <f>AgeStanSec!E24/D$3</f>
        <v>155.34279805933349</v>
      </c>
      <c r="E24" s="65">
        <f>AgeStanSec!F24/E$3</f>
        <v>156.875</v>
      </c>
      <c r="F24" s="65">
        <f>AgeStanSec!G24/F$3</f>
        <v>157.08263739759801</v>
      </c>
      <c r="G24" s="65">
        <f>AgeStanSec!H24/G$3</f>
        <v>158.4</v>
      </c>
      <c r="H24" s="65">
        <f>AgeStanSec!I24/H$3</f>
        <v>159.58333333333334</v>
      </c>
      <c r="I24" s="65">
        <f>AgeStanSec!J24/I$3</f>
        <v>161</v>
      </c>
      <c r="J24" s="65">
        <f>AgeStanSec!K24/J$3</f>
        <v>161.24582438558815</v>
      </c>
      <c r="K24" s="65">
        <f>AgeStanSec!L24/K$3</f>
        <v>163</v>
      </c>
      <c r="L24" s="65">
        <f>AgeStanSec!M24/L$3</f>
        <v>163.57388316151201</v>
      </c>
      <c r="M24" s="65">
        <f>AgeStanSec!N24/M$3</f>
        <v>164.4</v>
      </c>
      <c r="N24" s="65">
        <f>AgeStanSec!O24/N$3</f>
        <v>166</v>
      </c>
      <c r="O24" s="65">
        <f>AgeStanSec!P24/O$3</f>
        <v>171.46581348501007</v>
      </c>
      <c r="P24" s="65">
        <f>AgeStanSec!Q24/P$3</f>
        <v>176.4</v>
      </c>
      <c r="Q24" s="65">
        <f>AgeStanSec!R24/Q$3</f>
        <v>199.83297542352659</v>
      </c>
      <c r="R24" s="65">
        <f>AgeStanSec!S24/R$3</f>
        <v>213.6</v>
      </c>
      <c r="S24" s="65">
        <f>AgeStanSec!T24/S$3</f>
        <v>242</v>
      </c>
      <c r="T24" s="65">
        <f>AgeStanSec!U24/T$3</f>
        <v>247.24359739123517</v>
      </c>
      <c r="U24" s="65">
        <f>AgeStanSec!V24/U$3</f>
        <v>264</v>
      </c>
      <c r="V24" s="47"/>
    </row>
    <row r="25" spans="1:22">
      <c r="A25" s="64">
        <v>24</v>
      </c>
      <c r="B25" s="65">
        <f>AgeStanSec!C25/B$3</f>
        <v>153.80000000000001</v>
      </c>
      <c r="C25" s="65">
        <f>AgeStanSec!D25/C$3</f>
        <v>155</v>
      </c>
      <c r="D25" s="65">
        <f>AgeStanSec!E25/D$3</f>
        <v>155.34279805933349</v>
      </c>
      <c r="E25" s="65">
        <f>AgeStanSec!F25/E$3</f>
        <v>156.875</v>
      </c>
      <c r="F25" s="65">
        <f>AgeStanSec!G25/F$3</f>
        <v>157.08263739759801</v>
      </c>
      <c r="G25" s="65">
        <f>AgeStanSec!H25/G$3</f>
        <v>158.4</v>
      </c>
      <c r="H25" s="65">
        <f>AgeStanSec!I25/H$3</f>
        <v>159.58333333333334</v>
      </c>
      <c r="I25" s="65">
        <f>AgeStanSec!J25/I$3</f>
        <v>161</v>
      </c>
      <c r="J25" s="65">
        <f>AgeStanSec!K25/J$3</f>
        <v>161.24582438558815</v>
      </c>
      <c r="K25" s="65">
        <f>AgeStanSec!L25/K$3</f>
        <v>163</v>
      </c>
      <c r="L25" s="65">
        <f>AgeStanSec!M25/L$3</f>
        <v>163.57388316151201</v>
      </c>
      <c r="M25" s="65">
        <f>AgeStanSec!N25/M$3</f>
        <v>164.4</v>
      </c>
      <c r="N25" s="65">
        <f>AgeStanSec!O25/N$3</f>
        <v>166</v>
      </c>
      <c r="O25" s="65">
        <f>AgeStanSec!P25/O$3</f>
        <v>171.46581348501007</v>
      </c>
      <c r="P25" s="65">
        <f>AgeStanSec!Q25/P$3</f>
        <v>176.4</v>
      </c>
      <c r="Q25" s="65">
        <f>AgeStanSec!R25/Q$3</f>
        <v>199.83297542352659</v>
      </c>
      <c r="R25" s="65">
        <f>AgeStanSec!S25/R$3</f>
        <v>213.6</v>
      </c>
      <c r="S25" s="65">
        <f>AgeStanSec!T25/S$3</f>
        <v>242</v>
      </c>
      <c r="T25" s="65">
        <f>AgeStanSec!U25/T$3</f>
        <v>247.24359739123517</v>
      </c>
      <c r="U25" s="65">
        <f>AgeStanSec!V25/U$3</f>
        <v>264</v>
      </c>
      <c r="V25" s="47"/>
    </row>
    <row r="26" spans="1:22">
      <c r="A26" s="66">
        <v>25</v>
      </c>
      <c r="B26" s="67">
        <f>AgeStanSec!C26/B$3</f>
        <v>153.80000000000001</v>
      </c>
      <c r="C26" s="67">
        <f>AgeStanSec!D26/C$3</f>
        <v>155</v>
      </c>
      <c r="D26" s="67">
        <f>AgeStanSec!E26/D$3</f>
        <v>155.34279805933349</v>
      </c>
      <c r="E26" s="67">
        <f>AgeStanSec!F26/E$3</f>
        <v>156.875</v>
      </c>
      <c r="F26" s="67">
        <f>AgeStanSec!G26/F$3</f>
        <v>157.08263739759801</v>
      </c>
      <c r="G26" s="67">
        <f>AgeStanSec!H26/G$3</f>
        <v>158.4</v>
      </c>
      <c r="H26" s="67">
        <f>AgeStanSec!I26/H$3</f>
        <v>159.58333333333334</v>
      </c>
      <c r="I26" s="67">
        <f>AgeStanSec!J26/I$3</f>
        <v>161</v>
      </c>
      <c r="J26" s="67">
        <f>AgeStanSec!K26/J$3</f>
        <v>161.24582438558815</v>
      </c>
      <c r="K26" s="67">
        <f>AgeStanSec!L26/K$3</f>
        <v>163</v>
      </c>
      <c r="L26" s="67">
        <f>AgeStanSec!M26/L$3</f>
        <v>163.57388316151201</v>
      </c>
      <c r="M26" s="67">
        <f>AgeStanSec!N26/M$3</f>
        <v>164.4</v>
      </c>
      <c r="N26" s="67">
        <f>AgeStanSec!O26/N$3</f>
        <v>166</v>
      </c>
      <c r="O26" s="67">
        <f>AgeStanSec!P26/O$3</f>
        <v>171.46581348501007</v>
      </c>
      <c r="P26" s="67">
        <f>AgeStanSec!Q26/P$3</f>
        <v>176.4</v>
      </c>
      <c r="Q26" s="67">
        <f>AgeStanSec!R26/Q$3</f>
        <v>199.83297542352659</v>
      </c>
      <c r="R26" s="67">
        <f>AgeStanSec!S26/R$3</f>
        <v>213.6</v>
      </c>
      <c r="S26" s="67">
        <f>AgeStanSec!T26/S$3</f>
        <v>242</v>
      </c>
      <c r="T26" s="67">
        <f>AgeStanSec!U26/T$3</f>
        <v>247.24359739123517</v>
      </c>
      <c r="U26" s="67">
        <f>AgeStanSec!V26/U$3</f>
        <v>264</v>
      </c>
      <c r="V26" s="47"/>
    </row>
    <row r="27" spans="1:22">
      <c r="A27" s="64">
        <v>26</v>
      </c>
      <c r="B27" s="65">
        <f>AgeStanSec!C27/B$3</f>
        <v>153.80000000000001</v>
      </c>
      <c r="C27" s="65">
        <f>AgeStanSec!D27/C$3</f>
        <v>155</v>
      </c>
      <c r="D27" s="65">
        <f>AgeStanSec!E27/D$3</f>
        <v>155.34279805933349</v>
      </c>
      <c r="E27" s="65">
        <f>AgeStanSec!F27/E$3</f>
        <v>156.875</v>
      </c>
      <c r="F27" s="65">
        <f>AgeStanSec!G27/F$3</f>
        <v>157.08263739759801</v>
      </c>
      <c r="G27" s="65">
        <f>AgeStanSec!H27/G$3</f>
        <v>158.4</v>
      </c>
      <c r="H27" s="65">
        <f>AgeStanSec!I27/H$3</f>
        <v>159.58333333333334</v>
      </c>
      <c r="I27" s="65">
        <f>AgeStanSec!J27/I$3</f>
        <v>161</v>
      </c>
      <c r="J27" s="65">
        <f>AgeStanSec!K27/J$3</f>
        <v>161.24582438558815</v>
      </c>
      <c r="K27" s="65">
        <f>AgeStanSec!L27/K$3</f>
        <v>163</v>
      </c>
      <c r="L27" s="65">
        <f>AgeStanSec!M27/L$3</f>
        <v>163.57388316151201</v>
      </c>
      <c r="M27" s="65">
        <f>AgeStanSec!N27/M$3</f>
        <v>164.4</v>
      </c>
      <c r="N27" s="65">
        <f>AgeStanSec!O27/N$3</f>
        <v>166</v>
      </c>
      <c r="O27" s="65">
        <f>AgeStanSec!P27/O$3</f>
        <v>171.46581348501007</v>
      </c>
      <c r="P27" s="65">
        <f>AgeStanSec!Q27/P$3</f>
        <v>176.4</v>
      </c>
      <c r="Q27" s="65">
        <f>AgeStanSec!R27/Q$3</f>
        <v>199.83297542352659</v>
      </c>
      <c r="R27" s="65">
        <f>AgeStanSec!S27/R$3</f>
        <v>213.6</v>
      </c>
      <c r="S27" s="65">
        <f>AgeStanSec!T27/S$3</f>
        <v>242</v>
      </c>
      <c r="T27" s="65">
        <f>AgeStanSec!U27/T$3</f>
        <v>247.24359739123517</v>
      </c>
      <c r="U27" s="65">
        <f>AgeStanSec!V27/U$3</f>
        <v>264</v>
      </c>
      <c r="V27" s="47"/>
    </row>
    <row r="28" spans="1:22">
      <c r="A28" s="64">
        <v>27</v>
      </c>
      <c r="B28" s="65">
        <f>AgeStanSec!C28/B$3</f>
        <v>153.80000000000001</v>
      </c>
      <c r="C28" s="65">
        <f>AgeStanSec!D28/C$3</f>
        <v>155</v>
      </c>
      <c r="D28" s="65">
        <f>AgeStanSec!E28/D$3</f>
        <v>155.34279805933349</v>
      </c>
      <c r="E28" s="65">
        <f>AgeStanSec!F28/E$3</f>
        <v>156.875</v>
      </c>
      <c r="F28" s="65">
        <f>AgeStanSec!G28/F$3</f>
        <v>157.08263739759801</v>
      </c>
      <c r="G28" s="65">
        <f>AgeStanSec!H28/G$3</f>
        <v>158.4</v>
      </c>
      <c r="H28" s="65">
        <f>AgeStanSec!I28/H$3</f>
        <v>159.58333333333334</v>
      </c>
      <c r="I28" s="65">
        <f>AgeStanSec!J28/I$3</f>
        <v>161</v>
      </c>
      <c r="J28" s="65">
        <f>AgeStanSec!K28/J$3</f>
        <v>161.24582438558815</v>
      </c>
      <c r="K28" s="65">
        <f>AgeStanSec!L28/K$3</f>
        <v>163</v>
      </c>
      <c r="L28" s="65">
        <f>AgeStanSec!M28/L$3</f>
        <v>163.57388316151201</v>
      </c>
      <c r="M28" s="65">
        <f>AgeStanSec!N28/M$3</f>
        <v>164.4</v>
      </c>
      <c r="N28" s="65">
        <f>AgeStanSec!O28/N$3</f>
        <v>166</v>
      </c>
      <c r="O28" s="65">
        <f>AgeStanSec!P28/O$3</f>
        <v>171.46581348501007</v>
      </c>
      <c r="P28" s="65">
        <f>AgeStanSec!Q28/P$3</f>
        <v>176.4</v>
      </c>
      <c r="Q28" s="65">
        <f>AgeStanSec!R28/Q$3</f>
        <v>199.83297542352659</v>
      </c>
      <c r="R28" s="65">
        <f>AgeStanSec!S28/R$3</f>
        <v>213.6</v>
      </c>
      <c r="S28" s="65">
        <f>AgeStanSec!T28/S$3</f>
        <v>242</v>
      </c>
      <c r="T28" s="65">
        <f>AgeStanSec!U28/T$3</f>
        <v>247.24359739123517</v>
      </c>
      <c r="U28" s="65">
        <f>AgeStanSec!V28/U$3</f>
        <v>264</v>
      </c>
      <c r="V28" s="47"/>
    </row>
    <row r="29" spans="1:22">
      <c r="A29" s="64">
        <v>28</v>
      </c>
      <c r="B29" s="65">
        <f>AgeStanSec!C29/B$3</f>
        <v>153.80000000000001</v>
      </c>
      <c r="C29" s="65">
        <f>AgeStanSec!D29/C$3</f>
        <v>155</v>
      </c>
      <c r="D29" s="65">
        <f>AgeStanSec!E29/D$3</f>
        <v>155.34279805933349</v>
      </c>
      <c r="E29" s="65">
        <f>AgeStanSec!F29/E$3</f>
        <v>156.875</v>
      </c>
      <c r="F29" s="65">
        <f>AgeStanSec!G29/F$3</f>
        <v>157.08263739759801</v>
      </c>
      <c r="G29" s="65">
        <f>AgeStanSec!H29/G$3</f>
        <v>158.4</v>
      </c>
      <c r="H29" s="65">
        <f>AgeStanSec!I29/H$3</f>
        <v>159.58333333333334</v>
      </c>
      <c r="I29" s="65">
        <f>AgeStanSec!J29/I$3</f>
        <v>161</v>
      </c>
      <c r="J29" s="65">
        <f>AgeStanSec!K29/J$3</f>
        <v>161.24582438558815</v>
      </c>
      <c r="K29" s="65">
        <f>AgeStanSec!L29/K$3</f>
        <v>163</v>
      </c>
      <c r="L29" s="65">
        <f>AgeStanSec!M29/L$3</f>
        <v>163.57388316151201</v>
      </c>
      <c r="M29" s="65">
        <f>AgeStanSec!N29/M$3</f>
        <v>164.4</v>
      </c>
      <c r="N29" s="65">
        <f>AgeStanSec!O29/N$3</f>
        <v>166</v>
      </c>
      <c r="O29" s="65">
        <f>AgeStanSec!P29/O$3</f>
        <v>171.46581348501007</v>
      </c>
      <c r="P29" s="65">
        <f>AgeStanSec!Q29/P$3</f>
        <v>176.4</v>
      </c>
      <c r="Q29" s="65">
        <f>AgeStanSec!R29/Q$3</f>
        <v>199.83297542352659</v>
      </c>
      <c r="R29" s="65">
        <f>AgeStanSec!S29/R$3</f>
        <v>213.6</v>
      </c>
      <c r="S29" s="65">
        <f>AgeStanSec!T29/S$3</f>
        <v>242</v>
      </c>
      <c r="T29" s="65">
        <f>AgeStanSec!U29/T$3</f>
        <v>247.24359739123517</v>
      </c>
      <c r="U29" s="65">
        <f>AgeStanSec!V29/U$3</f>
        <v>264</v>
      </c>
      <c r="V29" s="47"/>
    </row>
    <row r="30" spans="1:22">
      <c r="A30" s="64">
        <v>29</v>
      </c>
      <c r="B30" s="65">
        <f>AgeStanSec!C30/B$3</f>
        <v>153.80000000000001</v>
      </c>
      <c r="C30" s="65">
        <f>AgeStanSec!D30/C$3</f>
        <v>155</v>
      </c>
      <c r="D30" s="65">
        <f>AgeStanSec!E30/D$3</f>
        <v>155.34279805933349</v>
      </c>
      <c r="E30" s="65">
        <f>AgeStanSec!F30/E$3</f>
        <v>157</v>
      </c>
      <c r="F30" s="65">
        <f>AgeStanSec!G30/F$3</f>
        <v>157.20691163604548</v>
      </c>
      <c r="G30" s="65">
        <f>AgeStanSec!H30/G$3</f>
        <v>158.6</v>
      </c>
      <c r="H30" s="65">
        <f>AgeStanSec!I30/H$3</f>
        <v>159.75</v>
      </c>
      <c r="I30" s="65">
        <f>AgeStanSec!J30/I$3</f>
        <v>161.06666666666666</v>
      </c>
      <c r="J30" s="65">
        <f>AgeStanSec!K30/J$3</f>
        <v>161.30796150481189</v>
      </c>
      <c r="K30" s="65">
        <f>AgeStanSec!L30/K$3</f>
        <v>163</v>
      </c>
      <c r="L30" s="65">
        <f>AgeStanSec!M30/L$3</f>
        <v>163.57388316151201</v>
      </c>
      <c r="M30" s="65">
        <f>AgeStanSec!N30/M$3</f>
        <v>164.4</v>
      </c>
      <c r="N30" s="65">
        <f>AgeStanSec!O30/N$3</f>
        <v>166</v>
      </c>
      <c r="O30" s="65">
        <f>AgeStanSec!P30/O$3</f>
        <v>171.46581348501007</v>
      </c>
      <c r="P30" s="65">
        <f>AgeStanSec!Q30/P$3</f>
        <v>176.4</v>
      </c>
      <c r="Q30" s="65">
        <f>AgeStanSec!R30/Q$3</f>
        <v>199.83297542352659</v>
      </c>
      <c r="R30" s="65">
        <f>AgeStanSec!S30/R$3</f>
        <v>213.6</v>
      </c>
      <c r="S30" s="65">
        <f>AgeStanSec!T30/S$3</f>
        <v>242</v>
      </c>
      <c r="T30" s="65">
        <f>AgeStanSec!U30/T$3</f>
        <v>247.24359739123517</v>
      </c>
      <c r="U30" s="65">
        <f>AgeStanSec!V30/U$3</f>
        <v>264</v>
      </c>
      <c r="V30" s="47"/>
    </row>
    <row r="31" spans="1:22">
      <c r="A31" s="66">
        <v>30</v>
      </c>
      <c r="B31" s="67">
        <f>AgeStanSec!C31/B$3</f>
        <v>153.80000000000001</v>
      </c>
      <c r="C31" s="67">
        <f>AgeStanSec!D31/C$3</f>
        <v>155.16666666666666</v>
      </c>
      <c r="D31" s="67">
        <f>AgeStanSec!E31/D$3</f>
        <v>155.49814085739283</v>
      </c>
      <c r="E31" s="67">
        <f>AgeStanSec!F31/E$3</f>
        <v>157.125</v>
      </c>
      <c r="F31" s="67">
        <f>AgeStanSec!G31/F$3</f>
        <v>157.33118587449295</v>
      </c>
      <c r="G31" s="67">
        <f>AgeStanSec!H31/G$3</f>
        <v>158.69999999999999</v>
      </c>
      <c r="H31" s="67">
        <f>AgeStanSec!I31/H$3</f>
        <v>159.83333333333334</v>
      </c>
      <c r="I31" s="67">
        <f>AgeStanSec!J31/I$3</f>
        <v>161.13333333333333</v>
      </c>
      <c r="J31" s="67">
        <f>AgeStanSec!K31/J$3</f>
        <v>161.37009862403562</v>
      </c>
      <c r="K31" s="67">
        <f>AgeStanSec!L31/K$3</f>
        <v>163.05000000000001</v>
      </c>
      <c r="L31" s="67">
        <f>AgeStanSec!M31/L$3</f>
        <v>163.57388316151201</v>
      </c>
      <c r="M31" s="67">
        <f>AgeStanSec!N31/M$3</f>
        <v>164.4</v>
      </c>
      <c r="N31" s="67">
        <f>AgeStanSec!O31/N$3</f>
        <v>166</v>
      </c>
      <c r="O31" s="67">
        <f>AgeStanSec!P31/O$3</f>
        <v>171.46581348501007</v>
      </c>
      <c r="P31" s="67">
        <f>AgeStanSec!Q31/P$3</f>
        <v>176.4</v>
      </c>
      <c r="Q31" s="67">
        <f>AgeStanSec!R31/Q$3</f>
        <v>199.83297542352659</v>
      </c>
      <c r="R31" s="67">
        <f>AgeStanSec!S31/R$3</f>
        <v>213.6</v>
      </c>
      <c r="S31" s="67">
        <f>AgeStanSec!T31/S$3</f>
        <v>242</v>
      </c>
      <c r="T31" s="67">
        <f>AgeStanSec!U31/T$3</f>
        <v>247.24359739123517</v>
      </c>
      <c r="U31" s="67">
        <f>AgeStanSec!V31/U$3</f>
        <v>264</v>
      </c>
      <c r="V31" s="47"/>
    </row>
    <row r="32" spans="1:22">
      <c r="A32" s="64">
        <v>31</v>
      </c>
      <c r="B32" s="65">
        <f>AgeStanSec!C32/B$3</f>
        <v>154</v>
      </c>
      <c r="C32" s="65">
        <f>AgeStanSec!D32/C$3</f>
        <v>155.33333333333334</v>
      </c>
      <c r="D32" s="65">
        <f>AgeStanSec!E32/D$3</f>
        <v>155.65348365545213</v>
      </c>
      <c r="E32" s="65">
        <f>AgeStanSec!F32/E$3</f>
        <v>157.375</v>
      </c>
      <c r="F32" s="65">
        <f>AgeStanSec!G32/F$3</f>
        <v>157.57973435138788</v>
      </c>
      <c r="G32" s="65">
        <f>AgeStanSec!H32/G$3</f>
        <v>159</v>
      </c>
      <c r="H32" s="65">
        <f>AgeStanSec!I32/H$3</f>
        <v>160.08333333333334</v>
      </c>
      <c r="I32" s="65">
        <f>AgeStanSec!J32/I$3</f>
        <v>161.26666666666668</v>
      </c>
      <c r="J32" s="65">
        <f>AgeStanSec!K32/J$3</f>
        <v>161.49437286248309</v>
      </c>
      <c r="K32" s="65">
        <f>AgeStanSec!L32/K$3</f>
        <v>163.05000000000001</v>
      </c>
      <c r="L32" s="65">
        <f>AgeStanSec!M32/L$3</f>
        <v>163.57388316151201</v>
      </c>
      <c r="M32" s="65">
        <f>AgeStanSec!N32/M$3</f>
        <v>164.4</v>
      </c>
      <c r="N32" s="65">
        <f>AgeStanSec!O32/N$3</f>
        <v>166</v>
      </c>
      <c r="O32" s="65">
        <f>AgeStanSec!P32/O$3</f>
        <v>171.46581348501007</v>
      </c>
      <c r="P32" s="65">
        <f>AgeStanSec!Q32/P$3</f>
        <v>176.4</v>
      </c>
      <c r="Q32" s="65">
        <f>AgeStanSec!R32/Q$3</f>
        <v>199.83297542352659</v>
      </c>
      <c r="R32" s="65">
        <f>AgeStanSec!S32/R$3</f>
        <v>213.6</v>
      </c>
      <c r="S32" s="65">
        <f>AgeStanSec!T32/S$3</f>
        <v>242</v>
      </c>
      <c r="T32" s="65">
        <f>AgeStanSec!U32/T$3</f>
        <v>247.24359739123517</v>
      </c>
      <c r="U32" s="65">
        <f>AgeStanSec!V32/U$3</f>
        <v>264</v>
      </c>
      <c r="V32" s="47"/>
    </row>
    <row r="33" spans="1:22">
      <c r="A33" s="64">
        <v>32</v>
      </c>
      <c r="B33" s="65">
        <f>AgeStanSec!C33/B$3</f>
        <v>154.4</v>
      </c>
      <c r="C33" s="65">
        <f>AgeStanSec!D33/C$3</f>
        <v>155.66666666666666</v>
      </c>
      <c r="D33" s="65">
        <f>AgeStanSec!E33/D$3</f>
        <v>156.11951204963015</v>
      </c>
      <c r="E33" s="65">
        <f>AgeStanSec!F33/E$3</f>
        <v>157.75</v>
      </c>
      <c r="F33" s="65">
        <f>AgeStanSec!G33/F$3</f>
        <v>157.95255706673029</v>
      </c>
      <c r="G33" s="65">
        <f>AgeStanSec!H33/G$3</f>
        <v>159.4</v>
      </c>
      <c r="H33" s="65">
        <f>AgeStanSec!I33/H$3</f>
        <v>160.33333333333334</v>
      </c>
      <c r="I33" s="65">
        <f>AgeStanSec!J33/I$3</f>
        <v>161.46666666666667</v>
      </c>
      <c r="J33" s="65">
        <f>AgeStanSec!K33/J$3</f>
        <v>161.61864710093056</v>
      </c>
      <c r="K33" s="65">
        <f>AgeStanSec!L33/K$3</f>
        <v>163.1</v>
      </c>
      <c r="L33" s="65">
        <f>AgeStanSec!M33/L$3</f>
        <v>163.62128214243393</v>
      </c>
      <c r="M33" s="65">
        <f>AgeStanSec!N33/M$3</f>
        <v>164.44</v>
      </c>
      <c r="N33" s="65">
        <f>AgeStanSec!O33/N$3</f>
        <v>166</v>
      </c>
      <c r="O33" s="65">
        <f>AgeStanSec!P33/O$3</f>
        <v>171.46581348501007</v>
      </c>
      <c r="P33" s="65">
        <f>AgeStanSec!Q33/P$3</f>
        <v>176.4</v>
      </c>
      <c r="Q33" s="65">
        <f>AgeStanSec!R33/Q$3</f>
        <v>199.83297542352659</v>
      </c>
      <c r="R33" s="65">
        <f>AgeStanSec!S33/R$3</f>
        <v>213.6</v>
      </c>
      <c r="S33" s="65">
        <f>AgeStanSec!T33/S$3</f>
        <v>242</v>
      </c>
      <c r="T33" s="65">
        <f>AgeStanSec!U33/T$3</f>
        <v>247.24359739123517</v>
      </c>
      <c r="U33" s="65">
        <f>AgeStanSec!V33/U$3</f>
        <v>264</v>
      </c>
      <c r="V33" s="47"/>
    </row>
    <row r="34" spans="1:22">
      <c r="A34" s="64">
        <v>33</v>
      </c>
      <c r="B34" s="65">
        <f>AgeStanSec!C34/B$3</f>
        <v>155</v>
      </c>
      <c r="C34" s="65">
        <f>AgeStanSec!D34/C$3</f>
        <v>156.16666666666666</v>
      </c>
      <c r="D34" s="65">
        <f>AgeStanSec!E34/D$3</f>
        <v>156.58554044380816</v>
      </c>
      <c r="E34" s="65">
        <f>AgeStanSec!F34/E$3</f>
        <v>158.25</v>
      </c>
      <c r="F34" s="65">
        <f>AgeStanSec!G34/F$3</f>
        <v>158.44965402052014</v>
      </c>
      <c r="G34" s="65">
        <f>AgeStanSec!H34/G$3</f>
        <v>159.80000000000001</v>
      </c>
      <c r="H34" s="65">
        <f>AgeStanSec!I34/H$3</f>
        <v>160.75</v>
      </c>
      <c r="I34" s="65">
        <f>AgeStanSec!J34/I$3</f>
        <v>161.80000000000001</v>
      </c>
      <c r="J34" s="65">
        <f>AgeStanSec!K34/J$3</f>
        <v>161.92933269704923</v>
      </c>
      <c r="K34" s="65">
        <f>AgeStanSec!L34/K$3</f>
        <v>163.30000000000001</v>
      </c>
      <c r="L34" s="65">
        <f>AgeStanSec!M34/L$3</f>
        <v>163.81087806612157</v>
      </c>
      <c r="M34" s="65">
        <f>AgeStanSec!N34/M$3</f>
        <v>164.6</v>
      </c>
      <c r="N34" s="65">
        <f>AgeStanSec!O34/N$3</f>
        <v>166.1</v>
      </c>
      <c r="O34" s="65">
        <f>AgeStanSec!P34/O$3</f>
        <v>171.46581348501007</v>
      </c>
      <c r="P34" s="65">
        <f>AgeStanSec!Q34/P$3</f>
        <v>176.4</v>
      </c>
      <c r="Q34" s="65">
        <f>AgeStanSec!R34/Q$3</f>
        <v>199.83297542352659</v>
      </c>
      <c r="R34" s="65">
        <f>AgeStanSec!S34/R$3</f>
        <v>213.6</v>
      </c>
      <c r="S34" s="65">
        <f>AgeStanSec!T34/S$3</f>
        <v>242</v>
      </c>
      <c r="T34" s="65">
        <f>AgeStanSec!U34/T$3</f>
        <v>247.24359739123517</v>
      </c>
      <c r="U34" s="65">
        <f>AgeStanSec!V34/U$3</f>
        <v>264</v>
      </c>
      <c r="V34" s="47"/>
    </row>
    <row r="35" spans="1:22">
      <c r="A35" s="64">
        <v>34</v>
      </c>
      <c r="B35" s="65">
        <f>AgeStanSec!C35/B$3</f>
        <v>155.80000000000001</v>
      </c>
      <c r="C35" s="65">
        <f>AgeStanSec!D35/C$3</f>
        <v>157</v>
      </c>
      <c r="D35" s="65">
        <f>AgeStanSec!E35/D$3</f>
        <v>157.36225443410481</v>
      </c>
      <c r="E35" s="65">
        <f>AgeStanSec!F35/E$3</f>
        <v>158.875</v>
      </c>
      <c r="F35" s="65">
        <f>AgeStanSec!G35/F$3</f>
        <v>159.07102521275749</v>
      </c>
      <c r="G35" s="65">
        <f>AgeStanSec!H35/G$3</f>
        <v>160.4</v>
      </c>
      <c r="H35" s="65">
        <f>AgeStanSec!I35/H$3</f>
        <v>161.25</v>
      </c>
      <c r="I35" s="65">
        <f>AgeStanSec!J35/I$3</f>
        <v>162.19999999999999</v>
      </c>
      <c r="J35" s="65">
        <f>AgeStanSec!K35/J$3</f>
        <v>162.36429253161535</v>
      </c>
      <c r="K35" s="65">
        <f>AgeStanSec!L35/K$3</f>
        <v>163.65</v>
      </c>
      <c r="L35" s="65">
        <f>AgeStanSec!M35/L$3</f>
        <v>164.14267093257496</v>
      </c>
      <c r="M35" s="65">
        <f>AgeStanSec!N35/M$3</f>
        <v>164.84</v>
      </c>
      <c r="N35" s="65">
        <f>AgeStanSec!O35/N$3</f>
        <v>166.26666666666668</v>
      </c>
      <c r="O35" s="65">
        <f>AgeStanSec!P35/O$3</f>
        <v>171.46581348501007</v>
      </c>
      <c r="P35" s="65">
        <f>AgeStanSec!Q35/P$3</f>
        <v>176.4</v>
      </c>
      <c r="Q35" s="65">
        <f>AgeStanSec!R35/Q$3</f>
        <v>199.83297542352659</v>
      </c>
      <c r="R35" s="65">
        <f>AgeStanSec!S35/R$3</f>
        <v>213.6</v>
      </c>
      <c r="S35" s="65">
        <f>AgeStanSec!T35/S$3</f>
        <v>242</v>
      </c>
      <c r="T35" s="65">
        <f>AgeStanSec!U35/T$3</f>
        <v>247.24359739123517</v>
      </c>
      <c r="U35" s="65">
        <f>AgeStanSec!V35/U$3</f>
        <v>264</v>
      </c>
      <c r="V35" s="47"/>
    </row>
    <row r="36" spans="1:22">
      <c r="A36" s="66">
        <v>35</v>
      </c>
      <c r="B36" s="67">
        <f>AgeStanSec!C36/B$3</f>
        <v>156.80000000000001</v>
      </c>
      <c r="C36" s="67">
        <f>AgeStanSec!D36/C$3</f>
        <v>157.83333333333334</v>
      </c>
      <c r="D36" s="67">
        <f>AgeStanSec!E36/D$3</f>
        <v>158.1389684244015</v>
      </c>
      <c r="E36" s="67">
        <f>AgeStanSec!F36/E$3</f>
        <v>159.625</v>
      </c>
      <c r="F36" s="67">
        <f>AgeStanSec!G36/F$3</f>
        <v>159.81667064344228</v>
      </c>
      <c r="G36" s="67">
        <f>AgeStanSec!H36/G$3</f>
        <v>161</v>
      </c>
      <c r="H36" s="67">
        <f>AgeStanSec!I36/H$3</f>
        <v>161.83333333333334</v>
      </c>
      <c r="I36" s="67">
        <f>AgeStanSec!J36/I$3</f>
        <v>162.73333333333332</v>
      </c>
      <c r="J36" s="67">
        <f>AgeStanSec!K36/J$3</f>
        <v>162.86138948540523</v>
      </c>
      <c r="K36" s="67">
        <f>AgeStanSec!L36/K$3</f>
        <v>164.2</v>
      </c>
      <c r="L36" s="67">
        <f>AgeStanSec!M36/L$3</f>
        <v>164.66405972271596</v>
      </c>
      <c r="M36" s="67">
        <f>AgeStanSec!N36/M$3</f>
        <v>165.2</v>
      </c>
      <c r="N36" s="67">
        <f>AgeStanSec!O36/N$3</f>
        <v>166.53333333333333</v>
      </c>
      <c r="O36" s="67">
        <f>AgeStanSec!P36/O$3</f>
        <v>171.46581348501007</v>
      </c>
      <c r="P36" s="67">
        <f>AgeStanSec!Q36/P$3</f>
        <v>176.4</v>
      </c>
      <c r="Q36" s="67">
        <f>AgeStanSec!R36/Q$3</f>
        <v>199.83297542352659</v>
      </c>
      <c r="R36" s="67">
        <f>AgeStanSec!S36/R$3</f>
        <v>213.6</v>
      </c>
      <c r="S36" s="67">
        <f>AgeStanSec!T36/S$3</f>
        <v>242</v>
      </c>
      <c r="T36" s="67">
        <f>AgeStanSec!U36/T$3</f>
        <v>247.24359739123517</v>
      </c>
      <c r="U36" s="67">
        <f>AgeStanSec!V36/U$3</f>
        <v>264</v>
      </c>
      <c r="V36" s="47"/>
    </row>
    <row r="37" spans="1:22">
      <c r="A37" s="64">
        <v>36</v>
      </c>
      <c r="B37" s="65">
        <f>AgeStanSec!C37/B$3</f>
        <v>157.80000000000001</v>
      </c>
      <c r="C37" s="65">
        <f>AgeStanSec!D37/C$3</f>
        <v>158.83333333333334</v>
      </c>
      <c r="D37" s="65">
        <f>AgeStanSec!E37/D$3</f>
        <v>159.07102521275749</v>
      </c>
      <c r="E37" s="65">
        <f>AgeStanSec!F37/E$3</f>
        <v>160.375</v>
      </c>
      <c r="F37" s="65">
        <f>AgeStanSec!G37/F$3</f>
        <v>160.5623160741271</v>
      </c>
      <c r="G37" s="65">
        <f>AgeStanSec!H37/G$3</f>
        <v>161.69999999999999</v>
      </c>
      <c r="H37" s="65">
        <f>AgeStanSec!I37/H$3</f>
        <v>162.5</v>
      </c>
      <c r="I37" s="65">
        <f>AgeStanSec!J37/I$3</f>
        <v>163.46666666666667</v>
      </c>
      <c r="J37" s="65">
        <f>AgeStanSec!K37/J$3</f>
        <v>163.54489779686628</v>
      </c>
      <c r="K37" s="65">
        <f>AgeStanSec!L37/K$3</f>
        <v>164.85</v>
      </c>
      <c r="L37" s="65">
        <f>AgeStanSec!M37/L$3</f>
        <v>165.3276454556227</v>
      </c>
      <c r="M37" s="65">
        <f>AgeStanSec!N37/M$3</f>
        <v>165.76</v>
      </c>
      <c r="N37" s="65">
        <f>AgeStanSec!O37/N$3</f>
        <v>166.93333333333334</v>
      </c>
      <c r="O37" s="65">
        <f>AgeStanSec!P37/O$3</f>
        <v>171.63170991823677</v>
      </c>
      <c r="P37" s="65">
        <f>AgeStanSec!Q37/P$3</f>
        <v>176.56</v>
      </c>
      <c r="Q37" s="65">
        <f>AgeStanSec!R37/Q$3</f>
        <v>200.00695935735305</v>
      </c>
      <c r="R37" s="65">
        <f>AgeStanSec!S37/R$3</f>
        <v>213.79</v>
      </c>
      <c r="S37" s="65">
        <f>AgeStanSec!T37/S$3</f>
        <v>242.22</v>
      </c>
      <c r="T37" s="65">
        <f>AgeStanSec!U37/T$3</f>
        <v>247.4672910204406</v>
      </c>
      <c r="U37" s="65">
        <f>AgeStanSec!V37/U$3</f>
        <v>264.24</v>
      </c>
      <c r="V37" s="47"/>
    </row>
    <row r="38" spans="1:22">
      <c r="A38" s="64">
        <v>37</v>
      </c>
      <c r="B38" s="65">
        <f>AgeStanSec!C38/B$3</f>
        <v>159</v>
      </c>
      <c r="C38" s="65">
        <f>AgeStanSec!D38/C$3</f>
        <v>160</v>
      </c>
      <c r="D38" s="65">
        <f>AgeStanSec!E38/D$3</f>
        <v>160.15842479917282</v>
      </c>
      <c r="E38" s="65">
        <f>AgeStanSec!F38/E$3</f>
        <v>161.25</v>
      </c>
      <c r="F38" s="65">
        <f>AgeStanSec!G38/F$3</f>
        <v>161.55650998170682</v>
      </c>
      <c r="G38" s="65">
        <f>AgeStanSec!H38/G$3</f>
        <v>162.5</v>
      </c>
      <c r="H38" s="65">
        <f>AgeStanSec!I38/H$3</f>
        <v>163.25</v>
      </c>
      <c r="I38" s="65">
        <f>AgeStanSec!J38/I$3</f>
        <v>164.26666666666668</v>
      </c>
      <c r="J38" s="65">
        <f>AgeStanSec!K38/J$3</f>
        <v>164.35268034677483</v>
      </c>
      <c r="K38" s="65">
        <f>AgeStanSec!L38/K$3</f>
        <v>165.65</v>
      </c>
      <c r="L38" s="65">
        <f>AgeStanSec!M38/L$3</f>
        <v>166.13342813129518</v>
      </c>
      <c r="M38" s="65">
        <f>AgeStanSec!N38/M$3</f>
        <v>166.48</v>
      </c>
      <c r="N38" s="65">
        <f>AgeStanSec!O38/N$3</f>
        <v>167.56666666666666</v>
      </c>
      <c r="O38" s="65">
        <f>AgeStanSec!P38/O$3</f>
        <v>172.05830074653394</v>
      </c>
      <c r="P38" s="65">
        <f>AgeStanSec!Q38/P$3</f>
        <v>177.02</v>
      </c>
      <c r="Q38" s="65">
        <f>AgeStanSec!R38/Q$3</f>
        <v>200.52891115883241</v>
      </c>
      <c r="R38" s="65">
        <f>AgeStanSec!S38/R$3</f>
        <v>214.35</v>
      </c>
      <c r="S38" s="65">
        <f>AgeStanSec!T38/S$3</f>
        <v>242.84666666666666</v>
      </c>
      <c r="T38" s="65">
        <f>AgeStanSec!U38/T$3</f>
        <v>248.11351706036743</v>
      </c>
      <c r="U38" s="65">
        <f>AgeStanSec!V38/U$3</f>
        <v>264.92500000000001</v>
      </c>
      <c r="V38" s="47"/>
    </row>
    <row r="39" spans="1:22">
      <c r="A39" s="64">
        <v>38</v>
      </c>
      <c r="B39" s="65">
        <f>AgeStanSec!C39/B$3</f>
        <v>160.19999999999999</v>
      </c>
      <c r="C39" s="65">
        <f>AgeStanSec!D39/C$3</f>
        <v>161</v>
      </c>
      <c r="D39" s="65">
        <f>AgeStanSec!E39/D$3</f>
        <v>161.24582438558815</v>
      </c>
      <c r="E39" s="65">
        <f>AgeStanSec!F39/E$3</f>
        <v>162.25</v>
      </c>
      <c r="F39" s="65">
        <f>AgeStanSec!G39/F$3</f>
        <v>162.42642965083908</v>
      </c>
      <c r="G39" s="65">
        <f>AgeStanSec!H39/G$3</f>
        <v>163.30000000000001</v>
      </c>
      <c r="H39" s="65">
        <f>AgeStanSec!I39/H$3</f>
        <v>164.16666666666666</v>
      </c>
      <c r="I39" s="65">
        <f>AgeStanSec!J39/I$3</f>
        <v>165.2</v>
      </c>
      <c r="J39" s="65">
        <f>AgeStanSec!K39/J$3</f>
        <v>165.28473713513083</v>
      </c>
      <c r="K39" s="65">
        <f>AgeStanSec!L39/K$3</f>
        <v>166.65</v>
      </c>
      <c r="L39" s="65">
        <f>AgeStanSec!M39/L$3</f>
        <v>167.1288067306553</v>
      </c>
      <c r="M39" s="65">
        <f>AgeStanSec!N39/M$3</f>
        <v>167.4</v>
      </c>
      <c r="N39" s="65">
        <f>AgeStanSec!O39/N$3</f>
        <v>168.43333333333334</v>
      </c>
      <c r="O39" s="65">
        <f>AgeStanSec!P39/O$3</f>
        <v>172.84038393174546</v>
      </c>
      <c r="P39" s="65">
        <f>AgeStanSec!Q39/P$3</f>
        <v>177.8</v>
      </c>
      <c r="Q39" s="65">
        <f>AgeStanSec!R39/Q$3</f>
        <v>201.42368567565416</v>
      </c>
      <c r="R39" s="65">
        <f>AgeStanSec!S39/R$3</f>
        <v>215.3</v>
      </c>
      <c r="S39" s="65">
        <f>AgeStanSec!T39/S$3</f>
        <v>243.92666666666668</v>
      </c>
      <c r="T39" s="65">
        <f>AgeStanSec!U39/T$3</f>
        <v>249.21334407062753</v>
      </c>
      <c r="U39" s="65">
        <f>AgeStanSec!V39/U$3</f>
        <v>266.10000000000002</v>
      </c>
      <c r="V39" s="47"/>
    </row>
    <row r="40" spans="1:22">
      <c r="A40" s="64">
        <v>39</v>
      </c>
      <c r="B40" s="65">
        <f>AgeStanSec!C40/B$3</f>
        <v>161.4</v>
      </c>
      <c r="C40" s="65">
        <f>AgeStanSec!D40/C$3</f>
        <v>162.16666666666666</v>
      </c>
      <c r="D40" s="65">
        <f>AgeStanSec!E40/D$3</f>
        <v>162.33322397200348</v>
      </c>
      <c r="E40" s="65">
        <f>AgeStanSec!F40/E$3</f>
        <v>163.375</v>
      </c>
      <c r="F40" s="65">
        <f>AgeStanSec!G40/F$3</f>
        <v>163.54489779686628</v>
      </c>
      <c r="G40" s="65">
        <f>AgeStanSec!H40/G$3</f>
        <v>164.3</v>
      </c>
      <c r="H40" s="65">
        <f>AgeStanSec!I40/H$3</f>
        <v>165.25</v>
      </c>
      <c r="I40" s="65">
        <f>AgeStanSec!J40/I$3</f>
        <v>166.26666666666668</v>
      </c>
      <c r="J40" s="65">
        <f>AgeStanSec!K40/J$3</f>
        <v>166.40320528115802</v>
      </c>
      <c r="K40" s="65">
        <f>AgeStanSec!L40/K$3</f>
        <v>167.8</v>
      </c>
      <c r="L40" s="65">
        <f>AgeStanSec!M40/L$3</f>
        <v>168.31378125370304</v>
      </c>
      <c r="M40" s="65">
        <f>AgeStanSec!N40/M$3</f>
        <v>168.56</v>
      </c>
      <c r="N40" s="65">
        <f>AgeStanSec!O40/N$3</f>
        <v>169.53333333333333</v>
      </c>
      <c r="O40" s="65">
        <f>AgeStanSec!P40/O$3</f>
        <v>173.90686100248845</v>
      </c>
      <c r="P40" s="65">
        <f>AgeStanSec!Q40/P$3</f>
        <v>178.9</v>
      </c>
      <c r="Q40" s="65">
        <f>AgeStanSec!R40/Q$3</f>
        <v>202.66642806012882</v>
      </c>
      <c r="R40" s="65">
        <f>AgeStanSec!S40/R$3</f>
        <v>216.63</v>
      </c>
      <c r="S40" s="65">
        <f>AgeStanSec!T40/S$3</f>
        <v>245.43333333333334</v>
      </c>
      <c r="T40" s="65">
        <f>AgeStanSec!U40/T$3</f>
        <v>250.7543446273761</v>
      </c>
      <c r="U40" s="65">
        <f>AgeStanSec!V40/U$3</f>
        <v>267.75</v>
      </c>
      <c r="V40" s="47"/>
    </row>
    <row r="41" spans="1:22">
      <c r="A41" s="66">
        <v>40</v>
      </c>
      <c r="B41" s="67">
        <f>AgeStanSec!C41/B$3</f>
        <v>162.6</v>
      </c>
      <c r="C41" s="67">
        <f>AgeStanSec!D41/C$3</f>
        <v>163.33333333333334</v>
      </c>
      <c r="D41" s="67">
        <f>AgeStanSec!E41/D$3</f>
        <v>163.42062355841881</v>
      </c>
      <c r="E41" s="67">
        <f>AgeStanSec!F41/E$3</f>
        <v>164.5</v>
      </c>
      <c r="F41" s="67">
        <f>AgeStanSec!G41/F$3</f>
        <v>164.66336594289348</v>
      </c>
      <c r="G41" s="67">
        <f>AgeStanSec!H41/G$3</f>
        <v>165.4</v>
      </c>
      <c r="H41" s="67">
        <f>AgeStanSec!I41/H$3</f>
        <v>166.33333333333334</v>
      </c>
      <c r="I41" s="67">
        <f>AgeStanSec!J41/I$3</f>
        <v>167.46666666666667</v>
      </c>
      <c r="J41" s="67">
        <f>AgeStanSec!K41/J$3</f>
        <v>167.64594766563269</v>
      </c>
      <c r="K41" s="67">
        <f>AgeStanSec!L41/K$3</f>
        <v>169.15</v>
      </c>
      <c r="L41" s="67">
        <f>AgeStanSec!M41/L$3</f>
        <v>169.64095271951652</v>
      </c>
      <c r="M41" s="67">
        <f>AgeStanSec!N41/M$3</f>
        <v>169.88</v>
      </c>
      <c r="N41" s="67">
        <f>AgeStanSec!O41/N$3</f>
        <v>170.9</v>
      </c>
      <c r="O41" s="67">
        <f>AgeStanSec!P41/O$3</f>
        <v>175.25773195876289</v>
      </c>
      <c r="P41" s="67">
        <f>AgeStanSec!Q41/P$3</f>
        <v>180.32</v>
      </c>
      <c r="Q41" s="67">
        <f>AgeStanSec!R41/Q$3</f>
        <v>204.26956573610116</v>
      </c>
      <c r="R41" s="67">
        <f>AgeStanSec!S41/R$3</f>
        <v>218.34</v>
      </c>
      <c r="S41" s="67">
        <f>AgeStanSec!T41/S$3</f>
        <v>247.36666666666667</v>
      </c>
      <c r="T41" s="67">
        <f>AgeStanSec!U41/T$3</f>
        <v>252.73030501869084</v>
      </c>
      <c r="U41" s="67">
        <f>AgeStanSec!V41/U$3</f>
        <v>269.85500000000002</v>
      </c>
      <c r="V41" s="47"/>
    </row>
    <row r="42" spans="1:22">
      <c r="A42" s="64">
        <v>41</v>
      </c>
      <c r="B42" s="65">
        <f>AgeStanSec!C42/B$3</f>
        <v>163.80000000000001</v>
      </c>
      <c r="C42" s="65">
        <f>AgeStanSec!D42/C$3</f>
        <v>164.5</v>
      </c>
      <c r="D42" s="65">
        <f>AgeStanSec!E42/D$3</f>
        <v>164.66336594289348</v>
      </c>
      <c r="E42" s="65">
        <f>AgeStanSec!F42/E$3</f>
        <v>165.625</v>
      </c>
      <c r="F42" s="65">
        <f>AgeStanSec!G42/F$3</f>
        <v>165.7818340889207</v>
      </c>
      <c r="G42" s="65">
        <f>AgeStanSec!H42/G$3</f>
        <v>166.6</v>
      </c>
      <c r="H42" s="65">
        <f>AgeStanSec!I42/H$3</f>
        <v>167.58333333333334</v>
      </c>
      <c r="I42" s="65">
        <f>AgeStanSec!J42/I$3</f>
        <v>168.8</v>
      </c>
      <c r="J42" s="65">
        <f>AgeStanSec!K42/J$3</f>
        <v>168.95082716933109</v>
      </c>
      <c r="K42" s="65">
        <f>AgeStanSec!L42/K$3</f>
        <v>170.5</v>
      </c>
      <c r="L42" s="65">
        <f>AgeStanSec!M42/L$3</f>
        <v>171.01552316625194</v>
      </c>
      <c r="M42" s="65">
        <f>AgeStanSec!N42/M$3</f>
        <v>171.28</v>
      </c>
      <c r="N42" s="65">
        <f>AgeStanSec!O42/N$3</f>
        <v>172.3</v>
      </c>
      <c r="O42" s="65">
        <f>AgeStanSec!P42/O$3</f>
        <v>176.75079985780306</v>
      </c>
      <c r="P42" s="65">
        <f>AgeStanSec!Q42/P$3</f>
        <v>181.84</v>
      </c>
      <c r="Q42" s="65">
        <f>AgeStanSec!R42/Q$3</f>
        <v>205.99697765052093</v>
      </c>
      <c r="R42" s="65">
        <f>AgeStanSec!S42/R$3</f>
        <v>220.18</v>
      </c>
      <c r="S42" s="65">
        <f>AgeStanSec!T42/S$3</f>
        <v>249.46</v>
      </c>
      <c r="T42" s="65">
        <f>AgeStanSec!U42/T$3</f>
        <v>254.86160820806489</v>
      </c>
      <c r="U42" s="65">
        <f>AgeStanSec!V42/U$3</f>
        <v>272.13499999999999</v>
      </c>
      <c r="V42" s="47"/>
    </row>
    <row r="43" spans="1:22">
      <c r="A43" s="64">
        <v>42</v>
      </c>
      <c r="B43" s="65">
        <f>AgeStanSec!C43/B$3</f>
        <v>165</v>
      </c>
      <c r="C43" s="65">
        <f>AgeStanSec!D43/C$3</f>
        <v>165.66666666666666</v>
      </c>
      <c r="D43" s="65">
        <f>AgeStanSec!E43/D$3</f>
        <v>165.90610832736814</v>
      </c>
      <c r="E43" s="65">
        <f>AgeStanSec!F43/E$3</f>
        <v>166.875</v>
      </c>
      <c r="F43" s="65">
        <f>AgeStanSec!G43/F$3</f>
        <v>167.14885071184284</v>
      </c>
      <c r="G43" s="65">
        <f>AgeStanSec!H43/G$3</f>
        <v>167.8</v>
      </c>
      <c r="H43" s="65">
        <f>AgeStanSec!I43/H$3</f>
        <v>168.83333333333334</v>
      </c>
      <c r="I43" s="65">
        <f>AgeStanSec!J43/I$3</f>
        <v>170.13333333333333</v>
      </c>
      <c r="J43" s="65">
        <f>AgeStanSec!K43/J$3</f>
        <v>170.31784379225323</v>
      </c>
      <c r="K43" s="65">
        <f>AgeStanSec!L43/K$3</f>
        <v>171.9</v>
      </c>
      <c r="L43" s="65">
        <f>AgeStanSec!M43/L$3</f>
        <v>172.43749259390924</v>
      </c>
      <c r="M43" s="65">
        <f>AgeStanSec!N43/M$3</f>
        <v>172.72</v>
      </c>
      <c r="N43" s="65">
        <f>AgeStanSec!O43/N$3</f>
        <v>173.73333333333332</v>
      </c>
      <c r="O43" s="65">
        <f>AgeStanSec!P43/O$3</f>
        <v>178.26756724730419</v>
      </c>
      <c r="P43" s="65">
        <f>AgeStanSec!Q43/P$3</f>
        <v>183.38</v>
      </c>
      <c r="Q43" s="65">
        <f>AgeStanSec!R43/Q$3</f>
        <v>207.74924441263022</v>
      </c>
      <c r="R43" s="65">
        <f>AgeStanSec!S43/R$3</f>
        <v>222.06</v>
      </c>
      <c r="S43" s="65">
        <f>AgeStanSec!T43/S$3</f>
        <v>251.58666666666667</v>
      </c>
      <c r="T43" s="65">
        <f>AgeStanSec!U43/T$3</f>
        <v>257.03640738089553</v>
      </c>
      <c r="U43" s="65">
        <f>AgeStanSec!V43/U$3</f>
        <v>274.45499999999998</v>
      </c>
      <c r="V43" s="47"/>
    </row>
    <row r="44" spans="1:22">
      <c r="A44" s="64">
        <v>43</v>
      </c>
      <c r="B44" s="65">
        <f>AgeStanSec!C44/B$3</f>
        <v>166.2</v>
      </c>
      <c r="C44" s="65">
        <f>AgeStanSec!D44/C$3</f>
        <v>167</v>
      </c>
      <c r="D44" s="65">
        <f>AgeStanSec!E44/D$3</f>
        <v>167.14885071184284</v>
      </c>
      <c r="E44" s="65">
        <f>AgeStanSec!F44/E$3</f>
        <v>168.25</v>
      </c>
      <c r="F44" s="65">
        <f>AgeStanSec!G44/F$3</f>
        <v>168.39159309631751</v>
      </c>
      <c r="G44" s="65">
        <f>AgeStanSec!H44/G$3</f>
        <v>169.2</v>
      </c>
      <c r="H44" s="65">
        <f>AgeStanSec!I44/H$3</f>
        <v>170.25</v>
      </c>
      <c r="I44" s="65">
        <f>AgeStanSec!J44/I$3</f>
        <v>171.46666666666667</v>
      </c>
      <c r="J44" s="65">
        <f>AgeStanSec!K44/J$3</f>
        <v>171.68486041517536</v>
      </c>
      <c r="K44" s="65">
        <f>AgeStanSec!L44/K$3</f>
        <v>173.3</v>
      </c>
      <c r="L44" s="65">
        <f>AgeStanSec!M44/L$3</f>
        <v>173.85946202156654</v>
      </c>
      <c r="M44" s="65">
        <f>AgeStanSec!N44/M$3</f>
        <v>174.16</v>
      </c>
      <c r="N44" s="65">
        <f>AgeStanSec!O44/N$3</f>
        <v>175.2</v>
      </c>
      <c r="O44" s="65">
        <f>AgeStanSec!P44/O$3</f>
        <v>179.78433463680531</v>
      </c>
      <c r="P44" s="65">
        <f>AgeStanSec!Q44/P$3</f>
        <v>184.96</v>
      </c>
      <c r="Q44" s="65">
        <f>AgeStanSec!R44/Q$3</f>
        <v>209.53879344627376</v>
      </c>
      <c r="R44" s="65">
        <f>AgeStanSec!S44/R$3</f>
        <v>223.97</v>
      </c>
      <c r="S44" s="65">
        <f>AgeStanSec!T44/S$3</f>
        <v>253.74666666666667</v>
      </c>
      <c r="T44" s="65">
        <f>AgeStanSec!U44/T$3</f>
        <v>259.24848882526044</v>
      </c>
      <c r="U44" s="65">
        <f>AgeStanSec!V44/U$3</f>
        <v>276.815</v>
      </c>
      <c r="V44" s="47"/>
    </row>
    <row r="45" spans="1:22">
      <c r="A45" s="64">
        <v>44</v>
      </c>
      <c r="B45" s="65">
        <f>AgeStanSec!C45/B$3</f>
        <v>167.6</v>
      </c>
      <c r="C45" s="65">
        <f>AgeStanSec!D45/C$3</f>
        <v>168.33333333333334</v>
      </c>
      <c r="D45" s="65">
        <f>AgeStanSec!E45/D$3</f>
        <v>168.54693589437682</v>
      </c>
      <c r="E45" s="65">
        <f>AgeStanSec!F45/E$3</f>
        <v>169.5</v>
      </c>
      <c r="F45" s="65">
        <f>AgeStanSec!G45/F$3</f>
        <v>169.75860971923962</v>
      </c>
      <c r="G45" s="65">
        <f>AgeStanSec!H45/G$3</f>
        <v>170.5</v>
      </c>
      <c r="H45" s="65">
        <f>AgeStanSec!I45/H$3</f>
        <v>171.58333333333334</v>
      </c>
      <c r="I45" s="65">
        <f>AgeStanSec!J45/I$3</f>
        <v>172.93333333333334</v>
      </c>
      <c r="J45" s="65">
        <f>AgeStanSec!K45/J$3</f>
        <v>173.11401415732124</v>
      </c>
      <c r="K45" s="65">
        <f>AgeStanSec!L45/K$3</f>
        <v>174.75</v>
      </c>
      <c r="L45" s="65">
        <f>AgeStanSec!M45/L$3</f>
        <v>175.28143144922385</v>
      </c>
      <c r="M45" s="65">
        <f>AgeStanSec!N45/M$3</f>
        <v>175.64</v>
      </c>
      <c r="N45" s="65">
        <f>AgeStanSec!O45/N$3</f>
        <v>176.7</v>
      </c>
      <c r="O45" s="65">
        <f>AgeStanSec!P45/O$3</f>
        <v>181.34850100722835</v>
      </c>
      <c r="P45" s="65">
        <f>AgeStanSec!Q45/P$3</f>
        <v>186.56</v>
      </c>
      <c r="Q45" s="65">
        <f>AgeStanSec!R45/Q$3</f>
        <v>211.35319732760675</v>
      </c>
      <c r="R45" s="65">
        <f>AgeStanSec!S45/R$3</f>
        <v>225.91</v>
      </c>
      <c r="S45" s="65">
        <f>AgeStanSec!T45/S$3</f>
        <v>255.94666666666666</v>
      </c>
      <c r="T45" s="65">
        <f>AgeStanSec!U45/T$3</f>
        <v>261.4978525411596</v>
      </c>
      <c r="U45" s="65">
        <f>AgeStanSec!V45/U$3</f>
        <v>279.21499999999997</v>
      </c>
      <c r="V45" s="47"/>
    </row>
    <row r="46" spans="1:22">
      <c r="A46" s="66">
        <v>45</v>
      </c>
      <c r="B46" s="67">
        <f>AgeStanSec!C46/B$3</f>
        <v>168.8</v>
      </c>
      <c r="C46" s="67">
        <f>AgeStanSec!D46/C$3</f>
        <v>169.66666666666666</v>
      </c>
      <c r="D46" s="67">
        <f>AgeStanSec!E46/D$3</f>
        <v>169.78967827885148</v>
      </c>
      <c r="E46" s="67">
        <f>AgeStanSec!F46/E$3</f>
        <v>170.875</v>
      </c>
      <c r="F46" s="67">
        <f>AgeStanSec!G46/F$3</f>
        <v>171.12562634216175</v>
      </c>
      <c r="G46" s="67">
        <f>AgeStanSec!H46/G$3</f>
        <v>171.9</v>
      </c>
      <c r="H46" s="67">
        <f>AgeStanSec!I46/H$3</f>
        <v>173</v>
      </c>
      <c r="I46" s="67">
        <f>AgeStanSec!J46/I$3</f>
        <v>174.33333333333334</v>
      </c>
      <c r="J46" s="67">
        <f>AgeStanSec!K46/J$3</f>
        <v>174.54316789946711</v>
      </c>
      <c r="K46" s="67">
        <f>AgeStanSec!L46/K$3</f>
        <v>176.2</v>
      </c>
      <c r="L46" s="67">
        <f>AgeStanSec!M46/L$3</f>
        <v>176.79819883872497</v>
      </c>
      <c r="M46" s="67">
        <f>AgeStanSec!N46/M$3</f>
        <v>177.12</v>
      </c>
      <c r="N46" s="67">
        <f>AgeStanSec!O46/N$3</f>
        <v>178.23333333333332</v>
      </c>
      <c r="O46" s="67">
        <f>AgeStanSec!P46/O$3</f>
        <v>182.93636686811234</v>
      </c>
      <c r="P46" s="67">
        <f>AgeStanSec!Q46/P$3</f>
        <v>188.2</v>
      </c>
      <c r="Q46" s="67">
        <f>AgeStanSec!R46/Q$3</f>
        <v>213.20488348047402</v>
      </c>
      <c r="R46" s="67">
        <f>AgeStanSec!S46/R$3</f>
        <v>227.89</v>
      </c>
      <c r="S46" s="67">
        <f>AgeStanSec!T46/S$3</f>
        <v>258.18666666666667</v>
      </c>
      <c r="T46" s="67">
        <f>AgeStanSec!U46/T$3</f>
        <v>263.78449852859302</v>
      </c>
      <c r="U46" s="67">
        <f>AgeStanSec!V46/U$3</f>
        <v>281.66000000000003</v>
      </c>
      <c r="V46" s="47"/>
    </row>
    <row r="47" spans="1:22">
      <c r="A47" s="64">
        <v>46</v>
      </c>
      <c r="B47" s="65">
        <f>AgeStanSec!C47/B$3</f>
        <v>170.2</v>
      </c>
      <c r="C47" s="65">
        <f>AgeStanSec!D47/C$3</f>
        <v>171</v>
      </c>
      <c r="D47" s="65">
        <f>AgeStanSec!E47/D$3</f>
        <v>171.18776346138549</v>
      </c>
      <c r="E47" s="65">
        <f>AgeStanSec!F47/E$3</f>
        <v>172.25</v>
      </c>
      <c r="F47" s="65">
        <f>AgeStanSec!G47/F$3</f>
        <v>172.49264296508389</v>
      </c>
      <c r="G47" s="65">
        <f>AgeStanSec!H47/G$3</f>
        <v>173.3</v>
      </c>
      <c r="H47" s="65">
        <f>AgeStanSec!I47/H$3</f>
        <v>174.5</v>
      </c>
      <c r="I47" s="65">
        <f>AgeStanSec!J47/I$3</f>
        <v>175.8</v>
      </c>
      <c r="J47" s="65">
        <f>AgeStanSec!K47/J$3</f>
        <v>175.97232164161298</v>
      </c>
      <c r="K47" s="65">
        <f>AgeStanSec!L47/K$3</f>
        <v>177.7</v>
      </c>
      <c r="L47" s="65">
        <f>AgeStanSec!M47/L$3</f>
        <v>178.26756724730419</v>
      </c>
      <c r="M47" s="65">
        <f>AgeStanSec!N47/M$3</f>
        <v>178.64</v>
      </c>
      <c r="N47" s="65">
        <f>AgeStanSec!O47/N$3</f>
        <v>179.76666666666668</v>
      </c>
      <c r="O47" s="65">
        <f>AgeStanSec!P47/O$3</f>
        <v>184.54793221945729</v>
      </c>
      <c r="P47" s="65">
        <f>AgeStanSec!Q47/P$3</f>
        <v>189.86</v>
      </c>
      <c r="Q47" s="65">
        <f>AgeStanSec!R47/Q$3</f>
        <v>215.08142448103078</v>
      </c>
      <c r="R47" s="65">
        <f>AgeStanSec!S47/R$3</f>
        <v>229.9</v>
      </c>
      <c r="S47" s="65">
        <f>AgeStanSec!T47/S$3</f>
        <v>260.46666666666664</v>
      </c>
      <c r="T47" s="65">
        <f>AgeStanSec!U47/T$3</f>
        <v>266.10842678756063</v>
      </c>
      <c r="U47" s="65">
        <f>AgeStanSec!V47/U$3</f>
        <v>284.14499999999998</v>
      </c>
      <c r="V47" s="47"/>
    </row>
    <row r="48" spans="1:22">
      <c r="A48" s="64">
        <v>47</v>
      </c>
      <c r="B48" s="65">
        <f>AgeStanSec!C48/B$3</f>
        <v>171.4</v>
      </c>
      <c r="C48" s="65">
        <f>AgeStanSec!D48/C$3</f>
        <v>172.33333333333334</v>
      </c>
      <c r="D48" s="65">
        <f>AgeStanSec!E48/D$3</f>
        <v>172.43050584586015</v>
      </c>
      <c r="E48" s="65">
        <f>AgeStanSec!F48/E$3</f>
        <v>173.625</v>
      </c>
      <c r="F48" s="65">
        <f>AgeStanSec!G48/F$3</f>
        <v>173.85965958800602</v>
      </c>
      <c r="G48" s="65">
        <f>AgeStanSec!H48/G$3</f>
        <v>174.8</v>
      </c>
      <c r="H48" s="65">
        <f>AgeStanSec!I48/H$3</f>
        <v>175.91666666666666</v>
      </c>
      <c r="I48" s="65">
        <f>AgeStanSec!J48/I$3</f>
        <v>177.26666666666668</v>
      </c>
      <c r="J48" s="65">
        <f>AgeStanSec!K48/J$3</f>
        <v>177.46361250298256</v>
      </c>
      <c r="K48" s="65">
        <f>AgeStanSec!L48/K$3</f>
        <v>179.2</v>
      </c>
      <c r="L48" s="65">
        <f>AgeStanSec!M48/L$3</f>
        <v>179.78433463680531</v>
      </c>
      <c r="M48" s="65">
        <f>AgeStanSec!N48/M$3</f>
        <v>180.16</v>
      </c>
      <c r="N48" s="65">
        <f>AgeStanSec!O48/N$3</f>
        <v>181.33333333333334</v>
      </c>
      <c r="O48" s="65">
        <f>AgeStanSec!P48/O$3</f>
        <v>186.18319706126317</v>
      </c>
      <c r="P48" s="65">
        <f>AgeStanSec!Q48/P$3</f>
        <v>191.56</v>
      </c>
      <c r="Q48" s="65">
        <f>AgeStanSec!R48/Q$3</f>
        <v>216.99524775312176</v>
      </c>
      <c r="R48" s="65">
        <f>AgeStanSec!S48/R$3</f>
        <v>231.95</v>
      </c>
      <c r="S48" s="65">
        <f>AgeStanSec!T48/S$3</f>
        <v>262.78666666666669</v>
      </c>
      <c r="T48" s="65">
        <f>AgeStanSec!U48/T$3</f>
        <v>268.48206474190727</v>
      </c>
      <c r="U48" s="65">
        <f>AgeStanSec!V48/U$3</f>
        <v>286.67500000000001</v>
      </c>
      <c r="V48" s="47"/>
    </row>
    <row r="49" spans="1:22">
      <c r="A49" s="64">
        <v>48</v>
      </c>
      <c r="B49" s="65">
        <f>AgeStanSec!C49/B$3</f>
        <v>172.8</v>
      </c>
      <c r="C49" s="65">
        <f>AgeStanSec!D49/C$3</f>
        <v>173.66666666666666</v>
      </c>
      <c r="D49" s="65">
        <f>AgeStanSec!E49/D$3</f>
        <v>173.82859102839416</v>
      </c>
      <c r="E49" s="65">
        <f>AgeStanSec!F49/E$3</f>
        <v>175.125</v>
      </c>
      <c r="F49" s="65">
        <f>AgeStanSec!G49/F$3</f>
        <v>175.35095044937563</v>
      </c>
      <c r="G49" s="65">
        <f>AgeStanSec!H49/G$3</f>
        <v>176.2</v>
      </c>
      <c r="H49" s="65">
        <f>AgeStanSec!I49/H$3</f>
        <v>177.41666666666666</v>
      </c>
      <c r="I49" s="65">
        <f>AgeStanSec!J49/I$3</f>
        <v>178.8</v>
      </c>
      <c r="J49" s="65">
        <f>AgeStanSec!K49/J$3</f>
        <v>179.0170404835759</v>
      </c>
      <c r="K49" s="65">
        <f>AgeStanSec!L49/K$3</f>
        <v>180.75</v>
      </c>
      <c r="L49" s="65">
        <f>AgeStanSec!M49/L$3</f>
        <v>181.34850100722835</v>
      </c>
      <c r="M49" s="65">
        <f>AgeStanSec!N49/M$3</f>
        <v>181.72</v>
      </c>
      <c r="N49" s="65">
        <f>AgeStanSec!O49/N$3</f>
        <v>182.93333333333334</v>
      </c>
      <c r="O49" s="65">
        <f>AgeStanSec!P49/O$3</f>
        <v>187.86586088399099</v>
      </c>
      <c r="P49" s="65">
        <f>AgeStanSec!Q49/P$3</f>
        <v>193.28</v>
      </c>
      <c r="Q49" s="65">
        <f>AgeStanSec!R49/Q$3</f>
        <v>218.94635329674699</v>
      </c>
      <c r="R49" s="65">
        <f>AgeStanSec!S49/R$3</f>
        <v>234.03</v>
      </c>
      <c r="S49" s="65">
        <f>AgeStanSec!T49/S$3</f>
        <v>265.14666666666665</v>
      </c>
      <c r="T49" s="65">
        <f>AgeStanSec!U49/T$3</f>
        <v>270.8929849677881</v>
      </c>
      <c r="U49" s="65">
        <f>AgeStanSec!V49/U$3</f>
        <v>289.25</v>
      </c>
      <c r="V49" s="47"/>
    </row>
    <row r="50" spans="1:22">
      <c r="A50" s="64">
        <v>49</v>
      </c>
      <c r="B50" s="65">
        <f>AgeStanSec!C50/B$3</f>
        <v>174.2</v>
      </c>
      <c r="C50" s="65">
        <f>AgeStanSec!D50/C$3</f>
        <v>175</v>
      </c>
      <c r="D50" s="65">
        <f>AgeStanSec!E50/D$3</f>
        <v>175.3820190089875</v>
      </c>
      <c r="E50" s="65">
        <f>AgeStanSec!F50/E$3</f>
        <v>176.5</v>
      </c>
      <c r="F50" s="65">
        <f>AgeStanSec!G50/F$3</f>
        <v>176.71796707229777</v>
      </c>
      <c r="G50" s="65">
        <f>AgeStanSec!H50/G$3</f>
        <v>177.7</v>
      </c>
      <c r="H50" s="65">
        <f>AgeStanSec!I50/H$3</f>
        <v>178.91666666666666</v>
      </c>
      <c r="I50" s="65">
        <f>AgeStanSec!J50/I$3</f>
        <v>180.33333333333334</v>
      </c>
      <c r="J50" s="65">
        <f>AgeStanSec!K50/J$3</f>
        <v>180.57046846416924</v>
      </c>
      <c r="K50" s="65">
        <f>AgeStanSec!L50/K$3</f>
        <v>182.35</v>
      </c>
      <c r="L50" s="65">
        <f>AgeStanSec!M50/L$3</f>
        <v>182.91266737765139</v>
      </c>
      <c r="M50" s="65">
        <f>AgeStanSec!N50/M$3</f>
        <v>183.32</v>
      </c>
      <c r="N50" s="65">
        <f>AgeStanSec!O50/N$3</f>
        <v>184.56666666666666</v>
      </c>
      <c r="O50" s="65">
        <f>AgeStanSec!P50/O$3</f>
        <v>189.57222419717976</v>
      </c>
      <c r="P50" s="65">
        <f>AgeStanSec!Q50/P$3</f>
        <v>195.02</v>
      </c>
      <c r="Q50" s="65">
        <f>AgeStanSec!R50/Q$3</f>
        <v>220.93474111190645</v>
      </c>
      <c r="R50" s="65">
        <f>AgeStanSec!S50/R$3</f>
        <v>236.15</v>
      </c>
      <c r="S50" s="65">
        <f>AgeStanSec!T50/S$3</f>
        <v>267.55333333333334</v>
      </c>
      <c r="T50" s="65">
        <f>AgeStanSec!U50/T$3</f>
        <v>273.34740117712556</v>
      </c>
      <c r="U50" s="65">
        <f>AgeStanSec!V50/U$3</f>
        <v>291.875</v>
      </c>
      <c r="V50" s="47"/>
    </row>
    <row r="51" spans="1:22">
      <c r="A51" s="66">
        <v>50</v>
      </c>
      <c r="B51" s="67">
        <f>AgeStanSec!C51/B$3</f>
        <v>175.6</v>
      </c>
      <c r="C51" s="67">
        <f>AgeStanSec!D51/C$3</f>
        <v>176.5</v>
      </c>
      <c r="D51" s="67">
        <f>AgeStanSec!E51/D$3</f>
        <v>176.7801041915215</v>
      </c>
      <c r="E51" s="67">
        <f>AgeStanSec!F51/E$3</f>
        <v>178</v>
      </c>
      <c r="F51" s="67">
        <f>AgeStanSec!G51/F$3</f>
        <v>178.20925793366737</v>
      </c>
      <c r="G51" s="67">
        <f>AgeStanSec!H51/G$3</f>
        <v>179.2</v>
      </c>
      <c r="H51" s="67">
        <f>AgeStanSec!I51/H$3</f>
        <v>180.41666666666666</v>
      </c>
      <c r="I51" s="67">
        <f>AgeStanSec!J51/I$3</f>
        <v>181.86666666666667</v>
      </c>
      <c r="J51" s="67">
        <f>AgeStanSec!K51/J$3</f>
        <v>182.12389644476258</v>
      </c>
      <c r="K51" s="67">
        <f>AgeStanSec!L51/K$3</f>
        <v>183.95</v>
      </c>
      <c r="L51" s="67">
        <f>AgeStanSec!M51/L$3</f>
        <v>184.52423272899634</v>
      </c>
      <c r="M51" s="67">
        <f>AgeStanSec!N51/M$3</f>
        <v>184.96</v>
      </c>
      <c r="N51" s="67">
        <f>AgeStanSec!O51/N$3</f>
        <v>186.23333333333332</v>
      </c>
      <c r="O51" s="67">
        <f>AgeStanSec!P51/O$3</f>
        <v>191.30228700082949</v>
      </c>
      <c r="P51" s="67">
        <f>AgeStanSec!Q51/P$3</f>
        <v>196.8</v>
      </c>
      <c r="Q51" s="67">
        <f>AgeStanSec!R51/Q$3</f>
        <v>222.94798377475541</v>
      </c>
      <c r="R51" s="67">
        <f>AgeStanSec!S51/R$3</f>
        <v>238.31</v>
      </c>
      <c r="S51" s="67">
        <f>AgeStanSec!T51/S$3</f>
        <v>270</v>
      </c>
      <c r="T51" s="67">
        <f>AgeStanSec!U51/T$3</f>
        <v>275.85152708184205</v>
      </c>
      <c r="U51" s="67">
        <f>AgeStanSec!V51/U$3</f>
        <v>294.54500000000002</v>
      </c>
      <c r="V51" s="47"/>
    </row>
    <row r="52" spans="1:22">
      <c r="A52" s="64">
        <v>51</v>
      </c>
      <c r="B52" s="65">
        <f>AgeStanSec!C52/B$3</f>
        <v>177</v>
      </c>
      <c r="C52" s="65">
        <f>AgeStanSec!D52/C$3</f>
        <v>178</v>
      </c>
      <c r="D52" s="65">
        <f>AgeStanSec!E52/D$3</f>
        <v>178.17818937405551</v>
      </c>
      <c r="E52" s="65">
        <f>AgeStanSec!F52/E$3</f>
        <v>179.5</v>
      </c>
      <c r="F52" s="65">
        <f>AgeStanSec!G52/F$3</f>
        <v>179.70054879503698</v>
      </c>
      <c r="G52" s="65">
        <f>AgeStanSec!H52/G$3</f>
        <v>180.8</v>
      </c>
      <c r="H52" s="65">
        <f>AgeStanSec!I52/H$3</f>
        <v>182</v>
      </c>
      <c r="I52" s="65">
        <f>AgeStanSec!J52/I$3</f>
        <v>183.46666666666667</v>
      </c>
      <c r="J52" s="65">
        <f>AgeStanSec!K52/J$3</f>
        <v>183.67732442535592</v>
      </c>
      <c r="K52" s="65">
        <f>AgeStanSec!L52/K$3</f>
        <v>185.55</v>
      </c>
      <c r="L52" s="65">
        <f>AgeStanSec!M52/L$3</f>
        <v>186.18319706126317</v>
      </c>
      <c r="M52" s="65">
        <f>AgeStanSec!N52/M$3</f>
        <v>186.64</v>
      </c>
      <c r="N52" s="65">
        <f>AgeStanSec!O52/N$3</f>
        <v>187.9</v>
      </c>
      <c r="O52" s="65">
        <f>AgeStanSec!P52/O$3</f>
        <v>193.07974878540111</v>
      </c>
      <c r="P52" s="65">
        <f>AgeStanSec!Q52/P$3</f>
        <v>198.62</v>
      </c>
      <c r="Q52" s="65">
        <f>AgeStanSec!R52/Q$3</f>
        <v>225.01093613298337</v>
      </c>
      <c r="R52" s="65">
        <f>AgeStanSec!S52/R$3</f>
        <v>240.51</v>
      </c>
      <c r="S52" s="65">
        <f>AgeStanSec!T52/S$3</f>
        <v>272.49333333333334</v>
      </c>
      <c r="T52" s="65">
        <f>AgeStanSec!U52/T$3</f>
        <v>278.39914897001512</v>
      </c>
      <c r="U52" s="65">
        <f>AgeStanSec!V52/U$3</f>
        <v>297.26499999999999</v>
      </c>
      <c r="V52" s="47"/>
    </row>
    <row r="53" spans="1:22">
      <c r="A53" s="64">
        <v>52</v>
      </c>
      <c r="B53" s="65">
        <f>AgeStanSec!C53/B$3</f>
        <v>178.4</v>
      </c>
      <c r="C53" s="65">
        <f>AgeStanSec!D53/C$3</f>
        <v>179.5</v>
      </c>
      <c r="D53" s="65">
        <f>AgeStanSec!E53/D$3</f>
        <v>179.73161735464885</v>
      </c>
      <c r="E53" s="65">
        <f>AgeStanSec!F53/E$3</f>
        <v>181</v>
      </c>
      <c r="F53" s="65">
        <f>AgeStanSec!G53/F$3</f>
        <v>181.19183965640659</v>
      </c>
      <c r="G53" s="65">
        <f>AgeStanSec!H53/G$3</f>
        <v>182.3</v>
      </c>
      <c r="H53" s="65">
        <f>AgeStanSec!I53/H$3</f>
        <v>183.58333333333334</v>
      </c>
      <c r="I53" s="65">
        <f>AgeStanSec!J53/I$3</f>
        <v>185.06666666666666</v>
      </c>
      <c r="J53" s="65">
        <f>AgeStanSec!K53/J$3</f>
        <v>185.29288952517297</v>
      </c>
      <c r="K53" s="65">
        <f>AgeStanSec!L53/K$3</f>
        <v>187.2</v>
      </c>
      <c r="L53" s="65">
        <f>AgeStanSec!M53/L$3</f>
        <v>187.84216139353003</v>
      </c>
      <c r="M53" s="65">
        <f>AgeStanSec!N53/M$3</f>
        <v>188.28</v>
      </c>
      <c r="N53" s="65">
        <f>AgeStanSec!O53/N$3</f>
        <v>189.6</v>
      </c>
      <c r="O53" s="65">
        <f>AgeStanSec!P53/O$3</f>
        <v>194.88091006043371</v>
      </c>
      <c r="P53" s="65">
        <f>AgeStanSec!Q53/P$3</f>
        <v>200.48</v>
      </c>
      <c r="Q53" s="65">
        <f>AgeStanSec!R53/Q$3</f>
        <v>227.11117076274556</v>
      </c>
      <c r="R53" s="65">
        <f>AgeStanSec!S53/R$3</f>
        <v>242.75</v>
      </c>
      <c r="S53" s="65">
        <f>AgeStanSec!T53/S$3</f>
        <v>275.03333333333336</v>
      </c>
      <c r="T53" s="65">
        <f>AgeStanSec!U53/T$3</f>
        <v>280.99026684164477</v>
      </c>
      <c r="U53" s="65">
        <f>AgeStanSec!V53/U$3</f>
        <v>300.03500000000003</v>
      </c>
      <c r="V53" s="47"/>
    </row>
    <row r="54" spans="1:22">
      <c r="A54" s="64">
        <v>53</v>
      </c>
      <c r="B54" s="65">
        <f>AgeStanSec!C54/B$3</f>
        <v>179.8</v>
      </c>
      <c r="C54" s="65">
        <f>AgeStanSec!D54/C$3</f>
        <v>181</v>
      </c>
      <c r="D54" s="65">
        <f>AgeStanSec!E54/D$3</f>
        <v>181.12970253718285</v>
      </c>
      <c r="E54" s="65">
        <f>AgeStanSec!F54/E$3</f>
        <v>182.5</v>
      </c>
      <c r="F54" s="65">
        <f>AgeStanSec!G54/F$3</f>
        <v>182.80740475622363</v>
      </c>
      <c r="G54" s="65">
        <f>AgeStanSec!H54/G$3</f>
        <v>183.9</v>
      </c>
      <c r="H54" s="65">
        <f>AgeStanSec!I54/H$3</f>
        <v>185.16666666666666</v>
      </c>
      <c r="I54" s="65">
        <f>AgeStanSec!J54/I$3</f>
        <v>186.73333333333332</v>
      </c>
      <c r="J54" s="65">
        <f>AgeStanSec!K54/J$3</f>
        <v>186.97059174421378</v>
      </c>
      <c r="K54" s="65">
        <f>AgeStanSec!L54/K$3</f>
        <v>188.9</v>
      </c>
      <c r="L54" s="65">
        <f>AgeStanSec!M54/L$3</f>
        <v>189.5011257257969</v>
      </c>
      <c r="M54" s="65">
        <f>AgeStanSec!N54/M$3</f>
        <v>190</v>
      </c>
      <c r="N54" s="65">
        <f>AgeStanSec!O54/N$3</f>
        <v>191.36666666666667</v>
      </c>
      <c r="O54" s="65">
        <f>AgeStanSec!P54/O$3</f>
        <v>196.70577082592723</v>
      </c>
      <c r="P54" s="65">
        <f>AgeStanSec!Q54/P$3</f>
        <v>202.36</v>
      </c>
      <c r="Q54" s="65">
        <f>AgeStanSec!R54/Q$3</f>
        <v>229.24868766404197</v>
      </c>
      <c r="R54" s="65">
        <f>AgeStanSec!S54/R$3</f>
        <v>245.04</v>
      </c>
      <c r="S54" s="65">
        <f>AgeStanSec!T54/S$3</f>
        <v>277.62</v>
      </c>
      <c r="T54" s="65">
        <f>AgeStanSec!U54/T$3</f>
        <v>283.63109440865344</v>
      </c>
      <c r="U54" s="65">
        <f>AgeStanSec!V54/U$3</f>
        <v>302.85500000000002</v>
      </c>
      <c r="V54" s="47"/>
    </row>
    <row r="55" spans="1:22">
      <c r="A55" s="64">
        <v>54</v>
      </c>
      <c r="B55" s="65">
        <f>AgeStanSec!C55/B$3</f>
        <v>181.4</v>
      </c>
      <c r="C55" s="65">
        <f>AgeStanSec!D55/C$3</f>
        <v>182.5</v>
      </c>
      <c r="D55" s="65">
        <f>AgeStanSec!E55/D$3</f>
        <v>182.68313051777616</v>
      </c>
      <c r="E55" s="65">
        <f>AgeStanSec!F55/E$3</f>
        <v>184.125</v>
      </c>
      <c r="F55" s="65">
        <f>AgeStanSec!G55/F$3</f>
        <v>184.42296985604071</v>
      </c>
      <c r="G55" s="65">
        <f>AgeStanSec!H55/G$3</f>
        <v>185.5</v>
      </c>
      <c r="H55" s="65">
        <f>AgeStanSec!I55/H$3</f>
        <v>186.83333333333334</v>
      </c>
      <c r="I55" s="65">
        <f>AgeStanSec!J55/I$3</f>
        <v>188.4</v>
      </c>
      <c r="J55" s="65">
        <f>AgeStanSec!K55/J$3</f>
        <v>188.64829396325459</v>
      </c>
      <c r="K55" s="65">
        <f>AgeStanSec!L55/K$3</f>
        <v>190.6</v>
      </c>
      <c r="L55" s="65">
        <f>AgeStanSec!M55/L$3</f>
        <v>191.25488801990758</v>
      </c>
      <c r="M55" s="65">
        <f>AgeStanSec!N55/M$3</f>
        <v>191.76</v>
      </c>
      <c r="N55" s="65">
        <f>AgeStanSec!O55/N$3</f>
        <v>193.13333333333333</v>
      </c>
      <c r="O55" s="65">
        <f>AgeStanSec!P55/O$3</f>
        <v>198.5780305723427</v>
      </c>
      <c r="P55" s="65">
        <f>AgeStanSec!Q55/P$3</f>
        <v>204.28</v>
      </c>
      <c r="Q55" s="65">
        <f>AgeStanSec!R55/Q$3</f>
        <v>231.42348683687266</v>
      </c>
      <c r="R55" s="65">
        <f>AgeStanSec!S55/R$3</f>
        <v>247.37</v>
      </c>
      <c r="S55" s="65">
        <f>AgeStanSec!T55/S$3</f>
        <v>280.25333333333333</v>
      </c>
      <c r="T55" s="65">
        <f>AgeStanSec!U55/T$3</f>
        <v>286.32784538296346</v>
      </c>
      <c r="U55" s="65">
        <f>AgeStanSec!V55/U$3</f>
        <v>305.73</v>
      </c>
      <c r="V55" s="47"/>
    </row>
    <row r="56" spans="1:22">
      <c r="A56" s="66">
        <v>55</v>
      </c>
      <c r="B56" s="67">
        <f>AgeStanSec!C56/B$3</f>
        <v>182.8</v>
      </c>
      <c r="C56" s="67">
        <f>AgeStanSec!D56/C$3</f>
        <v>184</v>
      </c>
      <c r="D56" s="67">
        <f>AgeStanSec!E56/D$3</f>
        <v>184.2365584983695</v>
      </c>
      <c r="E56" s="67">
        <f>AgeStanSec!F56/E$3</f>
        <v>185.75</v>
      </c>
      <c r="F56" s="67">
        <f>AgeStanSec!G56/F$3</f>
        <v>185.91426071741031</v>
      </c>
      <c r="G56" s="67">
        <f>AgeStanSec!H56/G$3</f>
        <v>187.2</v>
      </c>
      <c r="H56" s="67">
        <f>AgeStanSec!I56/H$3</f>
        <v>188.5</v>
      </c>
      <c r="I56" s="67">
        <f>AgeStanSec!J56/I$3</f>
        <v>190.06666666666666</v>
      </c>
      <c r="J56" s="67">
        <f>AgeStanSec!K56/J$3</f>
        <v>190.32599618229537</v>
      </c>
      <c r="K56" s="67">
        <f>AgeStanSec!L56/K$3</f>
        <v>192.35</v>
      </c>
      <c r="L56" s="67">
        <f>AgeStanSec!M56/L$3</f>
        <v>193.00865031401824</v>
      </c>
      <c r="M56" s="67">
        <f>AgeStanSec!N56/M$3</f>
        <v>193.56</v>
      </c>
      <c r="N56" s="67">
        <f>AgeStanSec!O56/N$3</f>
        <v>194.96666666666667</v>
      </c>
      <c r="O56" s="67">
        <f>AgeStanSec!P56/O$3</f>
        <v>200.47398980921909</v>
      </c>
      <c r="P56" s="67">
        <f>AgeStanSec!Q56/P$3</f>
        <v>206.24</v>
      </c>
      <c r="Q56" s="67">
        <f>AgeStanSec!R56/Q$3</f>
        <v>233.63556828123757</v>
      </c>
      <c r="R56" s="67">
        <f>AgeStanSec!S56/R$3</f>
        <v>249.74</v>
      </c>
      <c r="S56" s="67">
        <f>AgeStanSec!T56/S$3</f>
        <v>282.94</v>
      </c>
      <c r="T56" s="67">
        <f>AgeStanSec!U56/T$3</f>
        <v>289.0743060526525</v>
      </c>
      <c r="U56" s="67">
        <f>AgeStanSec!V56/U$3</f>
        <v>308.66500000000002</v>
      </c>
      <c r="V56" s="47"/>
    </row>
    <row r="57" spans="1:22">
      <c r="A57" s="64">
        <v>56</v>
      </c>
      <c r="B57" s="65">
        <f>AgeStanSec!C57/B$3</f>
        <v>184.4</v>
      </c>
      <c r="C57" s="65">
        <f>AgeStanSec!D57/C$3</f>
        <v>185.5</v>
      </c>
      <c r="D57" s="65">
        <f>AgeStanSec!E57/D$3</f>
        <v>185.78998647896285</v>
      </c>
      <c r="E57" s="65">
        <f>AgeStanSec!F57/E$3</f>
        <v>187.375</v>
      </c>
      <c r="F57" s="65">
        <f>AgeStanSec!G57/F$3</f>
        <v>187.65410005567486</v>
      </c>
      <c r="G57" s="65">
        <f>AgeStanSec!H57/G$3</f>
        <v>188.8</v>
      </c>
      <c r="H57" s="65">
        <f>AgeStanSec!I57/H$3</f>
        <v>190.16666666666666</v>
      </c>
      <c r="I57" s="65">
        <f>AgeStanSec!J57/I$3</f>
        <v>191.8</v>
      </c>
      <c r="J57" s="65">
        <f>AgeStanSec!K57/J$3</f>
        <v>192.06583552055992</v>
      </c>
      <c r="K57" s="65">
        <f>AgeStanSec!L57/K$3</f>
        <v>194.15</v>
      </c>
      <c r="L57" s="65">
        <f>AgeStanSec!M57/L$3</f>
        <v>194.80981158905084</v>
      </c>
      <c r="M57" s="65">
        <f>AgeStanSec!N57/M$3</f>
        <v>195.36</v>
      </c>
      <c r="N57" s="65">
        <f>AgeStanSec!O57/N$3</f>
        <v>196.8</v>
      </c>
      <c r="O57" s="65">
        <f>AgeStanSec!P57/O$3</f>
        <v>202.41734802701743</v>
      </c>
      <c r="P57" s="65">
        <f>AgeStanSec!Q57/P$3</f>
        <v>208.24</v>
      </c>
      <c r="Q57" s="65">
        <f>AgeStanSec!R57/Q$3</f>
        <v>235.89735942098145</v>
      </c>
      <c r="R57" s="65">
        <f>AgeStanSec!S57/R$3</f>
        <v>252.15</v>
      </c>
      <c r="S57" s="65">
        <f>AgeStanSec!T57/S$3</f>
        <v>285.68</v>
      </c>
      <c r="T57" s="65">
        <f>AgeStanSec!U57/T$3</f>
        <v>291.87047641772051</v>
      </c>
      <c r="U57" s="65">
        <f>AgeStanSec!V57/U$3</f>
        <v>311.64999999999998</v>
      </c>
      <c r="V57" s="47"/>
    </row>
    <row r="58" spans="1:22">
      <c r="A58" s="64">
        <v>57</v>
      </c>
      <c r="B58" s="65">
        <f>AgeStanSec!C58/B$3</f>
        <v>186</v>
      </c>
      <c r="C58" s="65">
        <f>AgeStanSec!D58/C$3</f>
        <v>187.16666666666666</v>
      </c>
      <c r="D58" s="65">
        <f>AgeStanSec!E58/D$3</f>
        <v>187.49875725761552</v>
      </c>
      <c r="E58" s="65">
        <f>AgeStanSec!F58/E$3</f>
        <v>189</v>
      </c>
      <c r="F58" s="65">
        <f>AgeStanSec!G58/F$3</f>
        <v>189.26966515549191</v>
      </c>
      <c r="G58" s="65">
        <f>AgeStanSec!H58/G$3</f>
        <v>190.5</v>
      </c>
      <c r="H58" s="65">
        <f>AgeStanSec!I58/H$3</f>
        <v>191.91666666666666</v>
      </c>
      <c r="I58" s="65">
        <f>AgeStanSec!J58/I$3</f>
        <v>193.6</v>
      </c>
      <c r="J58" s="65">
        <f>AgeStanSec!K58/J$3</f>
        <v>193.86781197804819</v>
      </c>
      <c r="K58" s="65">
        <f>AgeStanSec!L58/K$3</f>
        <v>195.95</v>
      </c>
      <c r="L58" s="65">
        <f>AgeStanSec!M58/L$3</f>
        <v>196.61097286408341</v>
      </c>
      <c r="M58" s="65">
        <f>AgeStanSec!N58/M$3</f>
        <v>197.2</v>
      </c>
      <c r="N58" s="65">
        <f>AgeStanSec!O58/N$3</f>
        <v>198.7</v>
      </c>
      <c r="O58" s="65">
        <f>AgeStanSec!P58/O$3</f>
        <v>204.38440573527669</v>
      </c>
      <c r="P58" s="65">
        <f>AgeStanSec!Q58/P$3</f>
        <v>210.28</v>
      </c>
      <c r="Q58" s="65">
        <f>AgeStanSec!R58/Q$3</f>
        <v>238.20886025610434</v>
      </c>
      <c r="R58" s="65">
        <f>AgeStanSec!S58/R$3</f>
        <v>254.62</v>
      </c>
      <c r="S58" s="65">
        <f>AgeStanSec!T58/S$3</f>
        <v>288.47333333333336</v>
      </c>
      <c r="T58" s="65">
        <f>AgeStanSec!U58/T$3</f>
        <v>294.72257019008987</v>
      </c>
      <c r="U58" s="65">
        <f>AgeStanSec!V58/U$3</f>
        <v>314.7</v>
      </c>
      <c r="V58" s="47"/>
    </row>
    <row r="59" spans="1:22">
      <c r="A59" s="64">
        <v>58</v>
      </c>
      <c r="B59" s="65">
        <f>AgeStanSec!C59/B$3</f>
        <v>187.6</v>
      </c>
      <c r="C59" s="65">
        <f>AgeStanSec!D59/C$3</f>
        <v>188.83333333333334</v>
      </c>
      <c r="D59" s="65">
        <f>AgeStanSec!E59/D$3</f>
        <v>189.05218523820884</v>
      </c>
      <c r="E59" s="65">
        <f>AgeStanSec!F59/E$3</f>
        <v>190.75</v>
      </c>
      <c r="F59" s="65">
        <f>AgeStanSec!G59/F$3</f>
        <v>191.00950449375645</v>
      </c>
      <c r="G59" s="65">
        <f>AgeStanSec!H59/G$3</f>
        <v>192.3</v>
      </c>
      <c r="H59" s="65">
        <f>AgeStanSec!I59/H$3</f>
        <v>193.66666666666666</v>
      </c>
      <c r="I59" s="65">
        <f>AgeStanSec!J59/I$3</f>
        <v>195.4</v>
      </c>
      <c r="J59" s="65">
        <f>AgeStanSec!K59/J$3</f>
        <v>195.66978843553645</v>
      </c>
      <c r="K59" s="65">
        <f>AgeStanSec!L59/K$3</f>
        <v>197.75</v>
      </c>
      <c r="L59" s="65">
        <f>AgeStanSec!M59/L$3</f>
        <v>198.45953312003792</v>
      </c>
      <c r="M59" s="65">
        <f>AgeStanSec!N59/M$3</f>
        <v>199.08</v>
      </c>
      <c r="N59" s="65">
        <f>AgeStanSec!O59/N$3</f>
        <v>200.6</v>
      </c>
      <c r="O59" s="65">
        <f>AgeStanSec!P59/O$3</f>
        <v>206.42256191491882</v>
      </c>
      <c r="P59" s="65">
        <f>AgeStanSec!Q59/P$3</f>
        <v>212.36</v>
      </c>
      <c r="Q59" s="65">
        <f>AgeStanSec!R59/Q$3</f>
        <v>240.55764336276147</v>
      </c>
      <c r="R59" s="65">
        <f>AgeStanSec!S59/R$3</f>
        <v>257.13</v>
      </c>
      <c r="S59" s="65">
        <f>AgeStanSec!T59/S$3</f>
        <v>291.32</v>
      </c>
      <c r="T59" s="65">
        <f>AgeStanSec!U59/T$3</f>
        <v>297.63058736976058</v>
      </c>
      <c r="U59" s="65">
        <f>AgeStanSec!V59/U$3</f>
        <v>317.80500000000001</v>
      </c>
      <c r="V59" s="47"/>
    </row>
    <row r="60" spans="1:22">
      <c r="A60" s="64">
        <v>59</v>
      </c>
      <c r="B60" s="65">
        <f>AgeStanSec!C60/B$3</f>
        <v>189.2</v>
      </c>
      <c r="C60" s="65">
        <f>AgeStanSec!D60/C$3</f>
        <v>190.5</v>
      </c>
      <c r="D60" s="65">
        <f>AgeStanSec!E60/D$3</f>
        <v>190.76095601686151</v>
      </c>
      <c r="E60" s="65">
        <f>AgeStanSec!F60/E$3</f>
        <v>192.375</v>
      </c>
      <c r="F60" s="65">
        <f>AgeStanSec!G60/F$3</f>
        <v>192.62506959357353</v>
      </c>
      <c r="G60" s="65">
        <f>AgeStanSec!H60/G$3</f>
        <v>194</v>
      </c>
      <c r="H60" s="65">
        <f>AgeStanSec!I60/H$3</f>
        <v>195.5</v>
      </c>
      <c r="I60" s="65">
        <f>AgeStanSec!J60/I$3</f>
        <v>197.2</v>
      </c>
      <c r="J60" s="65">
        <f>AgeStanSec!K60/J$3</f>
        <v>197.53390201224846</v>
      </c>
      <c r="K60" s="65">
        <f>AgeStanSec!L60/K$3</f>
        <v>199.65</v>
      </c>
      <c r="L60" s="65">
        <f>AgeStanSec!M60/L$3</f>
        <v>200.35549235691431</v>
      </c>
      <c r="M60" s="65">
        <f>AgeStanSec!N60/M$3</f>
        <v>201</v>
      </c>
      <c r="N60" s="65">
        <f>AgeStanSec!O60/N$3</f>
        <v>202.56666666666666</v>
      </c>
      <c r="O60" s="65">
        <f>AgeStanSec!P60/O$3</f>
        <v>208.46071809456097</v>
      </c>
      <c r="P60" s="65">
        <f>AgeStanSec!Q60/P$3</f>
        <v>214.46</v>
      </c>
      <c r="Q60" s="65">
        <f>AgeStanSec!R60/Q$3</f>
        <v>242.95613616479756</v>
      </c>
      <c r="R60" s="65">
        <f>AgeStanSec!S60/R$3</f>
        <v>259.7</v>
      </c>
      <c r="S60" s="65">
        <f>AgeStanSec!T60/S$3</f>
        <v>294.22666666666669</v>
      </c>
      <c r="T60" s="65">
        <f>AgeStanSec!U60/T$3</f>
        <v>300.60074166865502</v>
      </c>
      <c r="U60" s="65">
        <f>AgeStanSec!V60/U$3</f>
        <v>320.97500000000002</v>
      </c>
      <c r="V60" s="47"/>
    </row>
    <row r="61" spans="1:22">
      <c r="A61" s="66">
        <v>60</v>
      </c>
      <c r="B61" s="67">
        <f>AgeStanSec!C61/B$3</f>
        <v>190.8</v>
      </c>
      <c r="C61" s="67">
        <f>AgeStanSec!D61/C$3</f>
        <v>192.16666666666666</v>
      </c>
      <c r="D61" s="67">
        <f>AgeStanSec!E61/D$3</f>
        <v>192.46972679551419</v>
      </c>
      <c r="E61" s="67">
        <f>AgeStanSec!F61/E$3</f>
        <v>194.125</v>
      </c>
      <c r="F61" s="67">
        <f>AgeStanSec!G61/F$3</f>
        <v>194.36490893183804</v>
      </c>
      <c r="G61" s="67">
        <f>AgeStanSec!H61/G$3</f>
        <v>195.8</v>
      </c>
      <c r="H61" s="67">
        <f>AgeStanSec!I61/H$3</f>
        <v>197.33333333333334</v>
      </c>
      <c r="I61" s="67">
        <f>AgeStanSec!J61/I$3</f>
        <v>199.06666666666666</v>
      </c>
      <c r="J61" s="67">
        <f>AgeStanSec!K61/J$3</f>
        <v>199.39801558896045</v>
      </c>
      <c r="K61" s="67">
        <f>AgeStanSec!L61/K$3</f>
        <v>201.6</v>
      </c>
      <c r="L61" s="67">
        <f>AgeStanSec!M61/L$3</f>
        <v>202.29885057471265</v>
      </c>
      <c r="M61" s="67">
        <f>AgeStanSec!N61/M$3</f>
        <v>202.96</v>
      </c>
      <c r="N61" s="67">
        <f>AgeStanSec!O61/N$3</f>
        <v>204.56666666666666</v>
      </c>
      <c r="O61" s="67">
        <f>AgeStanSec!P61/O$3</f>
        <v>210.56997274558597</v>
      </c>
      <c r="P61" s="67">
        <f>AgeStanSec!Q61/P$3</f>
        <v>216.62</v>
      </c>
      <c r="Q61" s="67">
        <f>AgeStanSec!R61/Q$3</f>
        <v>245.40433866221267</v>
      </c>
      <c r="R61" s="67">
        <f>AgeStanSec!S61/R$3</f>
        <v>262.31</v>
      </c>
      <c r="S61" s="67">
        <f>AgeStanSec!T61/S$3</f>
        <v>297.18666666666667</v>
      </c>
      <c r="T61" s="67">
        <f>AgeStanSec!U61/T$3</f>
        <v>303.62681937485087</v>
      </c>
      <c r="U61" s="67">
        <f>AgeStanSec!V61/U$3</f>
        <v>324.20499999999998</v>
      </c>
      <c r="V61" s="47"/>
    </row>
    <row r="62" spans="1:22">
      <c r="A62" s="64">
        <v>61</v>
      </c>
      <c r="B62" s="65">
        <f>AgeStanSec!C62/B$3</f>
        <v>192.4</v>
      </c>
      <c r="C62" s="65">
        <f>AgeStanSec!D62/C$3</f>
        <v>193.83333333333334</v>
      </c>
      <c r="D62" s="65">
        <f>AgeStanSec!E62/D$3</f>
        <v>194.17849757416684</v>
      </c>
      <c r="E62" s="65">
        <f>AgeStanSec!F62/E$3</f>
        <v>196</v>
      </c>
      <c r="F62" s="65">
        <f>AgeStanSec!G62/F$3</f>
        <v>196.22902250855006</v>
      </c>
      <c r="G62" s="65">
        <f>AgeStanSec!H62/G$3</f>
        <v>197.7</v>
      </c>
      <c r="H62" s="65">
        <f>AgeStanSec!I62/H$3</f>
        <v>199.16666666666666</v>
      </c>
      <c r="I62" s="65">
        <f>AgeStanSec!J62/I$3</f>
        <v>201</v>
      </c>
      <c r="J62" s="65">
        <f>AgeStanSec!K62/J$3</f>
        <v>201.3242662848962</v>
      </c>
      <c r="K62" s="65">
        <f>AgeStanSec!L62/K$3</f>
        <v>203.55</v>
      </c>
      <c r="L62" s="65">
        <f>AgeStanSec!M62/L$3</f>
        <v>204.24220879251095</v>
      </c>
      <c r="M62" s="65">
        <f>AgeStanSec!N62/M$3</f>
        <v>204.96</v>
      </c>
      <c r="N62" s="65">
        <f>AgeStanSec!O62/N$3</f>
        <v>206.6</v>
      </c>
      <c r="O62" s="65">
        <f>AgeStanSec!P62/O$3</f>
        <v>212.70292688707192</v>
      </c>
      <c r="P62" s="65">
        <f>AgeStanSec!Q62/P$3</f>
        <v>218.84</v>
      </c>
      <c r="Q62" s="65">
        <f>AgeStanSec!R62/Q$3</f>
        <v>247.90225085500674</v>
      </c>
      <c r="R62" s="65">
        <f>AgeStanSec!S62/R$3</f>
        <v>264.98</v>
      </c>
      <c r="S62" s="65">
        <f>AgeStanSec!T62/S$3</f>
        <v>300.21333333333331</v>
      </c>
      <c r="T62" s="65">
        <f>AgeStanSec!U62/T$3</f>
        <v>306.7150342002704</v>
      </c>
      <c r="U62" s="65">
        <f>AgeStanSec!V62/U$3</f>
        <v>327.505</v>
      </c>
      <c r="V62" s="47"/>
    </row>
    <row r="63" spans="1:22">
      <c r="A63" s="64">
        <v>62</v>
      </c>
      <c r="B63" s="65">
        <f>AgeStanSec!C63/B$3</f>
        <v>194.2</v>
      </c>
      <c r="C63" s="65">
        <f>AgeStanSec!D63/C$3</f>
        <v>195.66666666666666</v>
      </c>
      <c r="D63" s="65">
        <f>AgeStanSec!E63/D$3</f>
        <v>196.04261115087886</v>
      </c>
      <c r="E63" s="65">
        <f>AgeStanSec!F63/E$3</f>
        <v>197.75</v>
      </c>
      <c r="F63" s="65">
        <f>AgeStanSec!G63/F$3</f>
        <v>197.96886184681458</v>
      </c>
      <c r="G63" s="65">
        <f>AgeStanSec!H63/G$3</f>
        <v>199.5</v>
      </c>
      <c r="H63" s="65">
        <f>AgeStanSec!I63/H$3</f>
        <v>201.08333333333334</v>
      </c>
      <c r="I63" s="65">
        <f>AgeStanSec!J63/I$3</f>
        <v>202.93333333333334</v>
      </c>
      <c r="J63" s="65">
        <f>AgeStanSec!K63/J$3</f>
        <v>203.25051698083192</v>
      </c>
      <c r="K63" s="65">
        <f>AgeStanSec!L63/K$3</f>
        <v>205.5</v>
      </c>
      <c r="L63" s="65">
        <f>AgeStanSec!M63/L$3</f>
        <v>206.2329659912312</v>
      </c>
      <c r="M63" s="65">
        <f>AgeStanSec!N63/M$3</f>
        <v>206.96</v>
      </c>
      <c r="N63" s="65">
        <f>AgeStanSec!O63/N$3</f>
        <v>208.66666666666666</v>
      </c>
      <c r="O63" s="65">
        <f>AgeStanSec!P63/O$3</f>
        <v>214.90697949994075</v>
      </c>
      <c r="P63" s="65">
        <f>AgeStanSec!Q63/P$3</f>
        <v>221.08</v>
      </c>
      <c r="Q63" s="65">
        <f>AgeStanSec!R63/Q$3</f>
        <v>250.44987274317981</v>
      </c>
      <c r="R63" s="65">
        <f>AgeStanSec!S63/R$3</f>
        <v>267.7</v>
      </c>
      <c r="S63" s="65">
        <f>AgeStanSec!T63/S$3</f>
        <v>303.29333333333335</v>
      </c>
      <c r="T63" s="65">
        <f>AgeStanSec!U63/T$3</f>
        <v>309.86538614491366</v>
      </c>
      <c r="U63" s="65">
        <f>AgeStanSec!V63/U$3</f>
        <v>330.87</v>
      </c>
      <c r="V63" s="47"/>
    </row>
    <row r="64" spans="1:22">
      <c r="A64" s="64">
        <v>63</v>
      </c>
      <c r="B64" s="65">
        <f>AgeStanSec!C64/B$3</f>
        <v>195.8</v>
      </c>
      <c r="C64" s="65">
        <f>AgeStanSec!D64/C$3</f>
        <v>197.33333333333334</v>
      </c>
      <c r="D64" s="65">
        <f>AgeStanSec!E64/D$3</f>
        <v>197.75138192953153</v>
      </c>
      <c r="E64" s="65">
        <f>AgeStanSec!F64/E$3</f>
        <v>199.625</v>
      </c>
      <c r="F64" s="65">
        <f>AgeStanSec!G64/F$3</f>
        <v>199.83297542352659</v>
      </c>
      <c r="G64" s="65">
        <f>AgeStanSec!H64/G$3</f>
        <v>201.4</v>
      </c>
      <c r="H64" s="65">
        <f>AgeStanSec!I64/H$3</f>
        <v>203</v>
      </c>
      <c r="I64" s="65">
        <f>AgeStanSec!J64/I$3</f>
        <v>204.86666666666667</v>
      </c>
      <c r="J64" s="65">
        <f>AgeStanSec!K64/J$3</f>
        <v>205.2389047959914</v>
      </c>
      <c r="K64" s="65">
        <f>AgeStanSec!L64/K$3</f>
        <v>207.55</v>
      </c>
      <c r="L64" s="65">
        <f>AgeStanSec!M64/L$3</f>
        <v>208.27112217087333</v>
      </c>
      <c r="M64" s="65">
        <f>AgeStanSec!N64/M$3</f>
        <v>209.04</v>
      </c>
      <c r="N64" s="65">
        <f>AgeStanSec!O64/N$3</f>
        <v>210.8</v>
      </c>
      <c r="O64" s="65">
        <f>AgeStanSec!P64/O$3</f>
        <v>217.13473160327052</v>
      </c>
      <c r="P64" s="65">
        <f>AgeStanSec!Q64/P$3</f>
        <v>223.38</v>
      </c>
      <c r="Q64" s="65">
        <f>AgeStanSec!R64/Q$3</f>
        <v>253.04720432673187</v>
      </c>
      <c r="R64" s="65">
        <f>AgeStanSec!S64/R$3</f>
        <v>270.48</v>
      </c>
      <c r="S64" s="65">
        <f>AgeStanSec!T64/S$3</f>
        <v>306.44666666666666</v>
      </c>
      <c r="T64" s="65">
        <f>AgeStanSec!U64/T$3</f>
        <v>313.0840889207031</v>
      </c>
      <c r="U64" s="65">
        <f>AgeStanSec!V64/U$3</f>
        <v>334.30500000000001</v>
      </c>
      <c r="V64" s="47"/>
    </row>
    <row r="65" spans="1:22">
      <c r="A65" s="64">
        <v>64</v>
      </c>
      <c r="B65" s="65">
        <f>AgeStanSec!C65/B$3</f>
        <v>197.6</v>
      </c>
      <c r="C65" s="65">
        <f>AgeStanSec!D65/C$3</f>
        <v>199.16666666666666</v>
      </c>
      <c r="D65" s="65">
        <f>AgeStanSec!E65/D$3</f>
        <v>199.61549550624352</v>
      </c>
      <c r="E65" s="65">
        <f>AgeStanSec!F65/E$3</f>
        <v>201.5</v>
      </c>
      <c r="F65" s="65">
        <f>AgeStanSec!G65/F$3</f>
        <v>201.69708900023861</v>
      </c>
      <c r="G65" s="65">
        <f>AgeStanSec!H65/G$3</f>
        <v>203.4</v>
      </c>
      <c r="H65" s="65">
        <f>AgeStanSec!I65/H$3</f>
        <v>205</v>
      </c>
      <c r="I65" s="65">
        <f>AgeStanSec!J65/I$3</f>
        <v>206.93333333333334</v>
      </c>
      <c r="J65" s="65">
        <f>AgeStanSec!K65/J$3</f>
        <v>207.22729261115086</v>
      </c>
      <c r="K65" s="65">
        <f>AgeStanSec!L65/K$3</f>
        <v>209.6</v>
      </c>
      <c r="L65" s="65">
        <f>AgeStanSec!M65/L$3</f>
        <v>210.40407631235928</v>
      </c>
      <c r="M65" s="65">
        <f>AgeStanSec!N65/M$3</f>
        <v>211.16</v>
      </c>
      <c r="N65" s="65">
        <f>AgeStanSec!O65/N$3</f>
        <v>212.96666666666667</v>
      </c>
      <c r="O65" s="65">
        <f>AgeStanSec!P65/O$3</f>
        <v>219.40988268752221</v>
      </c>
      <c r="P65" s="65">
        <f>AgeStanSec!Q65/P$3</f>
        <v>225.72</v>
      </c>
      <c r="Q65" s="65">
        <f>AgeStanSec!R65/Q$3</f>
        <v>255.70667302950767</v>
      </c>
      <c r="R65" s="65">
        <f>AgeStanSec!S65/R$3</f>
        <v>273.32</v>
      </c>
      <c r="S65" s="65">
        <f>AgeStanSec!T65/S$3</f>
        <v>309.66000000000003</v>
      </c>
      <c r="T65" s="65">
        <f>AgeStanSec!U65/T$3</f>
        <v>316.3711425276386</v>
      </c>
      <c r="U65" s="65">
        <f>AgeStanSec!V65/U$3</f>
        <v>337.81</v>
      </c>
      <c r="V65" s="47"/>
    </row>
    <row r="66" spans="1:22">
      <c r="A66" s="66">
        <v>65</v>
      </c>
      <c r="B66" s="67">
        <f>AgeStanSec!C66/B$3</f>
        <v>199.4</v>
      </c>
      <c r="C66" s="67">
        <f>AgeStanSec!D66/C$3</f>
        <v>201</v>
      </c>
      <c r="D66" s="67">
        <f>AgeStanSec!E66/D$3</f>
        <v>201.47960908295553</v>
      </c>
      <c r="E66" s="67">
        <f>AgeStanSec!F66/E$3</f>
        <v>203.375</v>
      </c>
      <c r="F66" s="67">
        <f>AgeStanSec!G66/F$3</f>
        <v>203.68547681539806</v>
      </c>
      <c r="G66" s="67">
        <f>AgeStanSec!H66/G$3</f>
        <v>205.4</v>
      </c>
      <c r="H66" s="67">
        <f>AgeStanSec!I66/H$3</f>
        <v>207</v>
      </c>
      <c r="I66" s="67">
        <f>AgeStanSec!J66/I$3</f>
        <v>209</v>
      </c>
      <c r="J66" s="67">
        <f>AgeStanSec!K66/J$3</f>
        <v>209.33995466475781</v>
      </c>
      <c r="K66" s="67">
        <f>AgeStanSec!L66/K$3</f>
        <v>211.75</v>
      </c>
      <c r="L66" s="67">
        <f>AgeStanSec!M66/L$3</f>
        <v>212.53703045384523</v>
      </c>
      <c r="M66" s="67">
        <f>AgeStanSec!N66/M$3</f>
        <v>213.36</v>
      </c>
      <c r="N66" s="67">
        <f>AgeStanSec!O66/N$3</f>
        <v>215.16666666666666</v>
      </c>
      <c r="O66" s="67">
        <f>AgeStanSec!P66/O$3</f>
        <v>221.73243275269581</v>
      </c>
      <c r="P66" s="67">
        <f>AgeStanSec!Q66/P$3</f>
        <v>228.12</v>
      </c>
      <c r="Q66" s="67">
        <f>AgeStanSec!R66/Q$3</f>
        <v>258.41585142766246</v>
      </c>
      <c r="R66" s="67">
        <f>AgeStanSec!S66/R$3</f>
        <v>276.22000000000003</v>
      </c>
      <c r="S66" s="67">
        <f>AgeStanSec!T66/S$3</f>
        <v>312.94666666666666</v>
      </c>
      <c r="T66" s="67">
        <f>AgeStanSec!U66/T$3</f>
        <v>319.72654696572016</v>
      </c>
      <c r="U66" s="67">
        <f>AgeStanSec!V66/U$3</f>
        <v>341.39499999999998</v>
      </c>
      <c r="V66" s="47"/>
    </row>
    <row r="67" spans="1:22">
      <c r="A67" s="64">
        <v>66</v>
      </c>
      <c r="B67" s="65">
        <f>AgeStanSec!C67/B$3</f>
        <v>201.2</v>
      </c>
      <c r="C67" s="65">
        <f>AgeStanSec!D67/C$3</f>
        <v>202.83333333333334</v>
      </c>
      <c r="D67" s="65">
        <f>AgeStanSec!E67/D$3</f>
        <v>203.34372265966752</v>
      </c>
      <c r="E67" s="65">
        <f>AgeStanSec!F67/E$3</f>
        <v>205.375</v>
      </c>
      <c r="F67" s="65">
        <f>AgeStanSec!G67/F$3</f>
        <v>205.67386463055752</v>
      </c>
      <c r="G67" s="65">
        <f>AgeStanSec!H67/G$3</f>
        <v>207.4</v>
      </c>
      <c r="H67" s="65">
        <f>AgeStanSec!I67/H$3</f>
        <v>209.08333333333334</v>
      </c>
      <c r="I67" s="65">
        <f>AgeStanSec!J67/I$3</f>
        <v>211.06666666666666</v>
      </c>
      <c r="J67" s="65">
        <f>AgeStanSec!K67/J$3</f>
        <v>211.45261671836474</v>
      </c>
      <c r="K67" s="65">
        <f>AgeStanSec!L67/K$3</f>
        <v>213.9</v>
      </c>
      <c r="L67" s="65">
        <f>AgeStanSec!M67/L$3</f>
        <v>214.66998459533119</v>
      </c>
      <c r="M67" s="65">
        <f>AgeStanSec!N67/M$3</f>
        <v>215.56</v>
      </c>
      <c r="N67" s="65">
        <f>AgeStanSec!O67/N$3</f>
        <v>217.43333333333334</v>
      </c>
      <c r="O67" s="65">
        <f>AgeStanSec!P67/O$3</f>
        <v>224.10238179879133</v>
      </c>
      <c r="P67" s="65">
        <f>AgeStanSec!Q67/P$3</f>
        <v>230.56</v>
      </c>
      <c r="Q67" s="65">
        <f>AgeStanSec!R67/Q$3</f>
        <v>261.18716694504093</v>
      </c>
      <c r="R67" s="65">
        <f>AgeStanSec!S67/R$3</f>
        <v>279.18</v>
      </c>
      <c r="S67" s="65">
        <f>AgeStanSec!T67/S$3</f>
        <v>316.3</v>
      </c>
      <c r="T67" s="65">
        <f>AgeStanSec!U67/T$3</f>
        <v>323.1503022349479</v>
      </c>
      <c r="U67" s="65">
        <f>AgeStanSec!V67/U$3</f>
        <v>345.05500000000001</v>
      </c>
      <c r="V67" s="47"/>
    </row>
    <row r="68" spans="1:22">
      <c r="A68" s="64">
        <v>67</v>
      </c>
      <c r="B68" s="65">
        <f>AgeStanSec!C68/B$3</f>
        <v>203.2</v>
      </c>
      <c r="C68" s="65">
        <f>AgeStanSec!D68/C$3</f>
        <v>204.83333333333334</v>
      </c>
      <c r="D68" s="65">
        <f>AgeStanSec!E68/D$3</f>
        <v>205.20783623637953</v>
      </c>
      <c r="E68" s="65">
        <f>AgeStanSec!F68/E$3</f>
        <v>207.375</v>
      </c>
      <c r="F68" s="65">
        <f>AgeStanSec!G68/F$3</f>
        <v>207.662252445717</v>
      </c>
      <c r="G68" s="65">
        <f>AgeStanSec!H68/G$3</f>
        <v>209.4</v>
      </c>
      <c r="H68" s="65">
        <f>AgeStanSec!I68/H$3</f>
        <v>211.16666666666666</v>
      </c>
      <c r="I68" s="65">
        <f>AgeStanSec!J68/I$3</f>
        <v>213.2</v>
      </c>
      <c r="J68" s="65">
        <f>AgeStanSec!K68/J$3</f>
        <v>213.56527877197166</v>
      </c>
      <c r="K68" s="65">
        <f>AgeStanSec!L68/K$3</f>
        <v>216.05</v>
      </c>
      <c r="L68" s="65">
        <f>AgeStanSec!M68/L$3</f>
        <v>216.89773669866096</v>
      </c>
      <c r="M68" s="65">
        <f>AgeStanSec!N68/M$3</f>
        <v>217.76</v>
      </c>
      <c r="N68" s="65">
        <f>AgeStanSec!O68/N$3</f>
        <v>219.7</v>
      </c>
      <c r="O68" s="65">
        <f>AgeStanSec!P68/O$3</f>
        <v>226.54342931626971</v>
      </c>
      <c r="P68" s="65">
        <f>AgeStanSec!Q68/P$3</f>
        <v>233.06</v>
      </c>
      <c r="Q68" s="65">
        <f>AgeStanSec!R68/Q$3</f>
        <v>264.02061958164319</v>
      </c>
      <c r="R68" s="65">
        <f>AgeStanSec!S68/R$3</f>
        <v>282.2</v>
      </c>
      <c r="S68" s="65">
        <f>AgeStanSec!T68/S$3</f>
        <v>319.72666666666669</v>
      </c>
      <c r="T68" s="65">
        <f>AgeStanSec!U68/T$3</f>
        <v>326.65483575916647</v>
      </c>
      <c r="U68" s="65">
        <f>AgeStanSec!V68/U$3</f>
        <v>348.79</v>
      </c>
      <c r="V68" s="47"/>
    </row>
    <row r="69" spans="1:22">
      <c r="A69" s="64">
        <v>68</v>
      </c>
      <c r="B69" s="65">
        <f>AgeStanSec!C69/B$3</f>
        <v>205</v>
      </c>
      <c r="C69" s="65">
        <f>AgeStanSec!D69/C$3</f>
        <v>206.66666666666666</v>
      </c>
      <c r="D69" s="65">
        <f>AgeStanSec!E69/D$3</f>
        <v>207.22729261115086</v>
      </c>
      <c r="E69" s="65">
        <f>AgeStanSec!F69/E$3</f>
        <v>209.375</v>
      </c>
      <c r="F69" s="65">
        <f>AgeStanSec!G69/F$3</f>
        <v>209.65064026087646</v>
      </c>
      <c r="G69" s="65">
        <f>AgeStanSec!H69/G$3</f>
        <v>211.5</v>
      </c>
      <c r="H69" s="65">
        <f>AgeStanSec!I69/H$3</f>
        <v>213.25</v>
      </c>
      <c r="I69" s="65">
        <f>AgeStanSec!J69/I$3</f>
        <v>215.4</v>
      </c>
      <c r="J69" s="65">
        <f>AgeStanSec!K69/J$3</f>
        <v>215.80221506402609</v>
      </c>
      <c r="K69" s="65">
        <f>AgeStanSec!L69/K$3</f>
        <v>218.3</v>
      </c>
      <c r="L69" s="65">
        <f>AgeStanSec!M69/L$3</f>
        <v>219.17288778291265</v>
      </c>
      <c r="M69" s="65">
        <f>AgeStanSec!N69/M$3</f>
        <v>220.08</v>
      </c>
      <c r="N69" s="65">
        <f>AgeStanSec!O69/N$3</f>
        <v>222.03333333333333</v>
      </c>
      <c r="O69" s="65">
        <f>AgeStanSec!P69/O$3</f>
        <v>229.00817632420902</v>
      </c>
      <c r="P69" s="65">
        <f>AgeStanSec!Q69/P$3</f>
        <v>235.6</v>
      </c>
      <c r="Q69" s="65">
        <f>AgeStanSec!R69/Q$3</f>
        <v>266.90378191362441</v>
      </c>
      <c r="R69" s="65">
        <f>AgeStanSec!S69/R$3</f>
        <v>285.29000000000002</v>
      </c>
      <c r="S69" s="65">
        <f>AgeStanSec!T69/S$3</f>
        <v>323.22666666666669</v>
      </c>
      <c r="T69" s="65">
        <f>AgeStanSec!U69/T$3</f>
        <v>330.22772011453111</v>
      </c>
      <c r="U69" s="65">
        <f>AgeStanSec!V69/U$3</f>
        <v>352.61</v>
      </c>
      <c r="V69" s="47"/>
    </row>
    <row r="70" spans="1:22">
      <c r="A70" s="64">
        <v>69</v>
      </c>
      <c r="B70" s="65">
        <f>AgeStanSec!C70/B$3</f>
        <v>207.2</v>
      </c>
      <c r="C70" s="65">
        <f>AgeStanSec!D70/C$3</f>
        <v>208.83333333333334</v>
      </c>
      <c r="D70" s="65">
        <f>AgeStanSec!E70/D$3</f>
        <v>209.40209178398155</v>
      </c>
      <c r="E70" s="65">
        <f>AgeStanSec!F70/E$3</f>
        <v>211.5</v>
      </c>
      <c r="F70" s="65">
        <f>AgeStanSec!G70/F$3</f>
        <v>211.76330231448341</v>
      </c>
      <c r="G70" s="65">
        <f>AgeStanSec!H70/G$3</f>
        <v>213.7</v>
      </c>
      <c r="H70" s="65">
        <f>AgeStanSec!I70/H$3</f>
        <v>215.5</v>
      </c>
      <c r="I70" s="65">
        <f>AgeStanSec!J70/I$3</f>
        <v>217.66666666666666</v>
      </c>
      <c r="J70" s="65">
        <f>AgeStanSec!K70/J$3</f>
        <v>218.03915135608048</v>
      </c>
      <c r="K70" s="65">
        <f>AgeStanSec!L70/K$3</f>
        <v>220.7</v>
      </c>
      <c r="L70" s="65">
        <f>AgeStanSec!M70/L$3</f>
        <v>221.54283682900817</v>
      </c>
      <c r="M70" s="65">
        <f>AgeStanSec!N70/M$3</f>
        <v>222.48</v>
      </c>
      <c r="N70" s="65">
        <f>AgeStanSec!O70/N$3</f>
        <v>224.46666666666667</v>
      </c>
      <c r="O70" s="65">
        <f>AgeStanSec!P70/O$3</f>
        <v>231.54402180353122</v>
      </c>
      <c r="P70" s="65">
        <f>AgeStanSec!Q70/P$3</f>
        <v>238.22</v>
      </c>
      <c r="Q70" s="65">
        <f>AgeStanSec!R70/Q$3</f>
        <v>269.86150878867414</v>
      </c>
      <c r="R70" s="65">
        <f>AgeStanSec!S70/R$3</f>
        <v>288.45</v>
      </c>
      <c r="S70" s="65">
        <f>AgeStanSec!T70/S$3</f>
        <v>326.80666666666667</v>
      </c>
      <c r="T70" s="65">
        <f>AgeStanSec!U70/T$3</f>
        <v>333.88759643680902</v>
      </c>
      <c r="U70" s="65">
        <f>AgeStanSec!V70/U$3</f>
        <v>356.51499999999999</v>
      </c>
      <c r="V70" s="47"/>
    </row>
    <row r="71" spans="1:22">
      <c r="A71" s="66">
        <v>70</v>
      </c>
      <c r="B71" s="67">
        <f>AgeStanSec!C71/B$3</f>
        <v>209.6</v>
      </c>
      <c r="C71" s="67">
        <f>AgeStanSec!D71/C$3</f>
        <v>211.16666666666666</v>
      </c>
      <c r="D71" s="67">
        <f>AgeStanSec!E71/D$3</f>
        <v>211.73223375487154</v>
      </c>
      <c r="E71" s="67">
        <f>AgeStanSec!F71/E$3</f>
        <v>213.75</v>
      </c>
      <c r="F71" s="67">
        <f>AgeStanSec!G71/F$3</f>
        <v>214.12451284498528</v>
      </c>
      <c r="G71" s="67">
        <f>AgeStanSec!H71/G$3</f>
        <v>215.9</v>
      </c>
      <c r="H71" s="67">
        <f>AgeStanSec!I71/H$3</f>
        <v>217.83333333333334</v>
      </c>
      <c r="I71" s="67">
        <f>AgeStanSec!J71/I$3</f>
        <v>220.06666666666666</v>
      </c>
      <c r="J71" s="67">
        <f>AgeStanSec!K71/J$3</f>
        <v>220.52463612502982</v>
      </c>
      <c r="K71" s="67">
        <f>AgeStanSec!L71/K$3</f>
        <v>223.25</v>
      </c>
      <c r="L71" s="67">
        <f>AgeStanSec!M71/L$3</f>
        <v>224.14978077971324</v>
      </c>
      <c r="M71" s="67">
        <f>AgeStanSec!N71/M$3</f>
        <v>225.08</v>
      </c>
      <c r="N71" s="67">
        <f>AgeStanSec!O71/N$3</f>
        <v>227.06666666666666</v>
      </c>
      <c r="O71" s="67">
        <f>AgeStanSec!P71/O$3</f>
        <v>234.1509657542363</v>
      </c>
      <c r="P71" s="67">
        <f>AgeStanSec!Q71/P$3</f>
        <v>240.88</v>
      </c>
      <c r="Q71" s="67">
        <f>AgeStanSec!R71/Q$3</f>
        <v>272.88137278294755</v>
      </c>
      <c r="R71" s="67">
        <f>AgeStanSec!S71/R$3</f>
        <v>291.68</v>
      </c>
      <c r="S71" s="67">
        <f>AgeStanSec!T71/S$3</f>
        <v>330.46666666666664</v>
      </c>
      <c r="T71" s="67">
        <f>AgeStanSec!U71/T$3</f>
        <v>337.62825101407776</v>
      </c>
      <c r="U71" s="67">
        <f>AgeStanSec!V71/U$3</f>
        <v>360.51</v>
      </c>
      <c r="V71" s="47"/>
    </row>
    <row r="72" spans="1:22">
      <c r="A72" s="64">
        <v>71</v>
      </c>
      <c r="B72" s="65">
        <f>AgeStanSec!C72/B$3</f>
        <v>212.2</v>
      </c>
      <c r="C72" s="65">
        <f>AgeStanSec!D72/C$3</f>
        <v>213.66666666666666</v>
      </c>
      <c r="D72" s="65">
        <f>AgeStanSec!E72/D$3</f>
        <v>214.21771852382088</v>
      </c>
      <c r="E72" s="65">
        <f>AgeStanSec!F72/E$3</f>
        <v>216.25</v>
      </c>
      <c r="F72" s="65">
        <f>AgeStanSec!G72/F$3</f>
        <v>216.48572337548714</v>
      </c>
      <c r="G72" s="65">
        <f>AgeStanSec!H72/G$3</f>
        <v>218.2</v>
      </c>
      <c r="H72" s="65">
        <f>AgeStanSec!I72/H$3</f>
        <v>220.25</v>
      </c>
      <c r="I72" s="65">
        <f>AgeStanSec!J72/I$3</f>
        <v>222.66666666666666</v>
      </c>
      <c r="J72" s="65">
        <f>AgeStanSec!K72/J$3</f>
        <v>223.19653225165035</v>
      </c>
      <c r="K72" s="65">
        <f>AgeStanSec!L72/K$3</f>
        <v>226.1</v>
      </c>
      <c r="L72" s="65">
        <f>AgeStanSec!M72/L$3</f>
        <v>227.04111861594976</v>
      </c>
      <c r="M72" s="65">
        <f>AgeStanSec!N72/M$3</f>
        <v>227.88</v>
      </c>
      <c r="N72" s="65">
        <f>AgeStanSec!O72/N$3</f>
        <v>229.83333333333334</v>
      </c>
      <c r="O72" s="65">
        <f>AgeStanSec!P72/O$3</f>
        <v>236.80530868586325</v>
      </c>
      <c r="P72" s="65">
        <f>AgeStanSec!Q72/P$3</f>
        <v>243.62</v>
      </c>
      <c r="Q72" s="65">
        <f>AgeStanSec!R72/Q$3</f>
        <v>275.97580132028946</v>
      </c>
      <c r="R72" s="65">
        <f>AgeStanSec!S72/R$3</f>
        <v>294.99</v>
      </c>
      <c r="S72" s="65">
        <f>AgeStanSec!T72/S$3</f>
        <v>334.20666666666665</v>
      </c>
      <c r="T72" s="65">
        <f>AgeStanSec!U72/T$3</f>
        <v>341.44968384633739</v>
      </c>
      <c r="U72" s="65">
        <f>AgeStanSec!V72/U$3</f>
        <v>364.59</v>
      </c>
      <c r="V72" s="47"/>
    </row>
    <row r="73" spans="1:22">
      <c r="A73" s="64">
        <v>72</v>
      </c>
      <c r="B73" s="65">
        <f>AgeStanSec!C73/B$3</f>
        <v>215</v>
      </c>
      <c r="C73" s="65">
        <f>AgeStanSec!D73/C$3</f>
        <v>216.5</v>
      </c>
      <c r="D73" s="65">
        <f>AgeStanSec!E73/D$3</f>
        <v>216.85854609082955</v>
      </c>
      <c r="E73" s="65">
        <f>AgeStanSec!F73/E$3</f>
        <v>218.875</v>
      </c>
      <c r="F73" s="65">
        <f>AgeStanSec!G73/F$3</f>
        <v>219.21975662133141</v>
      </c>
      <c r="G73" s="65">
        <f>AgeStanSec!H73/G$3</f>
        <v>220.8</v>
      </c>
      <c r="H73" s="65">
        <f>AgeStanSec!I73/H$3</f>
        <v>223</v>
      </c>
      <c r="I73" s="65">
        <f>AgeStanSec!J73/I$3</f>
        <v>225.6</v>
      </c>
      <c r="J73" s="65">
        <f>AgeStanSec!K73/J$3</f>
        <v>226.17911397438954</v>
      </c>
      <c r="K73" s="65">
        <f>AgeStanSec!L73/K$3</f>
        <v>229.2</v>
      </c>
      <c r="L73" s="65">
        <f>AgeStanSec!M73/L$3</f>
        <v>230.16945135679583</v>
      </c>
      <c r="M73" s="65">
        <f>AgeStanSec!N73/M$3</f>
        <v>230.96</v>
      </c>
      <c r="N73" s="65">
        <f>AgeStanSec!O73/N$3</f>
        <v>232.83333333333334</v>
      </c>
      <c r="O73" s="65">
        <f>AgeStanSec!P73/O$3</f>
        <v>239.67294703163881</v>
      </c>
      <c r="P73" s="65">
        <f>AgeStanSec!Q73/P$3</f>
        <v>246.58</v>
      </c>
      <c r="Q73" s="65">
        <f>AgeStanSec!R73/Q$3</f>
        <v>279.33120575837108</v>
      </c>
      <c r="R73" s="65">
        <f>AgeStanSec!S73/R$3</f>
        <v>298.57</v>
      </c>
      <c r="S73" s="65">
        <f>AgeStanSec!T73/S$3</f>
        <v>338.27333333333331</v>
      </c>
      <c r="T73" s="65">
        <f>AgeStanSec!U73/T$3</f>
        <v>345.60044341048274</v>
      </c>
      <c r="U73" s="65">
        <f>AgeStanSec!V73/U$3</f>
        <v>369.02499999999998</v>
      </c>
      <c r="V73" s="47"/>
    </row>
    <row r="74" spans="1:22">
      <c r="A74" s="64">
        <v>73</v>
      </c>
      <c r="B74" s="65">
        <f>AgeStanSec!C74/B$3</f>
        <v>218</v>
      </c>
      <c r="C74" s="65">
        <f>AgeStanSec!D74/C$3</f>
        <v>219.5</v>
      </c>
      <c r="D74" s="65">
        <f>AgeStanSec!E74/D$3</f>
        <v>219.9654020520162</v>
      </c>
      <c r="E74" s="65">
        <f>AgeStanSec!F74/E$3</f>
        <v>221.875</v>
      </c>
      <c r="F74" s="65">
        <f>AgeStanSec!G74/F$3</f>
        <v>222.07806410562316</v>
      </c>
      <c r="G74" s="65">
        <f>AgeStanSec!H74/G$3</f>
        <v>223.7</v>
      </c>
      <c r="H74" s="65">
        <f>AgeStanSec!I74/H$3</f>
        <v>226</v>
      </c>
      <c r="I74" s="65">
        <f>AgeStanSec!J74/I$3</f>
        <v>228.8</v>
      </c>
      <c r="J74" s="65">
        <f>AgeStanSec!K74/J$3</f>
        <v>229.41024417402369</v>
      </c>
      <c r="K74" s="65">
        <f>AgeStanSec!L74/K$3</f>
        <v>232.7</v>
      </c>
      <c r="L74" s="65">
        <f>AgeStanSec!M74/L$3</f>
        <v>233.72437492593909</v>
      </c>
      <c r="M74" s="65">
        <f>AgeStanSec!N74/M$3</f>
        <v>234.44</v>
      </c>
      <c r="N74" s="65">
        <f>AgeStanSec!O74/N$3</f>
        <v>236.16666666666666</v>
      </c>
      <c r="O74" s="65">
        <f>AgeStanSec!P74/O$3</f>
        <v>242.94347671525063</v>
      </c>
      <c r="P74" s="65">
        <f>AgeStanSec!Q74/P$3</f>
        <v>249.92</v>
      </c>
      <c r="Q74" s="65">
        <f>AgeStanSec!R74/Q$3</f>
        <v>283.13399745486356</v>
      </c>
      <c r="R74" s="65">
        <f>AgeStanSec!S74/R$3</f>
        <v>302.64</v>
      </c>
      <c r="S74" s="65">
        <f>AgeStanSec!T74/S$3</f>
        <v>342.87333333333333</v>
      </c>
      <c r="T74" s="65">
        <f>AgeStanSec!U74/T$3</f>
        <v>350.30422333571937</v>
      </c>
      <c r="U74" s="65">
        <f>AgeStanSec!V74/U$3</f>
        <v>374.04500000000002</v>
      </c>
      <c r="V74" s="47"/>
    </row>
    <row r="75" spans="1:22">
      <c r="A75" s="64">
        <v>74</v>
      </c>
      <c r="B75" s="65">
        <f>AgeStanSec!C75/B$3</f>
        <v>221.4</v>
      </c>
      <c r="C75" s="65">
        <f>AgeStanSec!D75/C$3</f>
        <v>222.83333333333334</v>
      </c>
      <c r="D75" s="65">
        <f>AgeStanSec!E75/D$3</f>
        <v>223.22760081126222</v>
      </c>
      <c r="E75" s="65">
        <f>AgeStanSec!F75/E$3</f>
        <v>225</v>
      </c>
      <c r="F75" s="65">
        <f>AgeStanSec!G75/F$3</f>
        <v>225.30919430525728</v>
      </c>
      <c r="G75" s="65">
        <f>AgeStanSec!H75/G$3</f>
        <v>226.8</v>
      </c>
      <c r="H75" s="65">
        <f>AgeStanSec!I75/H$3</f>
        <v>229.33333333333334</v>
      </c>
      <c r="I75" s="65">
        <f>AgeStanSec!J75/I$3</f>
        <v>232.33333333333334</v>
      </c>
      <c r="J75" s="65">
        <f>AgeStanSec!K75/J$3</f>
        <v>232.95205996977649</v>
      </c>
      <c r="K75" s="65">
        <f>AgeStanSec!L75/K$3</f>
        <v>236.45</v>
      </c>
      <c r="L75" s="65">
        <f>AgeStanSec!M75/L$3</f>
        <v>237.56369238061382</v>
      </c>
      <c r="M75" s="65">
        <f>AgeStanSec!N75/M$3</f>
        <v>238.16</v>
      </c>
      <c r="N75" s="65">
        <f>AgeStanSec!O75/N$3</f>
        <v>239.83333333333334</v>
      </c>
      <c r="O75" s="65">
        <f>AgeStanSec!P75/O$3</f>
        <v>246.56949875577675</v>
      </c>
      <c r="P75" s="65">
        <f>AgeStanSec!Q75/P$3</f>
        <v>253.66</v>
      </c>
      <c r="Q75" s="65">
        <f>AgeStanSec!R75/Q$3</f>
        <v>287.35932156207747</v>
      </c>
      <c r="R75" s="65">
        <f>AgeStanSec!S75/R$3</f>
        <v>307.16000000000003</v>
      </c>
      <c r="S75" s="65">
        <f>AgeStanSec!T75/S$3</f>
        <v>348</v>
      </c>
      <c r="T75" s="65">
        <f>AgeStanSec!U75/T$3</f>
        <v>355.54238248628008</v>
      </c>
      <c r="U75" s="65">
        <f>AgeStanSec!V75/U$3</f>
        <v>379.64</v>
      </c>
      <c r="V75" s="47"/>
    </row>
    <row r="76" spans="1:22">
      <c r="A76" s="66">
        <v>75</v>
      </c>
      <c r="B76" s="67">
        <f>AgeStanSec!C76/B$3</f>
        <v>225</v>
      </c>
      <c r="C76" s="67">
        <f>AgeStanSec!D76/C$3</f>
        <v>226.5</v>
      </c>
      <c r="D76" s="67">
        <f>AgeStanSec!E76/D$3</f>
        <v>226.80048516662688</v>
      </c>
      <c r="E76" s="67">
        <f>AgeStanSec!F76/E$3</f>
        <v>228.625</v>
      </c>
      <c r="F76" s="67">
        <f>AgeStanSec!G76/F$3</f>
        <v>228.91314722023381</v>
      </c>
      <c r="G76" s="67">
        <f>AgeStanSec!H76/G$3</f>
        <v>230.3</v>
      </c>
      <c r="H76" s="67">
        <f>AgeStanSec!I76/H$3</f>
        <v>233</v>
      </c>
      <c r="I76" s="67">
        <f>AgeStanSec!J76/I$3</f>
        <v>236.2</v>
      </c>
      <c r="J76" s="67">
        <f>AgeStanSec!K76/J$3</f>
        <v>236.92883560009543</v>
      </c>
      <c r="K76" s="67">
        <f>AgeStanSec!L76/K$3</f>
        <v>240.65</v>
      </c>
      <c r="L76" s="67">
        <f>AgeStanSec!M76/L$3</f>
        <v>241.78220168266381</v>
      </c>
      <c r="M76" s="67">
        <f>AgeStanSec!N76/M$3</f>
        <v>242.28</v>
      </c>
      <c r="N76" s="67">
        <f>AgeStanSec!O76/N$3</f>
        <v>243.93333333333334</v>
      </c>
      <c r="O76" s="67">
        <f>AgeStanSec!P76/O$3</f>
        <v>250.59841213413912</v>
      </c>
      <c r="P76" s="67">
        <f>AgeStanSec!Q76/P$3</f>
        <v>257.82</v>
      </c>
      <c r="Q76" s="67">
        <f>AgeStanSec!R76/Q$3</f>
        <v>292.06931519923643</v>
      </c>
      <c r="R76" s="67">
        <f>AgeStanSec!S76/R$3</f>
        <v>312.19</v>
      </c>
      <c r="S76" s="67">
        <f>AgeStanSec!T76/S$3</f>
        <v>353.7</v>
      </c>
      <c r="T76" s="67">
        <f>AgeStanSec!U76/T$3</f>
        <v>361.36463055754393</v>
      </c>
      <c r="U76" s="67">
        <f>AgeStanSec!V76/U$3</f>
        <v>385.85</v>
      </c>
      <c r="V76" s="47"/>
    </row>
    <row r="77" spans="1:22">
      <c r="A77" s="64">
        <v>76</v>
      </c>
      <c r="B77" s="65">
        <f>AgeStanSec!C77/B$3</f>
        <v>229</v>
      </c>
      <c r="C77" s="65">
        <f>AgeStanSec!D77/C$3</f>
        <v>230.33333333333334</v>
      </c>
      <c r="D77" s="65">
        <f>AgeStanSec!E77/D$3</f>
        <v>230.68405511811022</v>
      </c>
      <c r="E77" s="65">
        <f>AgeStanSec!F77/E$3</f>
        <v>232.5</v>
      </c>
      <c r="F77" s="65">
        <f>AgeStanSec!G77/F$3</f>
        <v>232.76564861210528</v>
      </c>
      <c r="G77" s="65">
        <f>AgeStanSec!H77/G$3</f>
        <v>234.1</v>
      </c>
      <c r="H77" s="65">
        <f>AgeStanSec!I77/H$3</f>
        <v>237</v>
      </c>
      <c r="I77" s="65">
        <f>AgeStanSec!J77/I$3</f>
        <v>240.4</v>
      </c>
      <c r="J77" s="65">
        <f>AgeStanSec!K77/J$3</f>
        <v>241.21629682653304</v>
      </c>
      <c r="K77" s="65">
        <f>AgeStanSec!L77/K$3</f>
        <v>245.2</v>
      </c>
      <c r="L77" s="65">
        <f>AgeStanSec!M77/L$3</f>
        <v>246.3799028320891</v>
      </c>
      <c r="M77" s="65">
        <f>AgeStanSec!N77/M$3</f>
        <v>246.88</v>
      </c>
      <c r="N77" s="65">
        <f>AgeStanSec!O77/N$3</f>
        <v>248.46666666666667</v>
      </c>
      <c r="O77" s="65">
        <f>AgeStanSec!P77/O$3</f>
        <v>255.12501481218155</v>
      </c>
      <c r="P77" s="65">
        <f>AgeStanSec!Q77/P$3</f>
        <v>262.45999999999998</v>
      </c>
      <c r="Q77" s="65">
        <f>AgeStanSec!R77/Q$3</f>
        <v>297.32611548556429</v>
      </c>
      <c r="R77" s="65">
        <f>AgeStanSec!S77/R$3</f>
        <v>317.81</v>
      </c>
      <c r="S77" s="65">
        <f>AgeStanSec!T77/S$3</f>
        <v>360.06666666666666</v>
      </c>
      <c r="T77" s="65">
        <f>AgeStanSec!U77/T$3</f>
        <v>367.86417322834643</v>
      </c>
      <c r="U77" s="65">
        <f>AgeStanSec!V77/U$3</f>
        <v>392.8</v>
      </c>
      <c r="V77" s="47"/>
    </row>
    <row r="78" spans="1:22">
      <c r="A78" s="64">
        <v>77</v>
      </c>
      <c r="B78" s="65">
        <f>AgeStanSec!C78/B$3</f>
        <v>233.4</v>
      </c>
      <c r="C78" s="65">
        <f>AgeStanSec!D78/C$3</f>
        <v>234.66666666666666</v>
      </c>
      <c r="D78" s="65">
        <f>AgeStanSec!E78/D$3</f>
        <v>235.03365346377157</v>
      </c>
      <c r="E78" s="65">
        <f>AgeStanSec!F78/E$3</f>
        <v>236.625</v>
      </c>
      <c r="F78" s="65">
        <f>AgeStanSec!G78/F$3</f>
        <v>236.99097271931916</v>
      </c>
      <c r="G78" s="65">
        <f>AgeStanSec!H78/G$3</f>
        <v>238.3</v>
      </c>
      <c r="H78" s="65">
        <f>AgeStanSec!I78/H$3</f>
        <v>241.33333333333334</v>
      </c>
      <c r="I78" s="65">
        <f>AgeStanSec!J78/I$3</f>
        <v>245.06666666666666</v>
      </c>
      <c r="J78" s="65">
        <f>AgeStanSec!K78/J$3</f>
        <v>245.93871788753677</v>
      </c>
      <c r="K78" s="65">
        <f>AgeStanSec!L78/K$3</f>
        <v>250.2</v>
      </c>
      <c r="L78" s="65">
        <f>AgeStanSec!M78/L$3</f>
        <v>251.45159379073351</v>
      </c>
      <c r="M78" s="65">
        <f>AgeStanSec!N78/M$3</f>
        <v>251.92</v>
      </c>
      <c r="N78" s="65">
        <f>AgeStanSec!O78/N$3</f>
        <v>253.46666666666667</v>
      </c>
      <c r="O78" s="65">
        <f>AgeStanSec!P78/O$3</f>
        <v>260.10190780898211</v>
      </c>
      <c r="P78" s="65">
        <f>AgeStanSec!Q78/P$3</f>
        <v>267.60000000000002</v>
      </c>
      <c r="Q78" s="65">
        <f>AgeStanSec!R78/Q$3</f>
        <v>303.1421498449057</v>
      </c>
      <c r="R78" s="65">
        <f>AgeStanSec!S78/R$3</f>
        <v>324.02999999999997</v>
      </c>
      <c r="S78" s="65">
        <f>AgeStanSec!T78/S$3</f>
        <v>367.11333333333334</v>
      </c>
      <c r="T78" s="65">
        <f>AgeStanSec!U78/T$3</f>
        <v>375.06586534637711</v>
      </c>
      <c r="U78" s="65">
        <f>AgeStanSec!V78/U$3</f>
        <v>400.48500000000001</v>
      </c>
      <c r="V78" s="47"/>
    </row>
    <row r="79" spans="1:22">
      <c r="A79" s="64">
        <v>78</v>
      </c>
      <c r="B79" s="65">
        <f>AgeStanSec!C79/B$3</f>
        <v>238.2</v>
      </c>
      <c r="C79" s="65">
        <f>AgeStanSec!D79/C$3</f>
        <v>239.5</v>
      </c>
      <c r="D79" s="65">
        <f>AgeStanSec!E79/D$3</f>
        <v>239.69393740555157</v>
      </c>
      <c r="E79" s="65">
        <f>AgeStanSec!F79/E$3</f>
        <v>241.375</v>
      </c>
      <c r="F79" s="65">
        <f>AgeStanSec!G79/F$3</f>
        <v>241.58911954187542</v>
      </c>
      <c r="G79" s="65">
        <f>AgeStanSec!H79/G$3</f>
        <v>242.9</v>
      </c>
      <c r="H79" s="65">
        <f>AgeStanSec!I79/H$3</f>
        <v>246.16666666666666</v>
      </c>
      <c r="I79" s="65">
        <f>AgeStanSec!J79/I$3</f>
        <v>250.13333333333333</v>
      </c>
      <c r="J79" s="65">
        <f>AgeStanSec!K79/J$3</f>
        <v>251.09609878310664</v>
      </c>
      <c r="K79" s="65">
        <f>AgeStanSec!L79/K$3</f>
        <v>255.65</v>
      </c>
      <c r="L79" s="65">
        <f>AgeStanSec!M79/L$3</f>
        <v>256.99727455859698</v>
      </c>
      <c r="M79" s="65">
        <f>AgeStanSec!N79/M$3</f>
        <v>257.39999999999998</v>
      </c>
      <c r="N79" s="65">
        <f>AgeStanSec!O79/N$3</f>
        <v>258.93333333333334</v>
      </c>
      <c r="O79" s="65">
        <f>AgeStanSec!P79/O$3</f>
        <v>265.62388908638462</v>
      </c>
      <c r="P79" s="65">
        <f>AgeStanSec!Q79/P$3</f>
        <v>273.27999999999997</v>
      </c>
      <c r="Q79" s="65">
        <f>AgeStanSec!R79/Q$3</f>
        <v>309.57955539648452</v>
      </c>
      <c r="R79" s="65">
        <f>AgeStanSec!S79/R$3</f>
        <v>330.91</v>
      </c>
      <c r="S79" s="65">
        <f>AgeStanSec!T79/S$3</f>
        <v>374.9</v>
      </c>
      <c r="T79" s="65">
        <f>AgeStanSec!U79/T$3</f>
        <v>383.02563031893737</v>
      </c>
      <c r="U79" s="65">
        <f>AgeStanSec!V79/U$3</f>
        <v>408.98500000000001</v>
      </c>
      <c r="V79" s="47"/>
    </row>
    <row r="80" spans="1:22">
      <c r="A80" s="64">
        <v>79</v>
      </c>
      <c r="B80" s="65">
        <f>AgeStanSec!C80/B$3</f>
        <v>243.4</v>
      </c>
      <c r="C80" s="65">
        <f>AgeStanSec!D80/C$3</f>
        <v>244.5</v>
      </c>
      <c r="D80" s="65">
        <f>AgeStanSec!E80/D$3</f>
        <v>244.82024974150957</v>
      </c>
      <c r="E80" s="65">
        <f>AgeStanSec!F80/E$3</f>
        <v>246.375</v>
      </c>
      <c r="F80" s="65">
        <f>AgeStanSec!G80/F$3</f>
        <v>246.68436331822156</v>
      </c>
      <c r="G80" s="65">
        <f>AgeStanSec!H80/G$3</f>
        <v>248</v>
      </c>
      <c r="H80" s="65">
        <f>AgeStanSec!I80/H$3</f>
        <v>251.5</v>
      </c>
      <c r="I80" s="65">
        <f>AgeStanSec!J80/I$3</f>
        <v>255.73333333333332</v>
      </c>
      <c r="J80" s="65">
        <f>AgeStanSec!K80/J$3</f>
        <v>256.75057663246639</v>
      </c>
      <c r="K80" s="65">
        <f>AgeStanSec!L80/K$3</f>
        <v>261.64999999999998</v>
      </c>
      <c r="L80" s="65">
        <f>AgeStanSec!M80/L$3</f>
        <v>263.06434411660149</v>
      </c>
      <c r="M80" s="65">
        <f>AgeStanSec!N80/M$3</f>
        <v>263.48</v>
      </c>
      <c r="N80" s="65">
        <f>AgeStanSec!O80/N$3</f>
        <v>265</v>
      </c>
      <c r="O80" s="65">
        <f>AgeStanSec!P80/O$3</f>
        <v>271.78575660623295</v>
      </c>
      <c r="P80" s="65">
        <f>AgeStanSec!Q80/P$3</f>
        <v>279.60000000000002</v>
      </c>
      <c r="Q80" s="65">
        <f>AgeStanSec!R80/Q$3</f>
        <v>316.73775153105862</v>
      </c>
      <c r="R80" s="65">
        <f>AgeStanSec!S80/R$3</f>
        <v>338.56</v>
      </c>
      <c r="S80" s="65">
        <f>AgeStanSec!T80/S$3</f>
        <v>383.58</v>
      </c>
      <c r="T80" s="65">
        <f>AgeStanSec!U80/T$3</f>
        <v>391.89259723216412</v>
      </c>
      <c r="U80" s="65">
        <f>AgeStanSec!V80/U$3</f>
        <v>418.45</v>
      </c>
      <c r="V80" s="47"/>
    </row>
    <row r="81" spans="1:22">
      <c r="A81" s="66">
        <v>80</v>
      </c>
      <c r="B81" s="67">
        <f>AgeStanSec!C81/B$3</f>
        <v>249</v>
      </c>
      <c r="C81" s="67">
        <f>AgeStanSec!D81/C$3</f>
        <v>250.16666666666666</v>
      </c>
      <c r="D81" s="67">
        <f>AgeStanSec!E81/D$3</f>
        <v>250.41259047164559</v>
      </c>
      <c r="E81" s="67">
        <f>AgeStanSec!F81/E$3</f>
        <v>252</v>
      </c>
      <c r="F81" s="67">
        <f>AgeStanSec!G81/F$3</f>
        <v>252.27670404835757</v>
      </c>
      <c r="G81" s="67">
        <f>AgeStanSec!H81/G$3</f>
        <v>253.5</v>
      </c>
      <c r="H81" s="67">
        <f>AgeStanSec!I81/H$3</f>
        <v>257.58333333333331</v>
      </c>
      <c r="I81" s="67">
        <f>AgeStanSec!J81/I$3</f>
        <v>261.86666666666667</v>
      </c>
      <c r="J81" s="67">
        <f>AgeStanSec!K81/J$3</f>
        <v>263.02642567406343</v>
      </c>
      <c r="K81" s="67">
        <f>AgeStanSec!L81/K$3</f>
        <v>268.25</v>
      </c>
      <c r="L81" s="67">
        <f>AgeStanSec!M81/L$3</f>
        <v>269.79499940751276</v>
      </c>
      <c r="M81" s="67">
        <f>AgeStanSec!N81/M$3</f>
        <v>270.12</v>
      </c>
      <c r="N81" s="67">
        <f>AgeStanSec!O81/N$3</f>
        <v>271.7</v>
      </c>
      <c r="O81" s="67">
        <f>AgeStanSec!P81/O$3</f>
        <v>278.58751036852709</v>
      </c>
      <c r="P81" s="67">
        <f>AgeStanSec!Q81/P$3</f>
        <v>286.60000000000002</v>
      </c>
      <c r="Q81" s="67">
        <f>AgeStanSec!R81/Q$3</f>
        <v>324.66644794400696</v>
      </c>
      <c r="R81" s="67">
        <f>AgeStanSec!S81/R$3</f>
        <v>347.03</v>
      </c>
      <c r="S81" s="67">
        <f>AgeStanSec!T81/S$3</f>
        <v>393.17333333333335</v>
      </c>
      <c r="T81" s="67">
        <f>AgeStanSec!U81/T$3</f>
        <v>401.69783464566927</v>
      </c>
      <c r="U81" s="67">
        <f>AgeStanSec!V81/U$3</f>
        <v>428.92</v>
      </c>
      <c r="V81" s="47"/>
    </row>
    <row r="82" spans="1:22">
      <c r="A82" s="64">
        <v>81</v>
      </c>
      <c r="B82" s="65">
        <f>AgeStanSec!C82/B$3</f>
        <v>255.2</v>
      </c>
      <c r="C82" s="65">
        <f>AgeStanSec!D82/C$3</f>
        <v>256.33333333333331</v>
      </c>
      <c r="D82" s="65">
        <f>AgeStanSec!E82/D$3</f>
        <v>256.62630239401892</v>
      </c>
      <c r="E82" s="65">
        <f>AgeStanSec!F82/E$3</f>
        <v>258</v>
      </c>
      <c r="F82" s="65">
        <f>AgeStanSec!G82/F$3</f>
        <v>258.36614173228344</v>
      </c>
      <c r="G82" s="65">
        <f>AgeStanSec!H82/G$3</f>
        <v>259.5</v>
      </c>
      <c r="H82" s="65">
        <f>AgeStanSec!I82/H$3</f>
        <v>263.58333333333331</v>
      </c>
      <c r="I82" s="65">
        <f>AgeStanSec!J82/I$3</f>
        <v>268.60000000000002</v>
      </c>
      <c r="J82" s="65">
        <f>AgeStanSec!K82/J$3</f>
        <v>269.86150878867414</v>
      </c>
      <c r="K82" s="65">
        <f>AgeStanSec!L82/K$3</f>
        <v>275.5</v>
      </c>
      <c r="L82" s="65">
        <f>AgeStanSec!M82/L$3</f>
        <v>277.14184145040883</v>
      </c>
      <c r="M82" s="65">
        <f>AgeStanSec!N82/M$3</f>
        <v>277.52</v>
      </c>
      <c r="N82" s="65">
        <f>AgeStanSec!O82/N$3</f>
        <v>279.10000000000002</v>
      </c>
      <c r="O82" s="65">
        <f>AgeStanSec!P82/O$3</f>
        <v>286.14764782557177</v>
      </c>
      <c r="P82" s="65">
        <f>AgeStanSec!Q82/P$3</f>
        <v>294.39999999999998</v>
      </c>
      <c r="Q82" s="65">
        <f>AgeStanSec!R82/Q$3</f>
        <v>333.50234629762184</v>
      </c>
      <c r="R82" s="65">
        <f>AgeStanSec!S82/R$3</f>
        <v>356.48</v>
      </c>
      <c r="S82" s="65">
        <f>AgeStanSec!T82/S$3</f>
        <v>403.87333333333333</v>
      </c>
      <c r="T82" s="65">
        <f>AgeStanSec!U82/T$3</f>
        <v>412.6215402052016</v>
      </c>
      <c r="U82" s="65">
        <f>AgeStanSec!V82/U$3</f>
        <v>440.58499999999998</v>
      </c>
      <c r="V82" s="47"/>
    </row>
    <row r="83" spans="1:22">
      <c r="A83" s="64">
        <v>82</v>
      </c>
      <c r="B83" s="65">
        <f>AgeStanSec!C83/B$3</f>
        <v>261.8</v>
      </c>
      <c r="C83" s="65">
        <f>AgeStanSec!D83/C$3</f>
        <v>263</v>
      </c>
      <c r="D83" s="65">
        <f>AgeStanSec!E83/D$3</f>
        <v>263.30604271057024</v>
      </c>
      <c r="E83" s="65">
        <f>AgeStanSec!F83/E$3</f>
        <v>264.75</v>
      </c>
      <c r="F83" s="65">
        <f>AgeStanSec!G83/F$3</f>
        <v>265.07695060844668</v>
      </c>
      <c r="G83" s="65">
        <f>AgeStanSec!H83/G$3</f>
        <v>266.2</v>
      </c>
      <c r="H83" s="65">
        <f>AgeStanSec!I83/H$3</f>
        <v>270.58333333333331</v>
      </c>
      <c r="I83" s="65">
        <f>AgeStanSec!J83/I$3</f>
        <v>276</v>
      </c>
      <c r="J83" s="65">
        <f>AgeStanSec!K83/J$3</f>
        <v>277.38010021474588</v>
      </c>
      <c r="K83" s="65">
        <f>AgeStanSec!L83/K$3</f>
        <v>283.5</v>
      </c>
      <c r="L83" s="65">
        <f>AgeStanSec!M83/L$3</f>
        <v>285.24706718805544</v>
      </c>
      <c r="M83" s="65">
        <f>AgeStanSec!N83/M$3</f>
        <v>285.68</v>
      </c>
      <c r="N83" s="65">
        <f>AgeStanSec!O83/N$3</f>
        <v>287.3</v>
      </c>
      <c r="O83" s="65">
        <f>AgeStanSec!P83/O$3</f>
        <v>294.5609669392108</v>
      </c>
      <c r="P83" s="65">
        <f>AgeStanSec!Q83/P$3</f>
        <v>303.04000000000002</v>
      </c>
      <c r="Q83" s="65">
        <f>AgeStanSec!R83/Q$3</f>
        <v>343.29515628728223</v>
      </c>
      <c r="R83" s="65">
        <f>AgeStanSec!S83/R$3</f>
        <v>366.95</v>
      </c>
      <c r="S83" s="65">
        <f>AgeStanSec!T83/S$3</f>
        <v>415.73333333333335</v>
      </c>
      <c r="T83" s="65">
        <f>AgeStanSec!U83/T$3</f>
        <v>424.74449216575198</v>
      </c>
      <c r="U83" s="65">
        <f>AgeStanSec!V83/U$3</f>
        <v>453.53</v>
      </c>
      <c r="V83" s="47"/>
    </row>
    <row r="84" spans="1:22">
      <c r="A84" s="64">
        <v>83</v>
      </c>
      <c r="B84" s="65">
        <f>AgeStanSec!C84/B$3</f>
        <v>269.2</v>
      </c>
      <c r="C84" s="65">
        <f>AgeStanSec!D84/C$3</f>
        <v>270.33333333333331</v>
      </c>
      <c r="D84" s="65">
        <f>AgeStanSec!E84/D$3</f>
        <v>270.6071542193589</v>
      </c>
      <c r="E84" s="65">
        <f>AgeStanSec!F84/E$3</f>
        <v>272.125</v>
      </c>
      <c r="F84" s="65">
        <f>AgeStanSec!G84/F$3</f>
        <v>272.40913067684721</v>
      </c>
      <c r="G84" s="65">
        <f>AgeStanSec!H84/G$3</f>
        <v>273.5</v>
      </c>
      <c r="H84" s="65">
        <f>AgeStanSec!I84/H$3</f>
        <v>278.25</v>
      </c>
      <c r="I84" s="65">
        <f>AgeStanSec!J84/I$3</f>
        <v>284.13333333333333</v>
      </c>
      <c r="J84" s="65">
        <f>AgeStanSec!K84/J$3</f>
        <v>285.70647419072611</v>
      </c>
      <c r="K84" s="65">
        <f>AgeStanSec!L84/K$3</f>
        <v>292.25</v>
      </c>
      <c r="L84" s="65">
        <f>AgeStanSec!M84/L$3</f>
        <v>294.20547458229646</v>
      </c>
      <c r="M84" s="65">
        <f>AgeStanSec!N84/M$3</f>
        <v>294.64</v>
      </c>
      <c r="N84" s="65">
        <f>AgeStanSec!O84/N$3</f>
        <v>296.33333333333331</v>
      </c>
      <c r="O84" s="65">
        <f>AgeStanSec!P84/O$3</f>
        <v>303.89856618082712</v>
      </c>
      <c r="P84" s="65">
        <f>AgeStanSec!Q84/P$3</f>
        <v>312.66000000000003</v>
      </c>
      <c r="Q84" s="65">
        <f>AgeStanSec!R84/Q$3</f>
        <v>354.19400699912507</v>
      </c>
      <c r="R84" s="65">
        <f>AgeStanSec!S84/R$3</f>
        <v>378.59</v>
      </c>
      <c r="S84" s="65">
        <f>AgeStanSec!T84/S$3</f>
        <v>428.92666666666668</v>
      </c>
      <c r="T84" s="65">
        <f>AgeStanSec!U84/T$3</f>
        <v>438.22203332537975</v>
      </c>
      <c r="U84" s="65">
        <f>AgeStanSec!V84/U$3</f>
        <v>467.92</v>
      </c>
      <c r="V84" s="47"/>
    </row>
    <row r="85" spans="1:22">
      <c r="A85" s="64">
        <v>84</v>
      </c>
      <c r="B85" s="65">
        <f>AgeStanSec!C85/B$3</f>
        <v>277.39999999999998</v>
      </c>
      <c r="C85" s="65">
        <f>AgeStanSec!D85/C$3</f>
        <v>278.5</v>
      </c>
      <c r="D85" s="65">
        <f>AgeStanSec!E85/D$3</f>
        <v>278.68497971844425</v>
      </c>
      <c r="E85" s="65">
        <f>AgeStanSec!F85/E$3</f>
        <v>280.125</v>
      </c>
      <c r="F85" s="65">
        <f>AgeStanSec!G85/F$3</f>
        <v>280.48695617593256</v>
      </c>
      <c r="G85" s="65">
        <f>AgeStanSec!H85/G$3</f>
        <v>281.5</v>
      </c>
      <c r="H85" s="65">
        <f>AgeStanSec!I85/H$3</f>
        <v>286.75</v>
      </c>
      <c r="I85" s="65">
        <f>AgeStanSec!J85/I$3</f>
        <v>293.2</v>
      </c>
      <c r="J85" s="65">
        <f>AgeStanSec!K85/J$3</f>
        <v>294.90276783583869</v>
      </c>
      <c r="K85" s="65">
        <f>AgeStanSec!L85/K$3</f>
        <v>302.10000000000002</v>
      </c>
      <c r="L85" s="65">
        <f>AgeStanSec!M85/L$3</f>
        <v>304.15926057589763</v>
      </c>
      <c r="M85" s="65">
        <f>AgeStanSec!N85/M$3</f>
        <v>304.60000000000002</v>
      </c>
      <c r="N85" s="65">
        <f>AgeStanSec!O85/N$3</f>
        <v>306.43333333333334</v>
      </c>
      <c r="O85" s="65">
        <f>AgeStanSec!P85/O$3</f>
        <v>314.37374096456927</v>
      </c>
      <c r="P85" s="65">
        <f>AgeStanSec!Q85/P$3</f>
        <v>323.44</v>
      </c>
      <c r="Q85" s="65">
        <f>AgeStanSec!R85/Q$3</f>
        <v>366.39773721466634</v>
      </c>
      <c r="R85" s="65">
        <f>AgeStanSec!S85/R$3</f>
        <v>391.64</v>
      </c>
      <c r="S85" s="65">
        <f>AgeStanSec!T85/S$3</f>
        <v>443.71333333333331</v>
      </c>
      <c r="T85" s="65">
        <f>AgeStanSec!U85/T$3</f>
        <v>453.32756700866935</v>
      </c>
      <c r="U85" s="65">
        <f>AgeStanSec!V85/U$3</f>
        <v>484.05</v>
      </c>
      <c r="V85" s="47"/>
    </row>
    <row r="86" spans="1:22">
      <c r="A86" s="66">
        <v>85</v>
      </c>
      <c r="B86" s="67">
        <f>AgeStanSec!C86/B$3</f>
        <v>286.39999999999998</v>
      </c>
      <c r="C86" s="67">
        <f>AgeStanSec!D86/C$3</f>
        <v>287.33333333333331</v>
      </c>
      <c r="D86" s="67">
        <f>AgeStanSec!E86/D$3</f>
        <v>287.69486200588562</v>
      </c>
      <c r="E86" s="67">
        <f>AgeStanSec!F86/E$3</f>
        <v>289.125</v>
      </c>
      <c r="F86" s="67">
        <f>AgeStanSec!G86/F$3</f>
        <v>289.43470134415014</v>
      </c>
      <c r="G86" s="67">
        <f>AgeStanSec!H86/G$3</f>
        <v>290.39999999999998</v>
      </c>
      <c r="H86" s="67">
        <f>AgeStanSec!I86/H$3</f>
        <v>296.08333333333331</v>
      </c>
      <c r="I86" s="67">
        <f>AgeStanSec!J86/I$3</f>
        <v>303.13333333333333</v>
      </c>
      <c r="J86" s="67">
        <f>AgeStanSec!K86/J$3</f>
        <v>305.03111826930723</v>
      </c>
      <c r="K86" s="67">
        <f>AgeStanSec!L86/K$3</f>
        <v>312.89999999999998</v>
      </c>
      <c r="L86" s="67">
        <f>AgeStanSec!M86/L$3</f>
        <v>315.15582414978076</v>
      </c>
      <c r="M86" s="67">
        <f>AgeStanSec!N86/M$3</f>
        <v>315.72000000000003</v>
      </c>
      <c r="N86" s="67">
        <f>AgeStanSec!O86/N$3</f>
        <v>317.7</v>
      </c>
      <c r="O86" s="67">
        <f>AgeStanSec!P86/O$3</f>
        <v>326.10498874274202</v>
      </c>
      <c r="P86" s="67">
        <f>AgeStanSec!Q86/P$3</f>
        <v>335.48</v>
      </c>
      <c r="Q86" s="67">
        <f>AgeStanSec!R86/Q$3</f>
        <v>380.05547602004293</v>
      </c>
      <c r="R86" s="67">
        <f>AgeStanSec!S86/R$3</f>
        <v>406.24</v>
      </c>
      <c r="S86" s="67">
        <f>AgeStanSec!T86/S$3</f>
        <v>460.25333333333333</v>
      </c>
      <c r="T86" s="67">
        <f>AgeStanSec!U86/T$3</f>
        <v>470.22264972560242</v>
      </c>
      <c r="U86" s="67">
        <f>AgeStanSec!V86/U$3</f>
        <v>502.09</v>
      </c>
      <c r="V86" s="47"/>
    </row>
    <row r="87" spans="1:22">
      <c r="A87" s="64">
        <v>86</v>
      </c>
      <c r="B87" s="65">
        <f>AgeStanSec!C87/B$3</f>
        <v>296.2</v>
      </c>
      <c r="C87" s="65">
        <f>AgeStanSec!D87/C$3</f>
        <v>297.33333333333331</v>
      </c>
      <c r="D87" s="65">
        <f>AgeStanSec!E87/D$3</f>
        <v>297.48145828362362</v>
      </c>
      <c r="E87" s="65">
        <f>AgeStanSec!F87/E$3</f>
        <v>298.875</v>
      </c>
      <c r="F87" s="65">
        <f>AgeStanSec!G87/F$3</f>
        <v>299.25236618150001</v>
      </c>
      <c r="G87" s="65">
        <f>AgeStanSec!H87/G$3</f>
        <v>300.3</v>
      </c>
      <c r="H87" s="65">
        <f>AgeStanSec!I87/H$3</f>
        <v>306.5</v>
      </c>
      <c r="I87" s="65">
        <f>AgeStanSec!J87/I$3</f>
        <v>314.26666666666665</v>
      </c>
      <c r="J87" s="65">
        <f>AgeStanSec!K87/J$3</f>
        <v>316.34007396802673</v>
      </c>
      <c r="K87" s="65">
        <f>AgeStanSec!L87/K$3</f>
        <v>325</v>
      </c>
      <c r="L87" s="65">
        <f>AgeStanSec!M87/L$3</f>
        <v>327.47955918947741</v>
      </c>
      <c r="M87" s="65">
        <f>AgeStanSec!N87/M$3</f>
        <v>328.2</v>
      </c>
      <c r="N87" s="65">
        <f>AgeStanSec!O87/N$3</f>
        <v>330.4</v>
      </c>
      <c r="O87" s="65">
        <f>AgeStanSec!P87/O$3</f>
        <v>339.32930441995495</v>
      </c>
      <c r="P87" s="65">
        <f>AgeStanSec!Q87/P$3</f>
        <v>349.1</v>
      </c>
      <c r="Q87" s="65">
        <f>AgeStanSec!R87/Q$3</f>
        <v>395.47790901137353</v>
      </c>
      <c r="R87" s="65">
        <f>AgeStanSec!S87/R$3</f>
        <v>422.72</v>
      </c>
      <c r="S87" s="65">
        <f>AgeStanSec!T87/S$3</f>
        <v>478.92666666666668</v>
      </c>
      <c r="T87" s="65">
        <f>AgeStanSec!U87/T$3</f>
        <v>489.2987453272886</v>
      </c>
      <c r="U87" s="65">
        <f>AgeStanSec!V87/U$3</f>
        <v>522.46</v>
      </c>
      <c r="V87" s="47"/>
    </row>
    <row r="88" spans="1:22">
      <c r="A88" s="64">
        <v>87</v>
      </c>
      <c r="B88" s="65">
        <f>AgeStanSec!C88/B$3</f>
        <v>307.2</v>
      </c>
      <c r="C88" s="65">
        <f>AgeStanSec!D88/C$3</f>
        <v>308.16666666666669</v>
      </c>
      <c r="D88" s="65">
        <f>AgeStanSec!E88/D$3</f>
        <v>308.35545414777698</v>
      </c>
      <c r="E88" s="65">
        <f>AgeStanSec!F88/E$3</f>
        <v>309.875</v>
      </c>
      <c r="F88" s="65">
        <f>AgeStanSec!G88/F$3</f>
        <v>310.31277340332457</v>
      </c>
      <c r="G88" s="65">
        <f>AgeStanSec!H88/G$3</f>
        <v>311.3</v>
      </c>
      <c r="H88" s="65">
        <f>AgeStanSec!I88/H$3</f>
        <v>318.08333333333331</v>
      </c>
      <c r="I88" s="65">
        <f>AgeStanSec!J88/I$3</f>
        <v>326.73333333333335</v>
      </c>
      <c r="J88" s="65">
        <f>AgeStanSec!K88/J$3</f>
        <v>329.07818340889207</v>
      </c>
      <c r="K88" s="65">
        <f>AgeStanSec!L88/K$3</f>
        <v>338.6</v>
      </c>
      <c r="L88" s="65">
        <f>AgeStanSec!M88/L$3</f>
        <v>341.27266263775329</v>
      </c>
      <c r="M88" s="65">
        <f>AgeStanSec!N88/M$3</f>
        <v>342.16</v>
      </c>
      <c r="N88" s="65">
        <f>AgeStanSec!O88/N$3</f>
        <v>344.6</v>
      </c>
      <c r="O88" s="65">
        <f>AgeStanSec!P88/O$3</f>
        <v>354.25998341035665</v>
      </c>
      <c r="P88" s="65">
        <f>AgeStanSec!Q88/P$3</f>
        <v>364.46</v>
      </c>
      <c r="Q88" s="65">
        <f>AgeStanSec!R88/Q$3</f>
        <v>412.87630239401892</v>
      </c>
      <c r="R88" s="65">
        <f>AgeStanSec!S88/R$3</f>
        <v>441.32</v>
      </c>
      <c r="S88" s="65">
        <f>AgeStanSec!T88/S$3</f>
        <v>500</v>
      </c>
      <c r="T88" s="65">
        <f>AgeStanSec!U88/T$3</f>
        <v>510.83547085023457</v>
      </c>
      <c r="U88" s="65">
        <f>AgeStanSec!V88/U$3</f>
        <v>545.45500000000004</v>
      </c>
      <c r="V88" s="47"/>
    </row>
    <row r="89" spans="1:22">
      <c r="A89" s="64">
        <v>88</v>
      </c>
      <c r="B89" s="65">
        <f>AgeStanSec!C89/B$3</f>
        <v>319.39999999999998</v>
      </c>
      <c r="C89" s="65">
        <f>AgeStanSec!D89/C$3</f>
        <v>320.5</v>
      </c>
      <c r="D89" s="65">
        <f>AgeStanSec!E89/D$3</f>
        <v>320.62753519446431</v>
      </c>
      <c r="E89" s="65">
        <f>AgeStanSec!F89/E$3</f>
        <v>322.125</v>
      </c>
      <c r="F89" s="65">
        <f>AgeStanSec!G89/F$3</f>
        <v>322.4916487711763</v>
      </c>
      <c r="G89" s="65">
        <f>AgeStanSec!H89/G$3</f>
        <v>323.5</v>
      </c>
      <c r="H89" s="65">
        <f>AgeStanSec!I89/H$3</f>
        <v>331.08333333333331</v>
      </c>
      <c r="I89" s="65">
        <f>AgeStanSec!J89/I$3</f>
        <v>340.6</v>
      </c>
      <c r="J89" s="65">
        <f>AgeStanSec!K89/J$3</f>
        <v>343.30758371112699</v>
      </c>
      <c r="K89" s="65">
        <f>AgeStanSec!L89/K$3</f>
        <v>353.9</v>
      </c>
      <c r="L89" s="65">
        <f>AgeStanSec!M89/L$3</f>
        <v>356.81952838013984</v>
      </c>
      <c r="M89" s="65">
        <f>AgeStanSec!N89/M$3</f>
        <v>357.92</v>
      </c>
      <c r="N89" s="65">
        <f>AgeStanSec!O89/N$3</f>
        <v>360.7</v>
      </c>
      <c r="O89" s="65">
        <f>AgeStanSec!P89/O$3</f>
        <v>371.22881858040051</v>
      </c>
      <c r="P89" s="65">
        <f>AgeStanSec!Q89/P$3</f>
        <v>381.9</v>
      </c>
      <c r="Q89" s="65">
        <f>AgeStanSec!R89/Q$3</f>
        <v>432.63590630716612</v>
      </c>
      <c r="R89" s="65">
        <f>AgeStanSec!S89/R$3</f>
        <v>462.44</v>
      </c>
      <c r="S89" s="65">
        <f>AgeStanSec!T89/S$3</f>
        <v>523.91999999999996</v>
      </c>
      <c r="T89" s="65">
        <f>AgeStanSec!U89/T$3</f>
        <v>535.27399984092892</v>
      </c>
      <c r="U89" s="65">
        <f>AgeStanSec!V89/U$3</f>
        <v>571.54999999999995</v>
      </c>
      <c r="V89" s="47"/>
    </row>
    <row r="90" spans="1:22">
      <c r="A90" s="64">
        <v>89</v>
      </c>
      <c r="B90" s="65">
        <f>AgeStanSec!C90/B$3</f>
        <v>333</v>
      </c>
      <c r="C90" s="65">
        <f>AgeStanSec!D90/C$3</f>
        <v>334.16666666666669</v>
      </c>
      <c r="D90" s="65">
        <f>AgeStanSec!E90/D$3</f>
        <v>334.29770142368568</v>
      </c>
      <c r="E90" s="65">
        <f>AgeStanSec!F90/E$3</f>
        <v>335.75</v>
      </c>
      <c r="F90" s="65">
        <f>AgeStanSec!G90/F$3</f>
        <v>336.16181500039767</v>
      </c>
      <c r="G90" s="65">
        <f>AgeStanSec!H90/G$3</f>
        <v>337.2</v>
      </c>
      <c r="H90" s="65">
        <f>AgeStanSec!I90/H$3</f>
        <v>345.66666666666669</v>
      </c>
      <c r="I90" s="65">
        <f>AgeStanSec!J90/I$3</f>
        <v>356.26666666666665</v>
      </c>
      <c r="J90" s="65">
        <f>AgeStanSec!K90/J$3</f>
        <v>359.27682335162649</v>
      </c>
      <c r="K90" s="65">
        <f>AgeStanSec!L90/K$3</f>
        <v>371.15</v>
      </c>
      <c r="L90" s="65">
        <f>AgeStanSec!M90/L$3</f>
        <v>374.4045503021685</v>
      </c>
      <c r="M90" s="65">
        <f>AgeStanSec!N90/M$3</f>
        <v>375.84</v>
      </c>
      <c r="N90" s="65">
        <f>AgeStanSec!O90/N$3</f>
        <v>379.06666666666666</v>
      </c>
      <c r="O90" s="65">
        <f>AgeStanSec!P90/O$3</f>
        <v>390.66240075838368</v>
      </c>
      <c r="P90" s="65">
        <f>AgeStanSec!Q90/P$3</f>
        <v>401.92</v>
      </c>
      <c r="Q90" s="65">
        <f>AgeStanSec!R90/Q$3</f>
        <v>455.30352739998403</v>
      </c>
      <c r="R90" s="65">
        <f>AgeStanSec!S90/R$3</f>
        <v>486.67</v>
      </c>
      <c r="S90" s="65">
        <f>AgeStanSec!T90/S$3</f>
        <v>551.38</v>
      </c>
      <c r="T90" s="65">
        <f>AgeStanSec!U90/T$3</f>
        <v>563.32269545852216</v>
      </c>
      <c r="U90" s="65">
        <f>AgeStanSec!V90/U$3</f>
        <v>601.505</v>
      </c>
      <c r="V90" s="47"/>
    </row>
    <row r="91" spans="1:22">
      <c r="A91" s="66">
        <v>90</v>
      </c>
      <c r="B91" s="67">
        <f>AgeStanSec!C91/B$3</f>
        <v>348.4</v>
      </c>
      <c r="C91" s="67">
        <f>AgeStanSec!D91/C$3</f>
        <v>349.5</v>
      </c>
      <c r="D91" s="67">
        <f>AgeStanSec!E91/D$3</f>
        <v>349.6766384315597</v>
      </c>
      <c r="E91" s="67">
        <f>AgeStanSec!F91/E$3</f>
        <v>351.125</v>
      </c>
      <c r="F91" s="67">
        <f>AgeStanSec!G91/F$3</f>
        <v>351.69609480633102</v>
      </c>
      <c r="G91" s="67">
        <f>AgeStanSec!H91/G$3</f>
        <v>352.7</v>
      </c>
      <c r="H91" s="67">
        <f>AgeStanSec!I91/H$3</f>
        <v>362.08333333333331</v>
      </c>
      <c r="I91" s="67">
        <f>AgeStanSec!J91/I$3</f>
        <v>374.06666666666666</v>
      </c>
      <c r="J91" s="67">
        <f>AgeStanSec!K91/J$3</f>
        <v>377.54513640340411</v>
      </c>
      <c r="K91" s="67">
        <f>AgeStanSec!L91/K$3</f>
        <v>390.8</v>
      </c>
      <c r="L91" s="67">
        <f>AgeStanSec!M91/L$3</f>
        <v>394.54911719398035</v>
      </c>
      <c r="M91" s="67">
        <f>AgeStanSec!N91/M$3</f>
        <v>396.44</v>
      </c>
      <c r="N91" s="67">
        <f>AgeStanSec!O91/N$3</f>
        <v>400.2</v>
      </c>
      <c r="O91" s="67">
        <f>AgeStanSec!P91/O$3</f>
        <v>413.17691669629102</v>
      </c>
      <c r="P91" s="67">
        <f>AgeStanSec!Q91/P$3</f>
        <v>425.06</v>
      </c>
      <c r="Q91" s="67">
        <f>AgeStanSec!R91/Q$3</f>
        <v>481.52539171239954</v>
      </c>
      <c r="R91" s="67">
        <f>AgeStanSec!S91/R$3</f>
        <v>514.70000000000005</v>
      </c>
      <c r="S91" s="67">
        <f>AgeStanSec!T91/S$3</f>
        <v>583.13333333333333</v>
      </c>
      <c r="T91" s="67">
        <f>AgeStanSec!U91/T$3</f>
        <v>595.7706991171558</v>
      </c>
      <c r="U91" s="67">
        <f>AgeStanSec!V91/U$3</f>
        <v>636.14499999999998</v>
      </c>
      <c r="V91" s="47"/>
    </row>
    <row r="92" spans="1:22">
      <c r="A92" s="64">
        <v>91</v>
      </c>
      <c r="B92" s="65">
        <f>AgeStanSec!C92/B$3</f>
        <v>365.6</v>
      </c>
      <c r="C92" s="65">
        <f>AgeStanSec!D92/C$3</f>
        <v>366.83333333333331</v>
      </c>
      <c r="D92" s="65">
        <f>AgeStanSec!E92/D$3</f>
        <v>367.07503181420503</v>
      </c>
      <c r="E92" s="65">
        <f>AgeStanSec!F92/E$3</f>
        <v>368.625</v>
      </c>
      <c r="F92" s="65">
        <f>AgeStanSec!G92/F$3</f>
        <v>369.21876242742383</v>
      </c>
      <c r="G92" s="65">
        <f>AgeStanSec!H92/G$3</f>
        <v>370.3</v>
      </c>
      <c r="H92" s="65">
        <f>AgeStanSec!I92/H$3</f>
        <v>380.83333333333331</v>
      </c>
      <c r="I92" s="65">
        <f>AgeStanSec!J92/I$3</f>
        <v>394.4</v>
      </c>
      <c r="J92" s="65">
        <f>AgeStanSec!K92/J$3</f>
        <v>398.36107134335481</v>
      </c>
      <c r="K92" s="65">
        <f>AgeStanSec!L92/K$3</f>
        <v>413.4</v>
      </c>
      <c r="L92" s="65">
        <f>AgeStanSec!M92/L$3</f>
        <v>417.58502192202866</v>
      </c>
      <c r="M92" s="65">
        <f>AgeStanSec!N92/M$3</f>
        <v>420.04</v>
      </c>
      <c r="N92" s="65">
        <f>AgeStanSec!O92/N$3</f>
        <v>424.56666666666666</v>
      </c>
      <c r="O92" s="65">
        <f>AgeStanSec!P92/O$3</f>
        <v>439.19895722241972</v>
      </c>
      <c r="P92" s="65">
        <f>AgeStanSec!Q92/P$3</f>
        <v>451.84</v>
      </c>
      <c r="Q92" s="65">
        <f>AgeStanSec!R92/Q$3</f>
        <v>511.87316074127096</v>
      </c>
      <c r="R92" s="65">
        <f>AgeStanSec!S92/R$3</f>
        <v>547.13</v>
      </c>
      <c r="S92" s="65">
        <f>AgeStanSec!T92/S$3</f>
        <v>619.88</v>
      </c>
      <c r="T92" s="65">
        <f>AgeStanSec!U92/T$3</f>
        <v>633.30773284021313</v>
      </c>
      <c r="U92" s="65">
        <f>AgeStanSec!V92/U$3</f>
        <v>676.23</v>
      </c>
      <c r="V92" s="47"/>
    </row>
    <row r="93" spans="1:22">
      <c r="A93" s="64">
        <v>92</v>
      </c>
      <c r="B93" s="65">
        <f>AgeStanSec!C93/B$3</f>
        <v>385.4</v>
      </c>
      <c r="C93" s="65">
        <f>AgeStanSec!D93/C$3</f>
        <v>386.66666666666669</v>
      </c>
      <c r="D93" s="65">
        <f>AgeStanSec!E93/D$3</f>
        <v>386.80356716774037</v>
      </c>
      <c r="E93" s="65">
        <f>AgeStanSec!F93/E$3</f>
        <v>388.625</v>
      </c>
      <c r="F93" s="65">
        <f>AgeStanSec!G93/F$3</f>
        <v>388.97836634057103</v>
      </c>
      <c r="G93" s="65">
        <f>AgeStanSec!H93/G$3</f>
        <v>390.2</v>
      </c>
      <c r="H93" s="65">
        <f>AgeStanSec!I93/H$3</f>
        <v>402.25</v>
      </c>
      <c r="I93" s="65">
        <f>AgeStanSec!J93/I$3</f>
        <v>417.73333333333335</v>
      </c>
      <c r="J93" s="65">
        <f>AgeStanSec!K93/J$3</f>
        <v>422.34599936371586</v>
      </c>
      <c r="K93" s="65">
        <f>AgeStanSec!L93/K$3</f>
        <v>439.6</v>
      </c>
      <c r="L93" s="65">
        <f>AgeStanSec!M93/L$3</f>
        <v>444.3654461429079</v>
      </c>
      <c r="M93" s="65">
        <f>AgeStanSec!N93/M$3</f>
        <v>447.6</v>
      </c>
      <c r="N93" s="65">
        <f>AgeStanSec!O93/N$3</f>
        <v>452.93333333333334</v>
      </c>
      <c r="O93" s="65">
        <f>AgeStanSec!P93/O$3</f>
        <v>469.88979736935653</v>
      </c>
      <c r="P93" s="65">
        <f>AgeStanSec!Q93/P$3</f>
        <v>483.42</v>
      </c>
      <c r="Q93" s="65">
        <f>AgeStanSec!R93/Q$3</f>
        <v>547.63928656645191</v>
      </c>
      <c r="R93" s="65">
        <f>AgeStanSec!S93/R$3</f>
        <v>585.37</v>
      </c>
      <c r="S93" s="65">
        <f>AgeStanSec!T93/S$3</f>
        <v>663.19333333333338</v>
      </c>
      <c r="T93" s="65">
        <f>AgeStanSec!U93/T$3</f>
        <v>677.56800286327837</v>
      </c>
      <c r="U93" s="65">
        <f>AgeStanSec!V93/U$3</f>
        <v>723.48500000000001</v>
      </c>
      <c r="V93" s="47"/>
    </row>
    <row r="94" spans="1:22">
      <c r="A94" s="64">
        <v>93</v>
      </c>
      <c r="B94" s="65">
        <f>AgeStanSec!C94/B$3</f>
        <v>408</v>
      </c>
      <c r="C94" s="65">
        <f>AgeStanSec!D94/C$3</f>
        <v>409.33333333333331</v>
      </c>
      <c r="D94" s="65">
        <f>AgeStanSec!E94/D$3</f>
        <v>409.48361568440305</v>
      </c>
      <c r="E94" s="65">
        <f>AgeStanSec!F94/E$3</f>
        <v>411.375</v>
      </c>
      <c r="F94" s="65">
        <f>AgeStanSec!G94/F$3</f>
        <v>411.96910045335238</v>
      </c>
      <c r="G94" s="65">
        <f>AgeStanSec!H94/G$3</f>
        <v>413.3</v>
      </c>
      <c r="H94" s="65">
        <f>AgeStanSec!I94/H$3</f>
        <v>427</v>
      </c>
      <c r="I94" s="65">
        <f>AgeStanSec!J94/I$3</f>
        <v>445</v>
      </c>
      <c r="J94" s="65">
        <f>AgeStanSec!K94/J$3</f>
        <v>450.30770301439588</v>
      </c>
      <c r="K94" s="65">
        <f>AgeStanSec!L94/K$3</f>
        <v>470.3</v>
      </c>
      <c r="L94" s="65">
        <f>AgeStanSec!M94/L$3</f>
        <v>475.7909704941344</v>
      </c>
      <c r="M94" s="65">
        <f>AgeStanSec!N94/M$3</f>
        <v>480</v>
      </c>
      <c r="N94" s="65">
        <f>AgeStanSec!O94/N$3</f>
        <v>486.66666666666669</v>
      </c>
      <c r="O94" s="65">
        <f>AgeStanSec!P94/O$3</f>
        <v>506.55290911245407</v>
      </c>
      <c r="P94" s="65">
        <f>AgeStanSec!Q94/P$3</f>
        <v>521.12</v>
      </c>
      <c r="Q94" s="65">
        <f>AgeStanSec!R94/Q$3</f>
        <v>590.35234232084622</v>
      </c>
      <c r="R94" s="65">
        <f>AgeStanSec!S94/R$3</f>
        <v>631.02</v>
      </c>
      <c r="S94" s="65">
        <f>AgeStanSec!T94/S$3</f>
        <v>714.92</v>
      </c>
      <c r="T94" s="65">
        <f>AgeStanSec!U94/T$3</f>
        <v>730.40940905114132</v>
      </c>
      <c r="U94" s="65">
        <f>AgeStanSec!V94/U$3</f>
        <v>779.91</v>
      </c>
      <c r="V94" s="47"/>
    </row>
    <row r="95" spans="1:22">
      <c r="A95" s="64">
        <v>94</v>
      </c>
      <c r="B95" s="65">
        <f>AgeStanSec!C95/B$3</f>
        <v>434.2</v>
      </c>
      <c r="C95" s="65">
        <f>AgeStanSec!D95/C$3</f>
        <v>435.83333333333331</v>
      </c>
      <c r="D95" s="65">
        <f>AgeStanSec!E95/D$3</f>
        <v>436.04723415254909</v>
      </c>
      <c r="E95" s="65">
        <f>AgeStanSec!F95/E$3</f>
        <v>438.125</v>
      </c>
      <c r="F95" s="65">
        <f>AgeStanSec!G95/F$3</f>
        <v>438.5637874811103</v>
      </c>
      <c r="G95" s="65">
        <f>AgeStanSec!H95/G$3</f>
        <v>440</v>
      </c>
      <c r="H95" s="65">
        <f>AgeStanSec!I95/H$3</f>
        <v>455.91666666666669</v>
      </c>
      <c r="I95" s="65">
        <f>AgeStanSec!J95/I$3</f>
        <v>476.73333333333335</v>
      </c>
      <c r="J95" s="65">
        <f>AgeStanSec!K95/J$3</f>
        <v>483.05396484530337</v>
      </c>
      <c r="K95" s="65">
        <f>AgeStanSec!L95/K$3</f>
        <v>506.55</v>
      </c>
      <c r="L95" s="65">
        <f>AgeStanSec!M95/L$3</f>
        <v>512.95177153691191</v>
      </c>
      <c r="M95" s="65">
        <f>AgeStanSec!N95/M$3</f>
        <v>518.44000000000005</v>
      </c>
      <c r="N95" s="65">
        <f>AgeStanSec!O95/N$3</f>
        <v>526.83333333333337</v>
      </c>
      <c r="O95" s="65">
        <f>AgeStanSec!P95/O$3</f>
        <v>550.63396136983056</v>
      </c>
      <c r="P95" s="65">
        <f>AgeStanSec!Q95/P$3</f>
        <v>566.48</v>
      </c>
      <c r="Q95" s="65">
        <f>AgeStanSec!R95/Q$3</f>
        <v>641.72731249502897</v>
      </c>
      <c r="R95" s="65">
        <f>AgeStanSec!S95/R$3</f>
        <v>685.93</v>
      </c>
      <c r="S95" s="65">
        <f>AgeStanSec!T95/S$3</f>
        <v>777.13333333333333</v>
      </c>
      <c r="T95" s="65">
        <f>AgeStanSec!U95/T$3</f>
        <v>793.97568201702052</v>
      </c>
      <c r="U95" s="65">
        <f>AgeStanSec!V95/U$3</f>
        <v>847.78499999999997</v>
      </c>
      <c r="V95" s="47"/>
    </row>
    <row r="96" spans="1:22">
      <c r="A96" s="66">
        <v>95</v>
      </c>
      <c r="B96" s="67">
        <f>AgeStanSec!C96/B$3</f>
        <v>464.8</v>
      </c>
      <c r="C96" s="67">
        <f>AgeStanSec!D96/C$3</f>
        <v>466.66666666666669</v>
      </c>
      <c r="D96" s="67">
        <f>AgeStanSec!E96/D$3</f>
        <v>466.80510816829712</v>
      </c>
      <c r="E96" s="67">
        <f>AgeStanSec!F96/E$3</f>
        <v>469.125</v>
      </c>
      <c r="F96" s="67">
        <f>AgeStanSec!G96/F$3</f>
        <v>469.75662133142447</v>
      </c>
      <c r="G96" s="67">
        <f>AgeStanSec!H96/G$3</f>
        <v>471.4</v>
      </c>
      <c r="H96" s="67">
        <f>AgeStanSec!I96/H$3</f>
        <v>490.25</v>
      </c>
      <c r="I96" s="67">
        <f>AgeStanSec!J96/I$3</f>
        <v>514.73333333333335</v>
      </c>
      <c r="J96" s="67">
        <f>AgeStanSec!K96/J$3</f>
        <v>522.32462419470289</v>
      </c>
      <c r="K96" s="67">
        <f>AgeStanSec!L96/K$3</f>
        <v>550.1</v>
      </c>
      <c r="L96" s="67">
        <f>AgeStanSec!M96/L$3</f>
        <v>557.88600545088275</v>
      </c>
      <c r="M96" s="67">
        <f>AgeStanSec!N96/M$3</f>
        <v>565.32000000000005</v>
      </c>
      <c r="N96" s="67">
        <f>AgeStanSec!O96/N$3</f>
        <v>576</v>
      </c>
      <c r="O96" s="67">
        <f>AgeStanSec!P96/O$3</f>
        <v>605.2375873918711</v>
      </c>
      <c r="P96" s="67">
        <f>AgeStanSec!Q96/P$3</f>
        <v>622.66</v>
      </c>
      <c r="Q96" s="67">
        <f>AgeStanSec!R96/Q$3</f>
        <v>705.38057742782144</v>
      </c>
      <c r="R96" s="67">
        <f>AgeStanSec!S96/R$3</f>
        <v>753.97</v>
      </c>
      <c r="S96" s="67">
        <f>AgeStanSec!T96/S$3</f>
        <v>854.22</v>
      </c>
      <c r="T96" s="67">
        <f>AgeStanSec!U96/T$3</f>
        <v>872.72826692118019</v>
      </c>
      <c r="U96" s="67">
        <f>AgeStanSec!V96/U$3</f>
        <v>931.875</v>
      </c>
      <c r="V96" s="47"/>
    </row>
    <row r="97" spans="1:22">
      <c r="A97" s="64">
        <v>96</v>
      </c>
      <c r="B97" s="65">
        <f>AgeStanSec!C97/B$3</f>
        <v>501</v>
      </c>
      <c r="C97" s="65">
        <f>AgeStanSec!D97/C$3</f>
        <v>503</v>
      </c>
      <c r="D97" s="65">
        <f>AgeStanSec!E97/D$3</f>
        <v>503.31066571224051</v>
      </c>
      <c r="E97" s="65">
        <f>AgeStanSec!F97/E$3</f>
        <v>506</v>
      </c>
      <c r="F97" s="65">
        <f>AgeStanSec!G97/F$3</f>
        <v>506.66607015032207</v>
      </c>
      <c r="G97" s="65">
        <f>AgeStanSec!H97/G$3</f>
        <v>508.7</v>
      </c>
      <c r="H97" s="65">
        <f>AgeStanSec!I97/H$3</f>
        <v>531.08333333333337</v>
      </c>
      <c r="I97" s="65">
        <f>AgeStanSec!J97/I$3</f>
        <v>560.6</v>
      </c>
      <c r="J97" s="65">
        <f>AgeStanSec!K97/J$3</f>
        <v>569.79738328163523</v>
      </c>
      <c r="K97" s="65">
        <f>AgeStanSec!L97/K$3</f>
        <v>603.5</v>
      </c>
      <c r="L97" s="65">
        <f>AgeStanSec!M97/L$3</f>
        <v>612.86882332029859</v>
      </c>
      <c r="M97" s="65">
        <f>AgeStanSec!N97/M$3</f>
        <v>622.96</v>
      </c>
      <c r="N97" s="65">
        <f>AgeStanSec!O97/N$3</f>
        <v>637</v>
      </c>
      <c r="O97" s="65">
        <f>AgeStanSec!P97/O$3</f>
        <v>673.72911482403129</v>
      </c>
      <c r="P97" s="65">
        <f>AgeStanSec!Q97/P$3</f>
        <v>693.12</v>
      </c>
      <c r="Q97" s="65">
        <f>AgeStanSec!R97/Q$3</f>
        <v>785.20192078262937</v>
      </c>
      <c r="R97" s="65">
        <f>AgeStanSec!S97/R$3</f>
        <v>839.29</v>
      </c>
      <c r="S97" s="65">
        <f>AgeStanSec!T97/S$3</f>
        <v>950.88666666666666</v>
      </c>
      <c r="T97" s="65">
        <f>AgeStanSec!U97/T$3</f>
        <v>971.48900421538212</v>
      </c>
      <c r="U97" s="65">
        <f>AgeStanSec!V97/U$3</f>
        <v>1037.33</v>
      </c>
      <c r="V97" s="47"/>
    </row>
    <row r="98" spans="1:22">
      <c r="A98" s="64">
        <v>97</v>
      </c>
      <c r="B98" s="65">
        <f>AgeStanSec!C98/B$3</f>
        <v>544.4</v>
      </c>
      <c r="C98" s="65">
        <f>AgeStanSec!D98/C$3</f>
        <v>547</v>
      </c>
      <c r="D98" s="65">
        <f>AgeStanSec!E98/D$3</f>
        <v>547.42802036109117</v>
      </c>
      <c r="E98" s="65">
        <f>AgeStanSec!F98/E$3</f>
        <v>550.625</v>
      </c>
      <c r="F98" s="65">
        <f>AgeStanSec!G98/F$3</f>
        <v>551.15624751451514</v>
      </c>
      <c r="G98" s="65">
        <f>AgeStanSec!H98/G$3</f>
        <v>553.70000000000005</v>
      </c>
      <c r="H98" s="65">
        <f>AgeStanSec!I98/H$3</f>
        <v>580.75</v>
      </c>
      <c r="I98" s="65">
        <f>AgeStanSec!J98/I$3</f>
        <v>616.86666666666667</v>
      </c>
      <c r="J98" s="65">
        <f>AgeStanSec!K98/J$3</f>
        <v>628.14413823272082</v>
      </c>
      <c r="K98" s="65">
        <f>AgeStanSec!L98/K$3</f>
        <v>670.25</v>
      </c>
      <c r="L98" s="65">
        <f>AgeStanSec!M98/L$3</f>
        <v>681.83434056167789</v>
      </c>
      <c r="M98" s="65">
        <f>AgeStanSec!N98/M$3</f>
        <v>696.04</v>
      </c>
      <c r="N98" s="65">
        <f>AgeStanSec!O98/N$3</f>
        <v>714.9</v>
      </c>
      <c r="O98" s="65">
        <f>AgeStanSec!P98/O$3</f>
        <v>762.74440099537856</v>
      </c>
      <c r="P98" s="65">
        <f>AgeStanSec!Q98/P$3</f>
        <v>784.7</v>
      </c>
      <c r="Q98" s="65">
        <f>AgeStanSec!R98/Q$3</f>
        <v>888.93362761472997</v>
      </c>
      <c r="R98" s="65">
        <f>AgeStanSec!S98/R$3</f>
        <v>950.18</v>
      </c>
      <c r="S98" s="65">
        <f>AgeStanSec!T98/S$3</f>
        <v>1076.5133333333333</v>
      </c>
      <c r="T98" s="65">
        <f>AgeStanSec!U98/T$3</f>
        <v>1099.8394376839258</v>
      </c>
      <c r="U98" s="65">
        <f>AgeStanSec!V98/U$3</f>
        <v>1174.375</v>
      </c>
      <c r="V98" s="47"/>
    </row>
    <row r="99" spans="1:22">
      <c r="A99" s="64">
        <v>98</v>
      </c>
      <c r="B99" s="65">
        <f>AgeStanSec!C99/B$3</f>
        <v>597.6</v>
      </c>
      <c r="C99" s="65">
        <f>AgeStanSec!D99/C$3</f>
        <v>600.5</v>
      </c>
      <c r="D99" s="65">
        <f>AgeStanSec!E99/D$3</f>
        <v>601.17662848962061</v>
      </c>
      <c r="E99" s="65">
        <f>AgeStanSec!F99/E$3</f>
        <v>605</v>
      </c>
      <c r="F99" s="65">
        <f>AgeStanSec!G99/F$3</f>
        <v>605.83691243140061</v>
      </c>
      <c r="G99" s="65">
        <f>AgeStanSec!H99/G$3</f>
        <v>608.79999999999995</v>
      </c>
      <c r="H99" s="65">
        <f>AgeStanSec!I99/H$3</f>
        <v>642.16666666666663</v>
      </c>
      <c r="I99" s="65">
        <f>AgeStanSec!J99/I$3</f>
        <v>687.73333333333335</v>
      </c>
      <c r="J99" s="65">
        <f>AgeStanSec!K99/J$3</f>
        <v>702.27372146663481</v>
      </c>
      <c r="K99" s="65">
        <f>AgeStanSec!L99/K$3</f>
        <v>756.05</v>
      </c>
      <c r="L99" s="65">
        <f>AgeStanSec!M99/L$3</f>
        <v>770.84962673302527</v>
      </c>
      <c r="M99" s="65">
        <f>AgeStanSec!N99/M$3</f>
        <v>791.16</v>
      </c>
      <c r="N99" s="65">
        <f>AgeStanSec!O99/N$3</f>
        <v>817.33333333333337</v>
      </c>
      <c r="O99" s="65">
        <f>AgeStanSec!P99/O$3</f>
        <v>882.92451712288187</v>
      </c>
      <c r="P99" s="65">
        <f>AgeStanSec!Q99/P$3</f>
        <v>908.34</v>
      </c>
      <c r="Q99" s="65">
        <f>AgeStanSec!R99/Q$3</f>
        <v>1029.0031217688697</v>
      </c>
      <c r="R99" s="65">
        <f>AgeStanSec!S99/R$3</f>
        <v>1099.9000000000001</v>
      </c>
      <c r="S99" s="65">
        <f>AgeStanSec!T99/S$3</f>
        <v>1246.1400000000001</v>
      </c>
      <c r="T99" s="65">
        <f>AgeStanSec!U99/T$3</f>
        <v>1273.1398631989182</v>
      </c>
      <c r="U99" s="65">
        <f>AgeStanSec!V99/U$3</f>
        <v>1359.425</v>
      </c>
      <c r="V99" s="47"/>
    </row>
    <row r="100" spans="1:22">
      <c r="A100" s="64">
        <v>99</v>
      </c>
      <c r="B100" s="65">
        <f>AgeStanSec!C100/B$3</f>
        <v>664</v>
      </c>
      <c r="C100" s="65">
        <f>AgeStanSec!D100/C$3</f>
        <v>667.83333333333337</v>
      </c>
      <c r="D100" s="65">
        <f>AgeStanSec!E100/D$3</f>
        <v>668.75074564543058</v>
      </c>
      <c r="E100" s="65">
        <f>AgeStanSec!F100/E$3</f>
        <v>673.625</v>
      </c>
      <c r="F100" s="65">
        <f>AgeStanSec!G100/F$3</f>
        <v>674.4362920544022</v>
      </c>
      <c r="G100" s="65">
        <f>AgeStanSec!H100/G$3</f>
        <v>678.4</v>
      </c>
      <c r="H100" s="68">
        <f>AgeStanSec!I100/H$3</f>
        <v>720.83333333333337</v>
      </c>
      <c r="I100" s="69">
        <f>AgeStanSec!J100/I$3</f>
        <v>779.66666666666663</v>
      </c>
      <c r="J100" s="65">
        <f>AgeStanSec!K100/J$3</f>
        <v>799.02121609798769</v>
      </c>
      <c r="K100" s="65">
        <f>AgeStanSec!L100/K$3</f>
        <v>869.8</v>
      </c>
      <c r="L100" s="65">
        <f>AgeStanSec!M100/L$3</f>
        <v>889.96326578978551</v>
      </c>
      <c r="M100" s="65">
        <f>AgeStanSec!N100/M$3</f>
        <v>919.96</v>
      </c>
      <c r="N100" s="65">
        <f>AgeStanSec!O100/N$3</f>
        <v>958.9666666666667</v>
      </c>
      <c r="O100" s="65">
        <f>AgeStanSec!P100/O$3</f>
        <v>1053.2290555753052</v>
      </c>
      <c r="P100" s="65">
        <f>AgeStanSec!Q100/P$3</f>
        <v>1083.54</v>
      </c>
      <c r="Q100" s="65">
        <f>AgeStanSec!R100/Q$3</f>
        <v>1227.4690805694743</v>
      </c>
      <c r="R100" s="65">
        <f>AgeStanSec!S100/R$3</f>
        <v>1312.04</v>
      </c>
      <c r="S100" s="65">
        <f>AgeStanSec!T100/S$3</f>
        <v>1486.4866666666667</v>
      </c>
      <c r="T100" s="65">
        <f>AgeStanSec!U100/T$3</f>
        <v>1518.6933309472679</v>
      </c>
      <c r="U100" s="65">
        <f>AgeStanSec!V100/U$3</f>
        <v>1621.62</v>
      </c>
      <c r="V100" s="47"/>
    </row>
    <row r="101" spans="1:22">
      <c r="A101" s="66">
        <v>100</v>
      </c>
      <c r="B101" s="67">
        <f>AgeStanSec!C101/B$3</f>
        <v>749.2</v>
      </c>
      <c r="C101" s="67">
        <f>AgeStanSec!D101/C$3</f>
        <v>754.33333333333337</v>
      </c>
      <c r="D101" s="67">
        <f>AgeStanSec!E101/D$3</f>
        <v>755.58736976059811</v>
      </c>
      <c r="E101" s="67">
        <f>AgeStanSec!F101/E$3</f>
        <v>761.875</v>
      </c>
      <c r="F101" s="67">
        <f>AgeStanSec!G101/F$3</f>
        <v>762.91954982899858</v>
      </c>
      <c r="G101" s="67">
        <f>AgeStanSec!H101/G$3</f>
        <v>768.2</v>
      </c>
      <c r="H101" s="70">
        <f>AgeStanSec!I101/H$3</f>
        <v>824.33333333333337</v>
      </c>
      <c r="I101" s="71">
        <f>AgeStanSec!J101/I$3</f>
        <v>903.4666666666667</v>
      </c>
      <c r="J101" s="67">
        <f>AgeStanSec!K101/J$3</f>
        <v>929.88198918317028</v>
      </c>
      <c r="K101" s="67">
        <f>AgeStanSec!L101/K$3</f>
        <v>1029.05</v>
      </c>
      <c r="L101" s="67">
        <f>AgeStanSec!M101/L$3</f>
        <v>1057.3764664059722</v>
      </c>
      <c r="M101" s="67">
        <f>AgeStanSec!N101/M$3</f>
        <v>1104.8399999999999</v>
      </c>
      <c r="N101" s="67">
        <f>AgeStanSec!O101/N$3</f>
        <v>1164.9000000000001</v>
      </c>
      <c r="O101" s="67">
        <f>AgeStanSec!P101/O$3</f>
        <v>1312.90437255599</v>
      </c>
      <c r="P101" s="67">
        <f>AgeStanSec!Q101/P$3</f>
        <v>1350.68</v>
      </c>
      <c r="Q101" s="67">
        <f>AgeStanSec!R101/Q$3</f>
        <v>1530.11413346059</v>
      </c>
      <c r="R101" s="67">
        <f>AgeStanSec!S101/R$3</f>
        <v>1635.53</v>
      </c>
      <c r="S101" s="67">
        <f>AgeStanSec!T101/S$3</f>
        <v>1852.9866666666667</v>
      </c>
      <c r="T101" s="67">
        <f>AgeStanSec!U101/T$3</f>
        <v>1893.1378251014075</v>
      </c>
      <c r="U101" s="67">
        <f>AgeStanSec!V101/U$3</f>
        <v>2021.44</v>
      </c>
      <c r="V101" s="47"/>
    </row>
    <row r="102" spans="1:2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</row>
  </sheetData>
  <pageMargins left="0.5" right="0.5" top="0.5" bottom="0.5" header="0" footer="0"/>
  <pageSetup orientation="portrait" horizontalDpi="0" verticalDpi="0" copies="0"/>
  <headerFooter alignWithMargins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M99"/>
  <sheetViews>
    <sheetView zoomScale="87" zoomScaleNormal="87" workbookViewId="0">
      <selection activeCell="G3" sqref="G3"/>
    </sheetView>
  </sheetViews>
  <sheetFormatPr defaultColWidth="9.6640625" defaultRowHeight="15"/>
  <cols>
    <col min="1" max="12" width="7.6640625" style="1" customWidth="1"/>
    <col min="13" max="16384" width="9.6640625" style="1"/>
  </cols>
  <sheetData>
    <row r="1" spans="1:13" ht="23.25">
      <c r="A1" s="44" t="s">
        <v>134</v>
      </c>
      <c r="B1" s="44"/>
    </row>
    <row r="2" spans="1:13">
      <c r="A2" s="45" t="s">
        <v>69</v>
      </c>
      <c r="B2" s="45" t="s">
        <v>115</v>
      </c>
      <c r="C2" s="46" t="s">
        <v>118</v>
      </c>
      <c r="D2" s="46" t="s">
        <v>120</v>
      </c>
      <c r="E2" s="46" t="s">
        <v>121</v>
      </c>
      <c r="F2" s="46" t="s">
        <v>122</v>
      </c>
      <c r="G2" s="46" t="s">
        <v>123</v>
      </c>
      <c r="H2" s="46" t="s">
        <v>124</v>
      </c>
      <c r="I2" s="46" t="s">
        <v>9</v>
      </c>
      <c r="J2" s="46" t="s">
        <v>125</v>
      </c>
      <c r="K2" s="46" t="s">
        <v>126</v>
      </c>
      <c r="L2" s="46" t="s">
        <v>10</v>
      </c>
      <c r="M2" s="73"/>
    </row>
    <row r="3" spans="1:13">
      <c r="A3" s="53">
        <v>5</v>
      </c>
      <c r="B3" s="74">
        <f>+'5K'!J11</f>
        <v>87.835460827435114</v>
      </c>
      <c r="C3" s="74"/>
      <c r="D3" s="74"/>
      <c r="E3" s="74"/>
      <c r="F3" s="74"/>
      <c r="G3" s="74" t="e">
        <f>'10MI'!#REF!</f>
        <v>#REF!</v>
      </c>
      <c r="H3" s="74"/>
      <c r="I3" s="74"/>
      <c r="J3" s="74"/>
      <c r="K3" s="74"/>
      <c r="L3" s="74">
        <f>Marathon!K11</f>
        <v>84.017779207221935</v>
      </c>
      <c r="M3" s="47"/>
    </row>
    <row r="4" spans="1:13">
      <c r="A4" s="49">
        <v>6</v>
      </c>
      <c r="B4" s="75">
        <f>+'5K'!J12</f>
        <v>89.420209106433489</v>
      </c>
      <c r="C4" s="76">
        <f>'8K'!F12</f>
        <v>87.32656494114589</v>
      </c>
      <c r="D4" s="76" t="e">
        <f>'10K'!#REF!</f>
        <v>#REF!</v>
      </c>
      <c r="E4" s="76">
        <f>'12K'!F12</f>
        <v>117.68807718528291</v>
      </c>
      <c r="F4" s="76"/>
      <c r="G4" s="76" t="e">
        <f>'10MI'!#REF!</f>
        <v>#REF!</v>
      </c>
      <c r="H4" s="76"/>
      <c r="I4" s="76">
        <f>H.Marathon!K12</f>
        <v>84.530700541261027</v>
      </c>
      <c r="J4" s="76"/>
      <c r="K4" s="76"/>
      <c r="L4" s="76">
        <f>Marathon!K12</f>
        <v>59.473528977541946</v>
      </c>
      <c r="M4" s="47"/>
    </row>
    <row r="5" spans="1:13">
      <c r="A5" s="49">
        <v>7</v>
      </c>
      <c r="B5" s="75">
        <f>+'5K'!J13</f>
        <v>95.062144256742258</v>
      </c>
      <c r="C5" s="76">
        <f>'8K'!F13</f>
        <v>95.676599965703815</v>
      </c>
      <c r="D5" s="76" t="e">
        <f>'10K'!#REF!</f>
        <v>#REF!</v>
      </c>
      <c r="E5" s="76">
        <f>'12K'!F13</f>
        <v>82.618819195311303</v>
      </c>
      <c r="F5" s="76"/>
      <c r="G5" s="76" t="e">
        <f>'10MI'!#REF!</f>
        <v>#REF!</v>
      </c>
      <c r="H5" s="76">
        <f>'20K'!F13</f>
        <v>78.587303736317935</v>
      </c>
      <c r="I5" s="76">
        <f>H.Marathon!K13</f>
        <v>91.765319038046329</v>
      </c>
      <c r="J5" s="76">
        <f>'25K'!F13</f>
        <v>0</v>
      </c>
      <c r="K5" s="76">
        <f>'30K'!F13</f>
        <v>0</v>
      </c>
      <c r="L5" s="76">
        <f>Marathon!K13</f>
        <v>86.622954261547619</v>
      </c>
      <c r="M5" s="47"/>
    </row>
    <row r="6" spans="1:13">
      <c r="A6" s="49">
        <v>8</v>
      </c>
      <c r="B6" s="75">
        <f>+'5K'!J14</f>
        <v>91.033173385725618</v>
      </c>
      <c r="C6" s="76">
        <f>'8K'!F14</f>
        <v>89.758261924957935</v>
      </c>
      <c r="D6" s="76" t="e">
        <f>'10K'!#REF!</f>
        <v>#REF!</v>
      </c>
      <c r="E6" s="76">
        <f>'12K'!F14</f>
        <v>93.934826439038687</v>
      </c>
      <c r="F6" s="76">
        <f>'15K'!F14</f>
        <v>78.959146430260034</v>
      </c>
      <c r="G6" s="76" t="e">
        <f>'10MI'!#REF!</f>
        <v>#REF!</v>
      </c>
      <c r="H6" s="76">
        <f>'20K'!F14</f>
        <v>0</v>
      </c>
      <c r="I6" s="76">
        <f>H.Marathon!K14</f>
        <v>87.558706958590619</v>
      </c>
      <c r="J6" s="76">
        <f>'25K'!F14</f>
        <v>0</v>
      </c>
      <c r="K6" s="76">
        <f>'30K'!F14</f>
        <v>62.137044070869344</v>
      </c>
      <c r="L6" s="76">
        <f>Marathon!K14</f>
        <v>98.315148767738165</v>
      </c>
      <c r="M6" s="47"/>
    </row>
    <row r="7" spans="1:13">
      <c r="A7" s="49">
        <v>9</v>
      </c>
      <c r="B7" s="75">
        <f>+'5K'!J15</f>
        <v>90.020813372492583</v>
      </c>
      <c r="C7" s="76">
        <f>'8K'!F15</f>
        <v>89.626560493015134</v>
      </c>
      <c r="D7" s="76" t="e">
        <f>'10K'!#REF!</f>
        <v>#REF!</v>
      </c>
      <c r="E7" s="76">
        <f>'12K'!F15</f>
        <v>90.902972536390052</v>
      </c>
      <c r="F7" s="76"/>
      <c r="G7" s="76" t="e">
        <f>'10MI'!#REF!</f>
        <v>#REF!</v>
      </c>
      <c r="H7" s="76">
        <f>'20K'!F15</f>
        <v>0</v>
      </c>
      <c r="I7" s="76">
        <f>H.Marathon!K15</f>
        <v>89.464740056062851</v>
      </c>
      <c r="J7" s="76">
        <f>'25K'!F15</f>
        <v>68.572629232604669</v>
      </c>
      <c r="K7" s="76">
        <f>'30K'!F15</f>
        <v>0</v>
      </c>
      <c r="L7" s="76">
        <f>Marathon!K15</f>
        <v>100.03732698934907</v>
      </c>
      <c r="M7" s="47"/>
    </row>
    <row r="8" spans="1:13">
      <c r="A8" s="54">
        <v>10</v>
      </c>
      <c r="B8" s="77">
        <f>+'5K'!J16</f>
        <v>86.332230609848182</v>
      </c>
      <c r="C8" s="78">
        <f>'8K'!F16</f>
        <v>87.312508681610566</v>
      </c>
      <c r="D8" s="78" t="e">
        <f>'10K'!#REF!</f>
        <v>#REF!</v>
      </c>
      <c r="E8" s="78">
        <f>'12K'!F16</f>
        <v>64.051046432581842</v>
      </c>
      <c r="F8" s="78"/>
      <c r="G8" s="78" t="e">
        <f>'10MI'!#REF!</f>
        <v>#REF!</v>
      </c>
      <c r="H8" s="78">
        <f>'20K'!F16</f>
        <v>0</v>
      </c>
      <c r="I8" s="78">
        <f>H.Marathon!K16</f>
        <v>86.4816002188428</v>
      </c>
      <c r="J8" s="78">
        <f>'25K'!F16</f>
        <v>0</v>
      </c>
      <c r="K8" s="78">
        <f>'30K'!F16</f>
        <v>0</v>
      </c>
      <c r="L8" s="78">
        <f>Marathon!K16</f>
        <v>90.556533166977999</v>
      </c>
      <c r="M8" s="47"/>
    </row>
    <row r="9" spans="1:13">
      <c r="A9" s="49">
        <v>11</v>
      </c>
      <c r="B9" s="75">
        <f>+'5K'!J17</f>
        <v>88.866922532709594</v>
      </c>
      <c r="C9" s="76">
        <f>'8K'!F17</f>
        <v>83.776150017797875</v>
      </c>
      <c r="D9" s="76"/>
      <c r="E9" s="76">
        <f>'12K'!F17</f>
        <v>74.64847570149405</v>
      </c>
      <c r="F9" s="76"/>
      <c r="G9" s="76" t="e">
        <f>'10MI'!#REF!</f>
        <v>#REF!</v>
      </c>
      <c r="H9" s="76">
        <f>'20K'!F17</f>
        <v>0</v>
      </c>
      <c r="I9" s="76">
        <f>H.Marathon!K17</f>
        <v>83.352889420303498</v>
      </c>
      <c r="J9" s="76">
        <f>'25K'!F17</f>
        <v>0</v>
      </c>
      <c r="K9" s="76">
        <f>'30K'!F17</f>
        <v>0</v>
      </c>
      <c r="L9" s="76">
        <f>Marathon!K17</f>
        <v>91.565483748613701</v>
      </c>
      <c r="M9" s="47"/>
    </row>
    <row r="10" spans="1:13">
      <c r="A10" s="49">
        <v>12</v>
      </c>
      <c r="B10" s="75">
        <f>+'5K'!J18</f>
        <v>87.128823864844776</v>
      </c>
      <c r="C10" s="76">
        <f>'8K'!F18</f>
        <v>83.867230318612343</v>
      </c>
      <c r="D10" s="76" t="e">
        <f>'10K'!#REF!</f>
        <v>#REF!</v>
      </c>
      <c r="E10" s="76">
        <f>'12K'!F18</f>
        <v>74.04944045308325</v>
      </c>
      <c r="F10" s="76"/>
      <c r="G10" s="76" t="e">
        <f>'10MI'!#REF!</f>
        <v>#REF!</v>
      </c>
      <c r="H10" s="76">
        <f>'20K'!F18</f>
        <v>0</v>
      </c>
      <c r="I10" s="76">
        <f>H.Marathon!K18</f>
        <v>84.039842726898328</v>
      </c>
      <c r="J10" s="76">
        <f>'25K'!F18</f>
        <v>83.088355690985665</v>
      </c>
      <c r="K10" s="76">
        <f>'30K'!F18</f>
        <v>0</v>
      </c>
      <c r="L10" s="76">
        <f>Marathon!K18</f>
        <v>81.202579335116425</v>
      </c>
      <c r="M10" s="47"/>
    </row>
    <row r="11" spans="1:13">
      <c r="A11" s="49">
        <v>13</v>
      </c>
      <c r="B11" s="75">
        <f>+'5K'!J19</f>
        <v>85.641316836882936</v>
      </c>
      <c r="C11" s="76">
        <f>'8K'!F19</f>
        <v>89.91791163535207</v>
      </c>
      <c r="D11" s="76" t="e">
        <f>'10K'!#REF!</f>
        <v>#REF!</v>
      </c>
      <c r="E11" s="76">
        <f>'12K'!F19</f>
        <v>70.252555446857542</v>
      </c>
      <c r="F11" s="76">
        <f>'15K'!F19</f>
        <v>74.288553414602561</v>
      </c>
      <c r="G11" s="76" t="e">
        <f>'10MI'!#REF!</f>
        <v>#REF!</v>
      </c>
      <c r="H11" s="76">
        <f>'20K'!F19</f>
        <v>71.853042318207571</v>
      </c>
      <c r="I11" s="76">
        <f>H.Marathon!K19</f>
        <v>81.404025302852574</v>
      </c>
      <c r="J11" s="76">
        <f>'25K'!F19</f>
        <v>79.593012989417275</v>
      </c>
      <c r="K11" s="76">
        <f>'30K'!F19</f>
        <v>0</v>
      </c>
      <c r="L11" s="76">
        <f>Marathon!K19</f>
        <v>87.014564566370396</v>
      </c>
      <c r="M11" s="47"/>
    </row>
    <row r="12" spans="1:13">
      <c r="A12" s="49">
        <v>14</v>
      </c>
      <c r="B12" s="75">
        <f>+'5K'!J20</f>
        <v>89.649348955032764</v>
      </c>
      <c r="C12" s="76">
        <f>'8K'!F20</f>
        <v>0</v>
      </c>
      <c r="D12" s="76" t="e">
        <f>'10K'!#REF!</f>
        <v>#REF!</v>
      </c>
      <c r="E12" s="76">
        <f>'12K'!F20</f>
        <v>72.498647667162956</v>
      </c>
      <c r="F12" s="76">
        <f>'15K'!F20</f>
        <v>79.092941506753277</v>
      </c>
      <c r="G12" s="76" t="e">
        <f>'10MI'!#REF!</f>
        <v>#REF!</v>
      </c>
      <c r="H12" s="76">
        <f>'20K'!F20</f>
        <v>64.574314852528005</v>
      </c>
      <c r="I12" s="76">
        <f>H.Marathon!K20</f>
        <v>84.912331155237325</v>
      </c>
      <c r="J12" s="76">
        <f>'25K'!F20</f>
        <v>0</v>
      </c>
      <c r="K12" s="76">
        <f>'30K'!F20</f>
        <v>0</v>
      </c>
      <c r="L12" s="76">
        <f>Marathon!K20</f>
        <v>84.626679899542353</v>
      </c>
      <c r="M12" s="47"/>
    </row>
    <row r="13" spans="1:13">
      <c r="A13" s="54">
        <v>15</v>
      </c>
      <c r="B13" s="77">
        <f>+'5K'!J21</f>
        <v>87.689168624792714</v>
      </c>
      <c r="C13" s="78">
        <f>'8K'!F21</f>
        <v>96.569558446816515</v>
      </c>
      <c r="D13" s="78" t="e">
        <f>'10K'!#REF!</f>
        <v>#REF!</v>
      </c>
      <c r="E13" s="78">
        <f>'12K'!F21</f>
        <v>82.447260343244338</v>
      </c>
      <c r="F13" s="78">
        <f>'15K'!F21</f>
        <v>83.784053563782905</v>
      </c>
      <c r="G13" s="78" t="e">
        <f>'10MI'!#REF!</f>
        <v>#REF!</v>
      </c>
      <c r="H13" s="78">
        <f>'20K'!F21</f>
        <v>65.662721386455956</v>
      </c>
      <c r="I13" s="78">
        <f>H.Marathon!K21</f>
        <v>96.846285328969245</v>
      </c>
      <c r="J13" s="78">
        <f>'25K'!F21</f>
        <v>71.988178690534653</v>
      </c>
      <c r="K13" s="78">
        <f>'30K'!F21</f>
        <v>0</v>
      </c>
      <c r="L13" s="78">
        <f>Marathon!K21</f>
        <v>89.038287792864253</v>
      </c>
      <c r="M13" s="47"/>
    </row>
    <row r="14" spans="1:13">
      <c r="A14" s="49">
        <v>16</v>
      </c>
      <c r="B14" s="75">
        <f>+'5K'!J22</f>
        <v>98.940146985790335</v>
      </c>
      <c r="C14" s="76">
        <f>'8K'!F22</f>
        <v>98.48228655197714</v>
      </c>
      <c r="D14" s="76" t="e">
        <f>'10K'!#REF!</f>
        <v>#REF!</v>
      </c>
      <c r="E14" s="76">
        <f>'12K'!F22</f>
        <v>74.787962890594898</v>
      </c>
      <c r="F14" s="76">
        <f>'15K'!F22</f>
        <v>81.288376194678037</v>
      </c>
      <c r="G14" s="76" t="e">
        <f>'10MI'!#REF!</f>
        <v>#REF!</v>
      </c>
      <c r="H14" s="76">
        <f>'20K'!F22</f>
        <v>74.235080574191045</v>
      </c>
      <c r="I14" s="76">
        <f>H.Marathon!K22</f>
        <v>98.254089459907149</v>
      </c>
      <c r="J14" s="76">
        <f>'25K'!F22</f>
        <v>79.080614040765923</v>
      </c>
      <c r="K14" s="76">
        <f>'30K'!F22</f>
        <v>0</v>
      </c>
      <c r="L14" s="76">
        <f>Marathon!K22</f>
        <v>95.961143363428135</v>
      </c>
      <c r="M14" s="47"/>
    </row>
    <row r="15" spans="1:13">
      <c r="A15" s="49">
        <v>17</v>
      </c>
      <c r="B15" s="75">
        <f>+'5K'!J23</f>
        <v>97.866634306786892</v>
      </c>
      <c r="C15" s="76">
        <f>'8K'!F23</f>
        <v>95.657042830146509</v>
      </c>
      <c r="D15" s="76" t="e">
        <f>'10K'!#REF!</f>
        <v>#REF!</v>
      </c>
      <c r="E15" s="76">
        <f>'12K'!F23</f>
        <v>79.485067220324183</v>
      </c>
      <c r="F15" s="76">
        <f>'15K'!F23</f>
        <v>84.074369053072004</v>
      </c>
      <c r="G15" s="76" t="e">
        <f>'10MI'!#REF!</f>
        <v>#REF!</v>
      </c>
      <c r="H15" s="76">
        <f>'20K'!F23</f>
        <v>80.004521976204927</v>
      </c>
      <c r="I15" s="76">
        <f>H.Marathon!K23</f>
        <v>98.40108922677733</v>
      </c>
      <c r="J15" s="76">
        <f>'25K'!F23</f>
        <v>71.728399200555756</v>
      </c>
      <c r="K15" s="76">
        <f>'30K'!F23</f>
        <v>69.24119067251786</v>
      </c>
      <c r="L15" s="76">
        <f>Marathon!K23</f>
        <v>97.065886740813283</v>
      </c>
      <c r="M15" s="47"/>
    </row>
    <row r="16" spans="1:13">
      <c r="A16" s="49">
        <v>18</v>
      </c>
      <c r="B16" s="75">
        <f>+'5K'!J24</f>
        <v>98.887230080187166</v>
      </c>
      <c r="C16" s="76">
        <f>'8K'!F24</f>
        <v>95.768119880058904</v>
      </c>
      <c r="D16" s="76" t="e">
        <f>'10K'!#REF!</f>
        <v>#REF!</v>
      </c>
      <c r="E16" s="76">
        <f>'12K'!F24</f>
        <v>81.991913601242857</v>
      </c>
      <c r="F16" s="76">
        <f>'15K'!F24</f>
        <v>82.231122168376402</v>
      </c>
      <c r="G16" s="76" t="e">
        <f>'10MI'!#REF!</f>
        <v>#REF!</v>
      </c>
      <c r="H16" s="76">
        <f>'20K'!F24</f>
        <v>82.946986727264473</v>
      </c>
      <c r="I16" s="76">
        <f>H.Marathon!K24</f>
        <v>98.525120908109841</v>
      </c>
      <c r="J16" s="76">
        <f>'25K'!F24</f>
        <v>72.824066439973066</v>
      </c>
      <c r="K16" s="76">
        <f>'30K'!F24</f>
        <v>75.776957812750013</v>
      </c>
      <c r="L16" s="76">
        <f>Marathon!K24</f>
        <v>100.02908931636789</v>
      </c>
      <c r="M16" s="47"/>
    </row>
    <row r="17" spans="1:13">
      <c r="A17" s="49">
        <v>19</v>
      </c>
      <c r="B17" s="75">
        <f>+'5K'!J25</f>
        <v>98.846153846153854</v>
      </c>
      <c r="C17" s="76">
        <f>'8K'!F25</f>
        <v>95.416099709594704</v>
      </c>
      <c r="D17" s="76" t="e">
        <f>'10K'!#REF!</f>
        <v>#REF!</v>
      </c>
      <c r="E17" s="76">
        <f>'12K'!F25</f>
        <v>80.715367213003375</v>
      </c>
      <c r="F17" s="76">
        <f>'15K'!F25</f>
        <v>83.501038578163147</v>
      </c>
      <c r="G17" s="76" t="e">
        <f>'10MI'!#REF!</f>
        <v>#REF!</v>
      </c>
      <c r="H17" s="76">
        <f>'20K'!F25</f>
        <v>82.266308414138706</v>
      </c>
      <c r="I17" s="76">
        <f>H.Marathon!K25</f>
        <v>98.309005344181244</v>
      </c>
      <c r="J17" s="76">
        <f>'25K'!F25</f>
        <v>81.460785323559833</v>
      </c>
      <c r="K17" s="76">
        <f>'30K'!F25</f>
        <v>78.849125254218663</v>
      </c>
      <c r="L17" s="76">
        <f>Marathon!K25</f>
        <v>98.392322488554655</v>
      </c>
      <c r="M17" s="47"/>
    </row>
    <row r="18" spans="1:13">
      <c r="A18" s="54">
        <v>20</v>
      </c>
      <c r="B18" s="77">
        <f>+'5K'!J26</f>
        <v>100.26007802340702</v>
      </c>
      <c r="C18" s="78">
        <f>'8K'!F26</f>
        <v>94.994641870385564</v>
      </c>
      <c r="D18" s="78" t="e">
        <f>'10K'!#REF!</f>
        <v>#REF!</v>
      </c>
      <c r="E18" s="78">
        <f>'12K'!F26</f>
        <v>80.861107605387801</v>
      </c>
      <c r="F18" s="78">
        <f>'15K'!F26</f>
        <v>82.095589261924331</v>
      </c>
      <c r="G18" s="78" t="e">
        <f>'10MI'!#REF!</f>
        <v>#REF!</v>
      </c>
      <c r="H18" s="78">
        <f>'20K'!F26</f>
        <v>82.844173111697586</v>
      </c>
      <c r="I18" s="78">
        <f>H.Marathon!K26</f>
        <v>99.826439109054093</v>
      </c>
      <c r="J18" s="78">
        <f>'25K'!F26</f>
        <v>79.041586718314235</v>
      </c>
      <c r="K18" s="78">
        <f>'30K'!F26</f>
        <v>80.171827890334882</v>
      </c>
      <c r="L18" s="78">
        <f>Marathon!K26</f>
        <v>97.426486430584404</v>
      </c>
      <c r="M18" s="47"/>
    </row>
    <row r="19" spans="1:13">
      <c r="A19" s="49">
        <v>21</v>
      </c>
      <c r="B19" s="75">
        <f>+'5K'!J27</f>
        <v>97.471554993678879</v>
      </c>
      <c r="C19" s="76">
        <f>'8K'!F27</f>
        <v>93.937125748502993</v>
      </c>
      <c r="D19" s="76" t="e">
        <f>'10K'!#REF!</f>
        <v>#REF!</v>
      </c>
      <c r="E19" s="76">
        <f>'12K'!F27</f>
        <v>82.64997842037117</v>
      </c>
      <c r="F19" s="76">
        <f>'15K'!F27</f>
        <v>90.78947368421052</v>
      </c>
      <c r="G19" s="76" t="e">
        <f>'10MI'!#REF!</f>
        <v>#REF!</v>
      </c>
      <c r="H19" s="76">
        <f>'20K'!F27</f>
        <v>84.042278937870591</v>
      </c>
      <c r="I19" s="76">
        <f>H.Marathon!K27</f>
        <v>100</v>
      </c>
      <c r="J19" s="76">
        <f>'25K'!F27</f>
        <v>80.738537262828046</v>
      </c>
      <c r="K19" s="76">
        <f>'30K'!F27</f>
        <v>80.326518409576337</v>
      </c>
      <c r="L19" s="76">
        <f>Marathon!K27</f>
        <v>97.139206726463783</v>
      </c>
      <c r="M19" s="47"/>
    </row>
    <row r="20" spans="1:13">
      <c r="A20" s="49">
        <v>22</v>
      </c>
      <c r="B20" s="75">
        <f>+'5K'!J28</f>
        <v>97.471554993678879</v>
      </c>
      <c r="C20" s="76">
        <f>'8K'!F28</f>
        <v>94.788519637462215</v>
      </c>
      <c r="D20" s="76" t="e">
        <f>'10K'!#REF!</f>
        <v>#REF!</v>
      </c>
      <c r="E20" s="76">
        <f>'12K'!F28</f>
        <v>83.624454148471628</v>
      </c>
      <c r="F20" s="76">
        <f>'15K'!F28</f>
        <v>83.448514167242564</v>
      </c>
      <c r="G20" s="76" t="e">
        <f>'10MI'!#REF!</f>
        <v>#REF!</v>
      </c>
      <c r="H20" s="76">
        <f>'20K'!F28</f>
        <v>84.609395276407994</v>
      </c>
      <c r="I20" s="76">
        <f>H.Marathon!K28</f>
        <v>98.910862711378627</v>
      </c>
      <c r="J20" s="76">
        <f>'25K'!F28</f>
        <v>80.414791625904897</v>
      </c>
      <c r="K20" s="76">
        <f>'30K'!F28</f>
        <v>83.04152076038018</v>
      </c>
      <c r="L20" s="76">
        <f>Marathon!K28</f>
        <v>96.569674319273901</v>
      </c>
      <c r="M20" s="47"/>
    </row>
    <row r="21" spans="1:13">
      <c r="A21" s="49">
        <v>23</v>
      </c>
      <c r="B21" s="75">
        <f>+'5K'!J29</f>
        <v>100</v>
      </c>
      <c r="C21" s="76">
        <f>'8K'!F29</f>
        <v>94.788519637462215</v>
      </c>
      <c r="D21" s="76" t="e">
        <f>'10K'!#REF!</f>
        <v>#REF!</v>
      </c>
      <c r="E21" s="76">
        <f>'12K'!F29</f>
        <v>83.224684919600179</v>
      </c>
      <c r="F21" s="76">
        <f>'15K'!F29</f>
        <v>90.78947368421052</v>
      </c>
      <c r="G21" s="76" t="e">
        <f>'10MI'!#REF!</f>
        <v>#REF!</v>
      </c>
      <c r="H21" s="76">
        <f>'20K'!F29</f>
        <v>88.466757123473542</v>
      </c>
      <c r="I21" s="76">
        <f>H.Marathon!K29</f>
        <v>98.431260695949803</v>
      </c>
      <c r="J21" s="76">
        <f>'25K'!F29</f>
        <v>81.081081081081081</v>
      </c>
      <c r="K21" s="76">
        <f>'30K'!F29</f>
        <v>83.753784056508579</v>
      </c>
      <c r="L21" s="76">
        <f>Marathon!K29</f>
        <v>100</v>
      </c>
      <c r="M21" s="47"/>
    </row>
    <row r="22" spans="1:13">
      <c r="A22" s="49">
        <v>24</v>
      </c>
      <c r="B22" s="75">
        <f>+'5K'!J30</f>
        <v>97.594936708860757</v>
      </c>
      <c r="C22" s="76">
        <f>'8K'!F30</f>
        <v>94.219219219219212</v>
      </c>
      <c r="D22" s="76" t="e">
        <f>'10K'!#REF!</f>
        <v>#REF!</v>
      </c>
      <c r="E22" s="76">
        <f>'12K'!F30</f>
        <v>82.188841201716755</v>
      </c>
      <c r="F22" s="76">
        <f>'15K'!F30</f>
        <v>86.621233859397435</v>
      </c>
      <c r="G22" s="76" t="e">
        <f>'10MI'!#REF!</f>
        <v>#REF!</v>
      </c>
      <c r="H22" s="76">
        <f>'20K'!F30</f>
        <v>82.909460834181075</v>
      </c>
      <c r="I22" s="76">
        <f>H.Marathon!K30</f>
        <v>99.971031286210902</v>
      </c>
      <c r="J22" s="76">
        <f>'25K'!F30</f>
        <v>82.282282282282281</v>
      </c>
      <c r="K22" s="76">
        <f>'30K'!F30</f>
        <v>80.517380759902991</v>
      </c>
      <c r="L22" s="76">
        <f>Marathon!K30</f>
        <v>97.218489653318997</v>
      </c>
      <c r="M22" s="47"/>
    </row>
    <row r="23" spans="1:13">
      <c r="A23" s="54">
        <v>25</v>
      </c>
      <c r="B23" s="77">
        <f>+'5K'!J31</f>
        <v>97.471554993678879</v>
      </c>
      <c r="C23" s="78">
        <f>'8K'!F31</f>
        <v>94.931921331316175</v>
      </c>
      <c r="D23" s="78" t="e">
        <f>'10K'!#REF!</f>
        <v>#REF!</v>
      </c>
      <c r="E23" s="78">
        <f>'12K'!F31</f>
        <v>81.316348195329084</v>
      </c>
      <c r="F23" s="78">
        <f>'15K'!F31</f>
        <v>85.72949946751865</v>
      </c>
      <c r="G23" s="78" t="e">
        <f>'10MI'!#REF!</f>
        <v>#REF!</v>
      </c>
      <c r="H23" s="78">
        <f>'20K'!F31</f>
        <v>85.184217402665269</v>
      </c>
      <c r="I23" s="78">
        <f>H.Marathon!K31</f>
        <v>97.65138653084324</v>
      </c>
      <c r="J23" s="78">
        <f>'25K'!F31</f>
        <v>80.953318889107734</v>
      </c>
      <c r="K23" s="78">
        <f>'30K'!F31</f>
        <v>83.711548159354521</v>
      </c>
      <c r="L23" s="78">
        <f>Marathon!K31</f>
        <v>98.194896851248629</v>
      </c>
      <c r="M23" s="47"/>
    </row>
    <row r="24" spans="1:13">
      <c r="A24" s="49">
        <v>26</v>
      </c>
      <c r="B24" s="75">
        <f>+'5K'!J32</f>
        <v>97.103274559193949</v>
      </c>
      <c r="C24" s="76">
        <f>'8K'!F32</f>
        <v>93.796711509715976</v>
      </c>
      <c r="D24" s="76" t="e">
        <f>'10K'!#REF!</f>
        <v>#REF!</v>
      </c>
      <c r="E24" s="76">
        <f>'12K'!F32</f>
        <v>83.880858519491909</v>
      </c>
      <c r="F24" s="76">
        <f>'15K'!F32</f>
        <v>84.205020920502093</v>
      </c>
      <c r="G24" s="76" t="e">
        <f>'10MI'!#REF!</f>
        <v>#REF!</v>
      </c>
      <c r="H24" s="76">
        <f>'20K'!F32</f>
        <v>85.028690662493489</v>
      </c>
      <c r="I24" s="76">
        <f>H.Marathon!K32</f>
        <v>99.138178684286132</v>
      </c>
      <c r="J24" s="76">
        <f>'25K'!F32</f>
        <v>82.430806257521056</v>
      </c>
      <c r="K24" s="76">
        <f>'30K'!F32</f>
        <v>79.349904397705544</v>
      </c>
      <c r="L24" s="76">
        <f>Marathon!K32</f>
        <v>97.53302777028847</v>
      </c>
      <c r="M24" s="47"/>
    </row>
    <row r="25" spans="1:13">
      <c r="A25" s="49">
        <v>27</v>
      </c>
      <c r="B25" s="75">
        <f>+'5K'!J33</f>
        <v>97.103274559193949</v>
      </c>
      <c r="C25" s="76">
        <f>'8K'!F33</f>
        <v>94.860166288737702</v>
      </c>
      <c r="D25" s="76" t="e">
        <f>'10K'!#REF!</f>
        <v>#REF!</v>
      </c>
      <c r="E25" s="76">
        <f>'12K'!F33</f>
        <v>82.118353344768451</v>
      </c>
      <c r="F25" s="76">
        <f>'15K'!F33</f>
        <v>85.577604535790215</v>
      </c>
      <c r="G25" s="76" t="e">
        <f>'10MI'!#REF!</f>
        <v>#REF!</v>
      </c>
      <c r="H25" s="76">
        <f>'20K'!F33</f>
        <v>84.477844001036544</v>
      </c>
      <c r="I25" s="76">
        <f>H.Marathon!K33</f>
        <v>97.293487454186661</v>
      </c>
      <c r="J25" s="76">
        <f>'25K'!F33</f>
        <v>80.937376920047257</v>
      </c>
      <c r="K25" s="76">
        <f>'30K'!F33</f>
        <v>80.000000000000014</v>
      </c>
      <c r="L25" s="76">
        <f>Marathon!K33</f>
        <v>98.101694915254242</v>
      </c>
      <c r="M25" s="47"/>
    </row>
    <row r="26" spans="1:13">
      <c r="A26" s="49">
        <v>28</v>
      </c>
      <c r="B26" s="75">
        <f>+'5K'!J34</f>
        <v>96.859296482412063</v>
      </c>
      <c r="C26" s="76">
        <f>'8K'!F34</f>
        <v>94.020241133509003</v>
      </c>
      <c r="D26" s="76" t="e">
        <f>'10K'!#REF!</f>
        <v>#REF!</v>
      </c>
      <c r="E26" s="76">
        <f>'12K'!F34</f>
        <v>83.056787094233158</v>
      </c>
      <c r="F26" s="76">
        <f>'15K'!F34</f>
        <v>84.685157811146496</v>
      </c>
      <c r="G26" s="76" t="e">
        <f>'10MI'!#REF!</f>
        <v>#REF!</v>
      </c>
      <c r="H26" s="76">
        <f>'20K'!F34</f>
        <v>81.501166395920663</v>
      </c>
      <c r="I26" s="76">
        <f>H.Marathon!K34</f>
        <v>98.515558093063106</v>
      </c>
      <c r="J26" s="76">
        <f>'25K'!F34</f>
        <v>85.750052159399118</v>
      </c>
      <c r="K26" s="76">
        <f>'30K'!F34</f>
        <v>81.412457086807251</v>
      </c>
      <c r="L26" s="76">
        <f>Marathon!K34</f>
        <v>97.559331175836022</v>
      </c>
      <c r="M26" s="47"/>
    </row>
    <row r="27" spans="1:13">
      <c r="A27" s="49">
        <v>29</v>
      </c>
      <c r="B27" s="75">
        <f>+'5K'!J35</f>
        <v>96.134663341645876</v>
      </c>
      <c r="C27" s="76">
        <f>'8K'!F35</f>
        <v>94.141795926404797</v>
      </c>
      <c r="D27" s="76" t="e">
        <f>'10K'!#REF!</f>
        <v>#REF!</v>
      </c>
      <c r="E27" s="76">
        <f>'12K'!F35</f>
        <v>84.425040874910863</v>
      </c>
      <c r="F27" s="76">
        <f>'15K'!F35</f>
        <v>83.892496784818334</v>
      </c>
      <c r="G27" s="76" t="e">
        <f>'10MI'!#REF!</f>
        <v>#REF!</v>
      </c>
      <c r="H27" s="76">
        <f>'20K'!F35</f>
        <v>83.531470472438983</v>
      </c>
      <c r="I27" s="76">
        <f>H.Marathon!K35</f>
        <v>98.656375071469427</v>
      </c>
      <c r="J27" s="76">
        <f>'25K'!F35</f>
        <v>86.947323884070244</v>
      </c>
      <c r="K27" s="76">
        <f>'30K'!F35</f>
        <v>77.946470496165304</v>
      </c>
      <c r="L27" s="76">
        <f>Marathon!K35</f>
        <v>97.849607790100094</v>
      </c>
      <c r="M27" s="47"/>
    </row>
    <row r="28" spans="1:13">
      <c r="A28" s="54">
        <v>30</v>
      </c>
      <c r="B28" s="77">
        <f>+'5K'!J36</f>
        <v>95.547393854211336</v>
      </c>
      <c r="C28" s="78">
        <f>'8K'!F36</f>
        <v>93.659871654242139</v>
      </c>
      <c r="D28" s="78" t="e">
        <f>'10K'!#REF!</f>
        <v>#REF!</v>
      </c>
      <c r="E28" s="78">
        <f>'12K'!F36</f>
        <v>83.836950879556809</v>
      </c>
      <c r="F28" s="78">
        <f>'15K'!F36</f>
        <v>85.754875103369983</v>
      </c>
      <c r="G28" s="78" t="e">
        <f>'10MI'!#REF!</f>
        <v>#REF!</v>
      </c>
      <c r="H28" s="78">
        <f>'20K'!F36</f>
        <v>82.964714698849747</v>
      </c>
      <c r="I28" s="78">
        <f>H.Marathon!K36</f>
        <v>97.458345100254178</v>
      </c>
      <c r="J28" s="78">
        <f>'25K'!F36</f>
        <v>83.013532619672787</v>
      </c>
      <c r="K28" s="78">
        <f>'30K'!F36</f>
        <v>88.297872340425528</v>
      </c>
      <c r="L28" s="78">
        <f>Marathon!K36</f>
        <v>98.075098278432947</v>
      </c>
      <c r="M28" s="47"/>
    </row>
    <row r="29" spans="1:13">
      <c r="A29" s="49">
        <v>31</v>
      </c>
      <c r="B29" s="75">
        <f>+'5K'!J37</f>
        <v>96.478412798718622</v>
      </c>
      <c r="C29" s="76">
        <f>'8K'!F37</f>
        <v>93.601597519237529</v>
      </c>
      <c r="D29" s="76" t="e">
        <f>'10K'!#REF!</f>
        <v>#REF!</v>
      </c>
      <c r="E29" s="76">
        <f>'12K'!F37</f>
        <v>82.936394115746566</v>
      </c>
      <c r="F29" s="76">
        <f>'15K'!F37</f>
        <v>85.280990241056088</v>
      </c>
      <c r="G29" s="76" t="e">
        <f>'10MI'!#REF!</f>
        <v>#REF!</v>
      </c>
      <c r="H29" s="76">
        <f>'20K'!F37</f>
        <v>82.72281508216949</v>
      </c>
      <c r="I29" s="76">
        <f>H.Marathon!K37</f>
        <v>97.54098360655739</v>
      </c>
      <c r="J29" s="76">
        <f>'25K'!F37</f>
        <v>79.114533205004818</v>
      </c>
      <c r="K29" s="76">
        <f>'30K'!F37</f>
        <v>77.983088005010956</v>
      </c>
      <c r="L29" s="76">
        <f>Marathon!K37</f>
        <v>97.96885578876099</v>
      </c>
      <c r="M29" s="47"/>
    </row>
    <row r="30" spans="1:13">
      <c r="A30" s="49">
        <v>32</v>
      </c>
      <c r="B30" s="75">
        <f>+'5K'!J38</f>
        <v>95.959841739693431</v>
      </c>
      <c r="C30" s="76">
        <f>'8K'!F38</f>
        <v>95.446874376372335</v>
      </c>
      <c r="D30" s="76" t="e">
        <f>'10K'!#REF!</f>
        <v>#REF!</v>
      </c>
      <c r="E30" s="76">
        <f>'12K'!F38</f>
        <v>84.464887309796651</v>
      </c>
      <c r="F30" s="76">
        <f>'15K'!F38</f>
        <v>85.890935235493274</v>
      </c>
      <c r="G30" s="76" t="e">
        <f>'10MI'!#REF!</f>
        <v>#REF!</v>
      </c>
      <c r="H30" s="76">
        <f>'20K'!F38</f>
        <v>85.820914156258397</v>
      </c>
      <c r="I30" s="76">
        <f>H.Marathon!K38</f>
        <v>96.740200057948812</v>
      </c>
      <c r="J30" s="76">
        <f>'25K'!F38</f>
        <v>83.076411117540147</v>
      </c>
      <c r="K30" s="76">
        <f>'30K'!F38</f>
        <v>80.252822902994112</v>
      </c>
      <c r="L30" s="76">
        <f>Marathon!K38</f>
        <v>97.611980572045326</v>
      </c>
      <c r="M30" s="47"/>
    </row>
    <row r="31" spans="1:13">
      <c r="A31" s="49">
        <v>33</v>
      </c>
      <c r="B31" s="75">
        <f>+'5K'!J39</f>
        <v>95.790762411304158</v>
      </c>
      <c r="C31" s="76">
        <f>'8K'!F39</f>
        <v>93.622839609880842</v>
      </c>
      <c r="D31" s="76" t="e">
        <f>'10K'!#REF!</f>
        <v>#REF!</v>
      </c>
      <c r="E31" s="76">
        <f>'12K'!F39</f>
        <v>82.250710881936797</v>
      </c>
      <c r="F31" s="76">
        <f>'15K'!F39</f>
        <v>84.943103840005506</v>
      </c>
      <c r="G31" s="76" t="e">
        <f>'10MI'!#REF!</f>
        <v>#REF!</v>
      </c>
      <c r="H31" s="76">
        <f>'20K'!F39</f>
        <v>81.171700752657642</v>
      </c>
      <c r="I31" s="76">
        <f>H.Marathon!K39</f>
        <v>96.965156381672841</v>
      </c>
      <c r="J31" s="76">
        <f>'25K'!F39</f>
        <v>81.054958566653681</v>
      </c>
      <c r="K31" s="76">
        <f>'30K'!F39</f>
        <v>79.747693282467267</v>
      </c>
      <c r="L31" s="76">
        <f>Marathon!K39</f>
        <v>99.123167557199622</v>
      </c>
      <c r="M31" s="47"/>
    </row>
    <row r="32" spans="1:13">
      <c r="A32" s="49">
        <v>34</v>
      </c>
      <c r="B32" s="75">
        <f>+'5K'!J40</f>
        <v>97.042380160094453</v>
      </c>
      <c r="C32" s="76">
        <f>'8K'!F40</f>
        <v>94.540500874141543</v>
      </c>
      <c r="D32" s="76" t="e">
        <f>'10K'!#REF!</f>
        <v>#REF!</v>
      </c>
      <c r="E32" s="76">
        <f>'12K'!F40</f>
        <v>81.865877014690497</v>
      </c>
      <c r="F32" s="76">
        <f>'15K'!F40</f>
        <v>85.675635986053564</v>
      </c>
      <c r="G32" s="76" t="e">
        <f>'10MI'!#REF!</f>
        <v>#REF!</v>
      </c>
      <c r="H32" s="76">
        <f>'20K'!F40</f>
        <v>83.699696603617397</v>
      </c>
      <c r="I32" s="76">
        <f>H.Marathon!K40</f>
        <v>97.415497137308293</v>
      </c>
      <c r="J32" s="76">
        <f>'25K'!F40</f>
        <v>80.439030493937665</v>
      </c>
      <c r="K32" s="76">
        <f>'30K'!F40</f>
        <v>80.086567164616767</v>
      </c>
      <c r="L32" s="76">
        <f>Marathon!K40</f>
        <v>98.341715373114042</v>
      </c>
      <c r="M32" s="47"/>
    </row>
    <row r="33" spans="1:13">
      <c r="A33" s="54">
        <v>35</v>
      </c>
      <c r="B33" s="77">
        <f>+'5K'!J41</f>
        <v>96.84725407082999</v>
      </c>
      <c r="C33" s="78">
        <f>'8K'!F41</f>
        <v>94.076471849012307</v>
      </c>
      <c r="D33" s="78" t="e">
        <f>'10K'!#REF!</f>
        <v>#REF!</v>
      </c>
      <c r="E33" s="78">
        <f>'12K'!F41</f>
        <v>82.374226232999661</v>
      </c>
      <c r="F33" s="78">
        <f>'15K'!F41</f>
        <v>82.370672798716825</v>
      </c>
      <c r="G33" s="78" t="e">
        <f>'10MI'!#REF!</f>
        <v>#REF!</v>
      </c>
      <c r="H33" s="78">
        <f>'20K'!F41</f>
        <v>81.437881619474098</v>
      </c>
      <c r="I33" s="78">
        <f>H.Marathon!K41</f>
        <v>97.271863866744042</v>
      </c>
      <c r="J33" s="78">
        <f>'25K'!F41</f>
        <v>80.028544476928303</v>
      </c>
      <c r="K33" s="78">
        <f>'30K'!F41</f>
        <v>86.660549937383195</v>
      </c>
      <c r="L33" s="78">
        <f>Marathon!K41</f>
        <v>97.257695926871875</v>
      </c>
      <c r="M33" s="47"/>
    </row>
    <row r="34" spans="1:13">
      <c r="A34" s="49">
        <v>36</v>
      </c>
      <c r="B34" s="75">
        <f>+'5K'!J42</f>
        <v>95.711907902054563</v>
      </c>
      <c r="C34" s="76">
        <f>'8K'!F42</f>
        <v>95.553015335356079</v>
      </c>
      <c r="D34" s="76" t="e">
        <f>'10K'!#REF!</f>
        <v>#REF!</v>
      </c>
      <c r="E34" s="76">
        <f>'12K'!F42</f>
        <v>81.206437275045133</v>
      </c>
      <c r="F34" s="76">
        <f>'15K'!F42</f>
        <v>82.517910564456557</v>
      </c>
      <c r="G34" s="76" t="e">
        <f>'10MI'!#REF!</f>
        <v>#REF!</v>
      </c>
      <c r="H34" s="76">
        <f>'20K'!F42</f>
        <v>86.692240446859714</v>
      </c>
      <c r="I34" s="76">
        <f>H.Marathon!K42</f>
        <v>96.905251739541924</v>
      </c>
      <c r="J34" s="76">
        <f>'25K'!F42</f>
        <v>80.430301975791167</v>
      </c>
      <c r="K34" s="76">
        <f>'30K'!F42</f>
        <v>80.724809685296364</v>
      </c>
      <c r="L34" s="76">
        <f>Marathon!K42</f>
        <v>96.20721888706079</v>
      </c>
      <c r="M34" s="47"/>
    </row>
    <row r="35" spans="1:13">
      <c r="A35" s="49">
        <v>37</v>
      </c>
      <c r="B35" s="75">
        <f>+'5K'!J43</f>
        <v>95.820748833559463</v>
      </c>
      <c r="C35" s="76">
        <f>'8K'!F43</f>
        <v>93.112972754433656</v>
      </c>
      <c r="D35" s="76" t="e">
        <f>'10K'!#REF!</f>
        <v>#REF!</v>
      </c>
      <c r="E35" s="76">
        <f>'12K'!F43</f>
        <v>81.709387140848193</v>
      </c>
      <c r="F35" s="76">
        <f>'15K'!F43</f>
        <v>83.972331659213253</v>
      </c>
      <c r="G35" s="76" t="e">
        <f>'10MI'!#REF!</f>
        <v>#REF!</v>
      </c>
      <c r="H35" s="76">
        <f>'20K'!F43</f>
        <v>82.399922826029567</v>
      </c>
      <c r="I35" s="76">
        <f>H.Marathon!K43</f>
        <v>96.876081820342847</v>
      </c>
      <c r="J35" s="76">
        <f>'25K'!F43</f>
        <v>81.177437283366089</v>
      </c>
      <c r="K35" s="76">
        <f>'30K'!F43</f>
        <v>78.954506770965054</v>
      </c>
      <c r="L35" s="76">
        <f>Marathon!K43</f>
        <v>99.444068484319146</v>
      </c>
      <c r="M35" s="47"/>
    </row>
    <row r="36" spans="1:13">
      <c r="A36" s="49">
        <v>38</v>
      </c>
      <c r="B36" s="75">
        <f>+'5K'!J44</f>
        <v>97.934459363677519</v>
      </c>
      <c r="C36" s="76">
        <f>'8K'!F44</f>
        <v>94.350405855851449</v>
      </c>
      <c r="D36" s="76" t="e">
        <f>'10K'!#REF!</f>
        <v>#REF!</v>
      </c>
      <c r="E36" s="76">
        <f>'12K'!F44</f>
        <v>84.449993248080801</v>
      </c>
      <c r="F36" s="76">
        <f>'15K'!F44</f>
        <v>84.770926075547393</v>
      </c>
      <c r="G36" s="76" t="e">
        <f>'10MI'!#REF!</f>
        <v>#REF!</v>
      </c>
      <c r="H36" s="76">
        <f>'20K'!F44</f>
        <v>81.834474273801277</v>
      </c>
      <c r="I36" s="76">
        <f>H.Marathon!K44</f>
        <v>96.552739842769284</v>
      </c>
      <c r="J36" s="76">
        <f>'25K'!F44</f>
        <v>78.791730553889494</v>
      </c>
      <c r="K36" s="76">
        <f>'30K'!F44</f>
        <v>78.674187438847326</v>
      </c>
      <c r="L36" s="76">
        <f>Marathon!K44</f>
        <v>99.057479379135387</v>
      </c>
      <c r="M36" s="47"/>
    </row>
    <row r="37" spans="1:13">
      <c r="A37" s="49">
        <v>39</v>
      </c>
      <c r="B37" s="75">
        <f>+'5K'!J45</f>
        <v>99.258560439322764</v>
      </c>
      <c r="C37" s="76">
        <f>'8K'!F45</f>
        <v>95.443638081329226</v>
      </c>
      <c r="D37" s="76" t="e">
        <f>'10K'!#REF!</f>
        <v>#REF!</v>
      </c>
      <c r="E37" s="76">
        <f>'12K'!F45</f>
        <v>81.855772095961072</v>
      </c>
      <c r="F37" s="76">
        <f>'15K'!F45</f>
        <v>84.775192548596621</v>
      </c>
      <c r="G37" s="76" t="e">
        <f>'10MI'!#REF!</f>
        <v>#REF!</v>
      </c>
      <c r="H37" s="76">
        <f>'20K'!F45</f>
        <v>85.595681518477406</v>
      </c>
      <c r="I37" s="76">
        <f>H.Marathon!K45</f>
        <v>96.646075908869406</v>
      </c>
      <c r="J37" s="76">
        <f>'25K'!F45</f>
        <v>80.818206200991298</v>
      </c>
      <c r="K37" s="76">
        <f>'30K'!F45</f>
        <v>79.044367213738312</v>
      </c>
      <c r="L37" s="76">
        <f>Marathon!K45</f>
        <v>97.059896755637112</v>
      </c>
      <c r="M37" s="47"/>
    </row>
    <row r="38" spans="1:13">
      <c r="A38" s="54">
        <v>40</v>
      </c>
      <c r="B38" s="77">
        <f>+'5K'!J46</f>
        <v>99.014732775802912</v>
      </c>
      <c r="C38" s="78">
        <f>'8K'!F46</f>
        <v>94.434136019239148</v>
      </c>
      <c r="D38" s="78" t="e">
        <f>'10K'!#REF!</f>
        <v>#REF!</v>
      </c>
      <c r="E38" s="78">
        <f>'12K'!F46</f>
        <v>82.110911427433592</v>
      </c>
      <c r="F38" s="78">
        <f>'15K'!F46</f>
        <v>84.446591569009811</v>
      </c>
      <c r="G38" s="78" t="e">
        <f>'10MI'!#REF!</f>
        <v>#REF!</v>
      </c>
      <c r="H38" s="78">
        <f>'20K'!F46</f>
        <v>81.726212363784782</v>
      </c>
      <c r="I38" s="78">
        <f>H.Marathon!K46</f>
        <v>97.870739949871819</v>
      </c>
      <c r="J38" s="78">
        <f>'25K'!F46</f>
        <v>81.822243512376062</v>
      </c>
      <c r="K38" s="78">
        <f>'30K'!F46</f>
        <v>82.332196190704366</v>
      </c>
      <c r="L38" s="78">
        <f>Marathon!K46</f>
        <v>97.914497001184131</v>
      </c>
      <c r="M38" s="47"/>
    </row>
    <row r="39" spans="1:13">
      <c r="A39" s="49">
        <v>41</v>
      </c>
      <c r="B39" s="75">
        <f>+'5K'!J47</f>
        <v>99.871837618495789</v>
      </c>
      <c r="C39" s="76">
        <f>'8K'!F47</f>
        <v>97.498238195939678</v>
      </c>
      <c r="D39" s="76" t="e">
        <f>'10K'!#REF!</f>
        <v>#REF!</v>
      </c>
      <c r="E39" s="76">
        <f>'12K'!F47</f>
        <v>83.647310379668838</v>
      </c>
      <c r="F39" s="76">
        <f>'15K'!F47</f>
        <v>83.690081530214755</v>
      </c>
      <c r="G39" s="76" t="e">
        <f>'10MI'!#REF!</f>
        <v>#REF!</v>
      </c>
      <c r="H39" s="76">
        <f>'20K'!F47</f>
        <v>86.285257049890077</v>
      </c>
      <c r="I39" s="76">
        <f>H.Marathon!K47</f>
        <v>96.273289153071801</v>
      </c>
      <c r="J39" s="76">
        <f>'25K'!F47</f>
        <v>83.721309807375533</v>
      </c>
      <c r="K39" s="76">
        <f>'30K'!F47</f>
        <v>76.099179675645203</v>
      </c>
      <c r="L39" s="76">
        <f>Marathon!K47</f>
        <v>100.04016125063615</v>
      </c>
      <c r="M39" s="47"/>
    </row>
    <row r="40" spans="1:13">
      <c r="A40" s="49">
        <v>42</v>
      </c>
      <c r="B40" s="75">
        <f>+'5K'!J48</f>
        <v>98.691031788496545</v>
      </c>
      <c r="C40" s="76">
        <f>'8K'!F48</f>
        <v>93.885997688963045</v>
      </c>
      <c r="D40" s="76" t="e">
        <f>'10K'!#REF!</f>
        <v>#REF!</v>
      </c>
      <c r="E40" s="76">
        <f>'12K'!F48</f>
        <v>82.74651814988232</v>
      </c>
      <c r="F40" s="76">
        <f>'15K'!F48</f>
        <v>83.440487735275838</v>
      </c>
      <c r="G40" s="76" t="e">
        <f>'10MI'!#REF!</f>
        <v>#REF!</v>
      </c>
      <c r="H40" s="76">
        <f>'20K'!F48</f>
        <v>82.554075628281581</v>
      </c>
      <c r="I40" s="76">
        <f>H.Marathon!K48</f>
        <v>96.182161823825609</v>
      </c>
      <c r="J40" s="76">
        <f>'25K'!F48</f>
        <v>81.493673720686516</v>
      </c>
      <c r="K40" s="76">
        <f>'30K'!F48</f>
        <v>82.684863370177752</v>
      </c>
      <c r="L40" s="76">
        <f>Marathon!K48</f>
        <v>98.064822541978458</v>
      </c>
      <c r="M40" s="47"/>
    </row>
    <row r="41" spans="1:13">
      <c r="A41" s="49">
        <v>43</v>
      </c>
      <c r="B41" s="75">
        <f>+'5K'!J49</f>
        <v>98.491357670790535</v>
      </c>
      <c r="C41" s="76">
        <f>'8K'!F49</f>
        <v>94.359325673709066</v>
      </c>
      <c r="D41" s="76" t="e">
        <f>'10K'!#REF!</f>
        <v>#REF!</v>
      </c>
      <c r="E41" s="76">
        <f>'12K'!F49</f>
        <v>82.107460985302154</v>
      </c>
      <c r="F41" s="76">
        <f>'15K'!F49</f>
        <v>85.891071995107509</v>
      </c>
      <c r="G41" s="76" t="e">
        <f>'10MI'!#REF!</f>
        <v>#REF!</v>
      </c>
      <c r="H41" s="76">
        <f>'20K'!F49</f>
        <v>80.810918766771579</v>
      </c>
      <c r="I41" s="76">
        <f>H.Marathon!K49</f>
        <v>98.595830804868839</v>
      </c>
      <c r="J41" s="76">
        <f>'25K'!F49</f>
        <v>83.387397592682106</v>
      </c>
      <c r="K41" s="76">
        <f>'30K'!F49</f>
        <v>78.490158497441612</v>
      </c>
      <c r="L41" s="76">
        <f>Marathon!K49</f>
        <v>97.962849346217467</v>
      </c>
      <c r="M41" s="47"/>
    </row>
    <row r="42" spans="1:13">
      <c r="A42" s="49">
        <v>44</v>
      </c>
      <c r="B42" s="75">
        <f>+'5K'!J50</f>
        <v>95.719512776506477</v>
      </c>
      <c r="C42" s="76">
        <f>'8K'!F50</f>
        <v>95.308201959988537</v>
      </c>
      <c r="D42" s="76" t="e">
        <f>'10K'!#REF!</f>
        <v>#REF!</v>
      </c>
      <c r="E42" s="76">
        <f>'12K'!F50</f>
        <v>81.595550965646936</v>
      </c>
      <c r="F42" s="76">
        <f>'15K'!F50</f>
        <v>85.064214630499208</v>
      </c>
      <c r="G42" s="76" t="e">
        <f>'10MI'!#REF!</f>
        <v>#REF!</v>
      </c>
      <c r="H42" s="76">
        <f>'20K'!F50</f>
        <v>84.662864182157705</v>
      </c>
      <c r="I42" s="76">
        <f>H.Marathon!K50</f>
        <v>95.050748037819034</v>
      </c>
      <c r="J42" s="76">
        <f>'25K'!F50</f>
        <v>81.454298952000727</v>
      </c>
      <c r="K42" s="76">
        <f>'30K'!F50</f>
        <v>77.959827964938484</v>
      </c>
      <c r="L42" s="76">
        <f>Marathon!K50</f>
        <v>98.748689634915792</v>
      </c>
      <c r="M42" s="47"/>
    </row>
    <row r="43" spans="1:13">
      <c r="A43" s="54">
        <v>45</v>
      </c>
      <c r="B43" s="77">
        <f>+'5K'!J51</f>
        <v>97.007073841381995</v>
      </c>
      <c r="C43" s="78">
        <f>'8K'!F51</f>
        <v>93.957255869479724</v>
      </c>
      <c r="D43" s="78" t="e">
        <f>'10K'!#REF!</f>
        <v>#REF!</v>
      </c>
      <c r="E43" s="78">
        <f>'12K'!F51</f>
        <v>79.922364515621595</v>
      </c>
      <c r="F43" s="78">
        <f>'15K'!F51</f>
        <v>87.521069016531314</v>
      </c>
      <c r="G43" s="78" t="e">
        <f>'10MI'!#REF!</f>
        <v>#REF!</v>
      </c>
      <c r="H43" s="78">
        <f>'20K'!F51</f>
        <v>87.212864459256053</v>
      </c>
      <c r="I43" s="78">
        <f>H.Marathon!K51</f>
        <v>95.606285834869084</v>
      </c>
      <c r="J43" s="78">
        <f>'25K'!F51</f>
        <v>78.506071753980734</v>
      </c>
      <c r="K43" s="78">
        <f>'30K'!F51</f>
        <v>78.58348454068593</v>
      </c>
      <c r="L43" s="78">
        <f>Marathon!K51</f>
        <v>96.886909113557635</v>
      </c>
      <c r="M43" s="47"/>
    </row>
    <row r="44" spans="1:13">
      <c r="A44" s="49">
        <v>46</v>
      </c>
      <c r="B44" s="75">
        <f>+'5K'!J52</f>
        <v>95.448670651328854</v>
      </c>
      <c r="C44" s="76">
        <f>'8K'!F52</f>
        <v>93.051666872222356</v>
      </c>
      <c r="D44" s="76" t="e">
        <f>'10K'!#REF!</f>
        <v>#REF!</v>
      </c>
      <c r="E44" s="76">
        <f>'12K'!F52</f>
        <v>81.272297653679956</v>
      </c>
      <c r="F44" s="76">
        <f>'15K'!F52</f>
        <v>83.608476222038348</v>
      </c>
      <c r="G44" s="76" t="e">
        <f>'10MI'!#REF!</f>
        <v>#REF!</v>
      </c>
      <c r="H44" s="76">
        <f>'20K'!F52</f>
        <v>84.161949579947333</v>
      </c>
      <c r="I44" s="76">
        <f>H.Marathon!K52</f>
        <v>94.197543248368589</v>
      </c>
      <c r="J44" s="76">
        <f>'25K'!F52</f>
        <v>79.109642518830555</v>
      </c>
      <c r="K44" s="76">
        <f>'30K'!F52</f>
        <v>79.486542149327988</v>
      </c>
      <c r="L44" s="76">
        <f>Marathon!K52</f>
        <v>95.853099474558078</v>
      </c>
      <c r="M44" s="47"/>
    </row>
    <row r="45" spans="1:13">
      <c r="A45" s="49">
        <v>47</v>
      </c>
      <c r="B45" s="75">
        <f>+'5K'!J53</f>
        <v>96.734004072614482</v>
      </c>
      <c r="C45" s="76">
        <f>'8K'!F53</f>
        <v>95.549608914710134</v>
      </c>
      <c r="D45" s="76" t="e">
        <f>'10K'!#REF!</f>
        <v>#REF!</v>
      </c>
      <c r="E45" s="76">
        <f>'12K'!F53</f>
        <v>81.885025653087055</v>
      </c>
      <c r="F45" s="76">
        <f>'15K'!F53</f>
        <v>85.611828418766351</v>
      </c>
      <c r="G45" s="76" t="e">
        <f>'10MI'!#REF!</f>
        <v>#REF!</v>
      </c>
      <c r="H45" s="76">
        <f>'20K'!F53</f>
        <v>80.237111159063431</v>
      </c>
      <c r="I45" s="76">
        <f>H.Marathon!K53</f>
        <v>96.174983512859981</v>
      </c>
      <c r="J45" s="76">
        <f>'25K'!F53</f>
        <v>82.400681046732998</v>
      </c>
      <c r="K45" s="76">
        <f>'30K'!F53</f>
        <v>75.315261643484206</v>
      </c>
      <c r="L45" s="76">
        <f>Marathon!K53</f>
        <v>96.044557240564842</v>
      </c>
      <c r="M45" s="47"/>
    </row>
    <row r="46" spans="1:13">
      <c r="A46" s="49">
        <v>48</v>
      </c>
      <c r="B46" s="75">
        <f>+'5K'!J54</f>
        <v>96.835257981184569</v>
      </c>
      <c r="C46" s="76">
        <f>'8K'!F54</f>
        <v>97.336403994221385</v>
      </c>
      <c r="D46" s="76" t="e">
        <f>'10K'!#REF!</f>
        <v>#REF!</v>
      </c>
      <c r="E46" s="76">
        <f>'12K'!F54</f>
        <v>76.767677693393964</v>
      </c>
      <c r="F46" s="76">
        <f>'15K'!F54</f>
        <v>86.928053533554049</v>
      </c>
      <c r="G46" s="76" t="e">
        <f>'10MI'!#REF!</f>
        <v>#REF!</v>
      </c>
      <c r="H46" s="76">
        <f>'20K'!F54</f>
        <v>78.232166665468782</v>
      </c>
      <c r="I46" s="76">
        <f>H.Marathon!K54</f>
        <v>95.912317631802324</v>
      </c>
      <c r="J46" s="76">
        <f>'25K'!F54</f>
        <v>77.677284480997344</v>
      </c>
      <c r="K46" s="76">
        <f>'30K'!F54</f>
        <v>76.594554725153472</v>
      </c>
      <c r="L46" s="76">
        <f>Marathon!K54</f>
        <v>95.082519996668779</v>
      </c>
      <c r="M46" s="47"/>
    </row>
    <row r="47" spans="1:13">
      <c r="A47" s="49">
        <v>49</v>
      </c>
      <c r="B47" s="75">
        <f>+'5K'!J55</f>
        <v>97.055162579356107</v>
      </c>
      <c r="C47" s="76">
        <f>'8K'!F55</f>
        <v>94.149223340658764</v>
      </c>
      <c r="D47" s="76" t="e">
        <f>'10K'!#REF!</f>
        <v>#REF!</v>
      </c>
      <c r="E47" s="76">
        <f>'12K'!F55</f>
        <v>78.010218468193216</v>
      </c>
      <c r="F47" s="76">
        <f>'15K'!F55</f>
        <v>89.679903756526755</v>
      </c>
      <c r="G47" s="76" t="e">
        <f>'10MI'!#REF!</f>
        <v>#REF!</v>
      </c>
      <c r="H47" s="76">
        <f>'20K'!F55</f>
        <v>87.196630630115607</v>
      </c>
      <c r="I47" s="76">
        <f>H.Marathon!K55</f>
        <v>96.386503230609705</v>
      </c>
      <c r="J47" s="76">
        <f>'25K'!F55</f>
        <v>77.948302640965721</v>
      </c>
      <c r="K47" s="76">
        <f>'30K'!F55</f>
        <v>74.469834172592357</v>
      </c>
      <c r="L47" s="76">
        <f>Marathon!K55</f>
        <v>95.372533883448966</v>
      </c>
      <c r="M47" s="47"/>
    </row>
    <row r="48" spans="1:13">
      <c r="A48" s="54">
        <v>50</v>
      </c>
      <c r="B48" s="77">
        <f>+'5K'!J56</f>
        <v>97.392754282249513</v>
      </c>
      <c r="C48" s="78">
        <f>'8K'!F56</f>
        <v>95.956772172707048</v>
      </c>
      <c r="D48" s="78" t="e">
        <f>'10K'!#REF!</f>
        <v>#REF!</v>
      </c>
      <c r="E48" s="78">
        <f>'12K'!F56</f>
        <v>78.59253149680886</v>
      </c>
      <c r="F48" s="78">
        <f>'15K'!F56</f>
        <v>86.388847825608721</v>
      </c>
      <c r="G48" s="78" t="e">
        <f>'10MI'!#REF!</f>
        <v>#REF!</v>
      </c>
      <c r="H48" s="78">
        <f>'20K'!F56</f>
        <v>77.508848211866592</v>
      </c>
      <c r="I48" s="78">
        <f>H.Marathon!K56</f>
        <v>97.747330486698473</v>
      </c>
      <c r="J48" s="78">
        <f>'25K'!F56</f>
        <v>73.456507850504721</v>
      </c>
      <c r="K48" s="78">
        <f>'30K'!F56</f>
        <v>77.151516631241023</v>
      </c>
      <c r="L48" s="78">
        <f>Marathon!K56</f>
        <v>96.4520741108675</v>
      </c>
      <c r="M48" s="47"/>
    </row>
    <row r="49" spans="1:13">
      <c r="A49" s="49">
        <v>51</v>
      </c>
      <c r="B49" s="75">
        <f>+'5K'!J57</f>
        <v>97.631641262601235</v>
      </c>
      <c r="C49" s="76">
        <f>'8K'!F57</f>
        <v>95.285743431840132</v>
      </c>
      <c r="D49" s="76" t="e">
        <f>'10K'!#REF!</f>
        <v>#REF!</v>
      </c>
      <c r="E49" s="76">
        <f>'12K'!F57</f>
        <v>77.307073051455106</v>
      </c>
      <c r="F49" s="76">
        <f>'15K'!F57</f>
        <v>80.022757813469099</v>
      </c>
      <c r="G49" s="76" t="e">
        <f>'10MI'!#REF!</f>
        <v>#REF!</v>
      </c>
      <c r="H49" s="76">
        <f>'20K'!F57</f>
        <v>80.119680906381362</v>
      </c>
      <c r="I49" s="76">
        <f>H.Marathon!K57</f>
        <v>95.128112013779173</v>
      </c>
      <c r="J49" s="76">
        <f>'25K'!F57</f>
        <v>80.468168650959598</v>
      </c>
      <c r="K49" s="76">
        <f>'30K'!F57</f>
        <v>80.49623192532917</v>
      </c>
      <c r="L49" s="76">
        <f>Marathon!K57</f>
        <v>94.093383137409688</v>
      </c>
      <c r="M49" s="47"/>
    </row>
    <row r="50" spans="1:13">
      <c r="A50" s="49">
        <v>52</v>
      </c>
      <c r="B50" s="75">
        <f>+'5K'!J58</f>
        <v>95.775445709856285</v>
      </c>
      <c r="C50" s="76">
        <f>'8K'!F58</f>
        <v>95.083147155084973</v>
      </c>
      <c r="D50" s="76" t="e">
        <f>'10K'!#REF!</f>
        <v>#REF!</v>
      </c>
      <c r="E50" s="76">
        <f>'12K'!F58</f>
        <v>81.709545171090141</v>
      </c>
      <c r="F50" s="76">
        <f>'15K'!F58</f>
        <v>82.891963703583883</v>
      </c>
      <c r="G50" s="76" t="e">
        <f>'10MI'!#REF!</f>
        <v>#REF!</v>
      </c>
      <c r="H50" s="76">
        <f>'20K'!F58</f>
        <v>80.28951527723774</v>
      </c>
      <c r="I50" s="76">
        <f>H.Marathon!K58</f>
        <v>95.025598535983477</v>
      </c>
      <c r="J50" s="76">
        <f>'25K'!F58</f>
        <v>77.182236281533861</v>
      </c>
      <c r="K50" s="76">
        <f>'30K'!F58</f>
        <v>77.635683278461201</v>
      </c>
      <c r="L50" s="76">
        <f>Marathon!K58</f>
        <v>96.35019084795438</v>
      </c>
      <c r="M50" s="47"/>
    </row>
    <row r="51" spans="1:13">
      <c r="A51" s="49">
        <v>53</v>
      </c>
      <c r="B51" s="75">
        <f>+'5K'!J59</f>
        <v>98.678400565193016</v>
      </c>
      <c r="C51" s="76">
        <f>'8K'!F59</f>
        <v>96.211081756181201</v>
      </c>
      <c r="D51" s="76" t="e">
        <f>'10K'!#REF!</f>
        <v>#REF!</v>
      </c>
      <c r="E51" s="76">
        <f>'12K'!F59</f>
        <v>77.755391417601544</v>
      </c>
      <c r="F51" s="76">
        <f>'15K'!F59</f>
        <v>81.677521727628559</v>
      </c>
      <c r="G51" s="76" t="e">
        <f>'10MI'!#REF!</f>
        <v>#REF!</v>
      </c>
      <c r="H51" s="76">
        <f>'20K'!F59</f>
        <v>77.37907326913566</v>
      </c>
      <c r="I51" s="76">
        <f>H.Marathon!K59</f>
        <v>95.267522992227299</v>
      </c>
      <c r="J51" s="76">
        <f>'25K'!F59</f>
        <v>81.831440224792019</v>
      </c>
      <c r="K51" s="76">
        <f>'30K'!F59</f>
        <v>81.766795507627961</v>
      </c>
      <c r="L51" s="76">
        <f>Marathon!K59</f>
        <v>96.241579427144586</v>
      </c>
      <c r="M51" s="47"/>
    </row>
    <row r="52" spans="1:13">
      <c r="A52" s="49">
        <v>54</v>
      </c>
      <c r="B52" s="75">
        <f>+'5K'!J60</f>
        <v>98.945860828989197</v>
      </c>
      <c r="C52" s="76">
        <f>'8K'!F60</f>
        <v>95.467607973501956</v>
      </c>
      <c r="D52" s="76" t="e">
        <f>'10K'!#REF!</f>
        <v>#REF!</v>
      </c>
      <c r="E52" s="76">
        <f>'12K'!F60</f>
        <v>76.963684616934898</v>
      </c>
      <c r="F52" s="76">
        <f>'15K'!F60</f>
        <v>81.389256647700321</v>
      </c>
      <c r="G52" s="76" t="e">
        <f>'10MI'!#REF!</f>
        <v>#REF!</v>
      </c>
      <c r="H52" s="76">
        <f>'20K'!F60</f>
        <v>74.163550679627562</v>
      </c>
      <c r="I52" s="76">
        <f>H.Marathon!K60</f>
        <v>95.816708051654857</v>
      </c>
      <c r="J52" s="76">
        <f>'25K'!F60</f>
        <v>75.927737574024619</v>
      </c>
      <c r="K52" s="76">
        <f>'30K'!F60</f>
        <v>79.03838876981672</v>
      </c>
      <c r="L52" s="76">
        <f>Marathon!K60</f>
        <v>95.2665306688112</v>
      </c>
      <c r="M52" s="47"/>
    </row>
    <row r="53" spans="1:13">
      <c r="A53" s="54">
        <v>55</v>
      </c>
      <c r="B53" s="77">
        <f>+'5K'!J61</f>
        <v>98.051359581932402</v>
      </c>
      <c r="C53" s="78">
        <f>'8K'!F61</f>
        <v>94.580827212517249</v>
      </c>
      <c r="D53" s="78"/>
      <c r="E53" s="78">
        <f>'12K'!F61</f>
        <v>77.946508935851782</v>
      </c>
      <c r="F53" s="78">
        <f>'15K'!F61</f>
        <v>80.434476310360452</v>
      </c>
      <c r="G53" s="78" t="e">
        <f>'10MI'!#REF!</f>
        <v>#REF!</v>
      </c>
      <c r="H53" s="78">
        <f>'20K'!F61</f>
        <v>81.43517032342767</v>
      </c>
      <c r="I53" s="78">
        <f>H.Marathon!K61</f>
        <v>97.954688505651703</v>
      </c>
      <c r="J53" s="78">
        <f>'25K'!F61</f>
        <v>73.906421442570078</v>
      </c>
      <c r="K53" s="78">
        <f>'30K'!F61</f>
        <v>72.305189491867608</v>
      </c>
      <c r="L53" s="78">
        <f>Marathon!K61</f>
        <v>96.608271206269961</v>
      </c>
      <c r="M53" s="47"/>
    </row>
    <row r="54" spans="1:13">
      <c r="A54" s="49">
        <v>56</v>
      </c>
      <c r="B54" s="75">
        <f>+'5K'!J62</f>
        <v>96.184650576509071</v>
      </c>
      <c r="C54" s="76">
        <f>'8K'!F62</f>
        <v>93.680548978427453</v>
      </c>
      <c r="D54" s="76" t="e">
        <f>'10K'!#REF!</f>
        <v>#REF!</v>
      </c>
      <c r="E54" s="76">
        <f>'12K'!F62</f>
        <v>77.528033342752906</v>
      </c>
      <c r="F54" s="76">
        <f>'15K'!F62</f>
        <v>80.487727279740326</v>
      </c>
      <c r="G54" s="76" t="e">
        <f>'10MI'!#REF!</f>
        <v>#REF!</v>
      </c>
      <c r="H54" s="76">
        <f>'20K'!F62</f>
        <v>80.286118936660955</v>
      </c>
      <c r="I54" s="76">
        <f>H.Marathon!K62</f>
        <v>95.465763517942449</v>
      </c>
      <c r="J54" s="76">
        <f>'25K'!F62</f>
        <v>80.581854534355571</v>
      </c>
      <c r="K54" s="76">
        <f>'30K'!F62</f>
        <v>73.729555572573361</v>
      </c>
      <c r="L54" s="76">
        <f>Marathon!K62</f>
        <v>96.780784833976142</v>
      </c>
      <c r="M54" s="47"/>
    </row>
    <row r="55" spans="1:13">
      <c r="A55" s="49">
        <v>57</v>
      </c>
      <c r="B55" s="75">
        <f>+'5K'!J63</f>
        <v>94.52593100072923</v>
      </c>
      <c r="C55" s="76">
        <f>'8K'!F63</f>
        <v>94.390955554759273</v>
      </c>
      <c r="D55" s="76" t="e">
        <f>'10K'!#REF!</f>
        <v>#REF!</v>
      </c>
      <c r="E55" s="76">
        <f>'12K'!F63</f>
        <v>82.638938469147405</v>
      </c>
      <c r="F55" s="76">
        <f>'15K'!F63</f>
        <v>78.970912640976465</v>
      </c>
      <c r="G55" s="76" t="e">
        <f>'10MI'!#REF!</f>
        <v>#REF!</v>
      </c>
      <c r="H55" s="76">
        <f>'20K'!F63</f>
        <v>78.260538072472528</v>
      </c>
      <c r="I55" s="76">
        <f>H.Marathon!K63</f>
        <v>95.155690260645542</v>
      </c>
      <c r="J55" s="76">
        <f>'25K'!F63</f>
        <v>74.089163273340105</v>
      </c>
      <c r="K55" s="76">
        <f>'30K'!F63</f>
        <v>75.286989880122533</v>
      </c>
      <c r="L55" s="76">
        <f>Marathon!K63</f>
        <v>93.824946485414785</v>
      </c>
      <c r="M55" s="47"/>
    </row>
    <row r="56" spans="1:13">
      <c r="A56" s="49">
        <v>58</v>
      </c>
      <c r="B56" s="75">
        <f>+'5K'!J64</f>
        <v>93.333404352266186</v>
      </c>
      <c r="C56" s="76">
        <f>'8K'!F64</f>
        <v>92.80011760636981</v>
      </c>
      <c r="D56" s="76" t="e">
        <f>'10K'!#REF!</f>
        <v>#REF!</v>
      </c>
      <c r="E56" s="76">
        <f>'12K'!F64</f>
        <v>78.023421744064407</v>
      </c>
      <c r="F56" s="76">
        <f>'15K'!F64</f>
        <v>80.031783673994099</v>
      </c>
      <c r="G56" s="76" t="e">
        <f>'10MI'!#REF!</f>
        <v>#REF!</v>
      </c>
      <c r="H56" s="76">
        <f>'20K'!F64</f>
        <v>73.768892375344691</v>
      </c>
      <c r="I56" s="76">
        <f>H.Marathon!K64</f>
        <v>93.923071153244692</v>
      </c>
      <c r="J56" s="76">
        <f>'25K'!F64</f>
        <v>77.802764566932453</v>
      </c>
      <c r="K56" s="76">
        <f>'30K'!F64</f>
        <v>75.057589445194765</v>
      </c>
      <c r="L56" s="76">
        <f>Marathon!K64</f>
        <v>93.140007376791573</v>
      </c>
      <c r="M56" s="47"/>
    </row>
    <row r="57" spans="1:13">
      <c r="A57" s="49">
        <v>59</v>
      </c>
      <c r="B57" s="75">
        <f>+'5K'!J65</f>
        <v>96.244516496759502</v>
      </c>
      <c r="C57" s="76">
        <f>'8K'!F65</f>
        <v>96.754723253846137</v>
      </c>
      <c r="D57" s="76" t="e">
        <f>'10K'!#REF!</f>
        <v>#REF!</v>
      </c>
      <c r="E57" s="76">
        <f>'12K'!F65</f>
        <v>75.600420937721424</v>
      </c>
      <c r="F57" s="76">
        <f>'15K'!F65</f>
        <v>83.685270978596535</v>
      </c>
      <c r="G57" s="76" t="e">
        <f>'10MI'!#REF!</f>
        <v>#REF!</v>
      </c>
      <c r="H57" s="76">
        <f>'20K'!F65</f>
        <v>86.059819338525173</v>
      </c>
      <c r="I57" s="76">
        <f>H.Marathon!K65</f>
        <v>97.510831868269108</v>
      </c>
      <c r="J57" s="76">
        <f>'25K'!F65</f>
        <v>68.903104011121002</v>
      </c>
      <c r="K57" s="76">
        <f>'30K'!F65</f>
        <v>74.398751198570906</v>
      </c>
      <c r="L57" s="76">
        <f>Marathon!K65</f>
        <v>97.53135140909886</v>
      </c>
      <c r="M57" s="47"/>
    </row>
    <row r="58" spans="1:13">
      <c r="A58" s="54">
        <v>60</v>
      </c>
      <c r="B58" s="77">
        <f>+'5K'!J66</f>
        <v>98.380385783817331</v>
      </c>
      <c r="C58" s="78">
        <f>'8K'!F66</f>
        <v>98.939545703534776</v>
      </c>
      <c r="D58" s="78" t="e">
        <f>'10K'!#REF!</f>
        <v>#REF!</v>
      </c>
      <c r="E58" s="78">
        <f>'12K'!F66</f>
        <v>77.659830565163261</v>
      </c>
      <c r="F58" s="78">
        <f>'15K'!F66</f>
        <v>83.955752089594924</v>
      </c>
      <c r="G58" s="78" t="e">
        <f>'10MI'!#REF!</f>
        <v>#REF!</v>
      </c>
      <c r="H58" s="78">
        <f>'20K'!F66</f>
        <v>84.839821204480941</v>
      </c>
      <c r="I58" s="78">
        <f>H.Marathon!K66</f>
        <v>99.97353931300826</v>
      </c>
      <c r="J58" s="78">
        <f>'25K'!F66</f>
        <v>85.078825276256964</v>
      </c>
      <c r="K58" s="78">
        <f>'30K'!F66</f>
        <v>85.578325621531135</v>
      </c>
      <c r="L58" s="78">
        <f>Marathon!K66</f>
        <v>94.621212388721972</v>
      </c>
      <c r="M58" s="47"/>
    </row>
    <row r="59" spans="1:13">
      <c r="A59" s="49">
        <v>61</v>
      </c>
      <c r="B59" s="75">
        <f>+'5K'!J67</f>
        <v>99.443888108987409</v>
      </c>
      <c r="C59" s="76">
        <f>'8K'!F67</f>
        <v>96.764843017485887</v>
      </c>
      <c r="D59" s="76" t="e">
        <f>'10K'!#REF!</f>
        <v>#REF!</v>
      </c>
      <c r="E59" s="76">
        <f>'12K'!F67</f>
        <v>77.655318475286649</v>
      </c>
      <c r="F59" s="76">
        <f>'15K'!F67</f>
        <v>78.491908329992896</v>
      </c>
      <c r="G59" s="76" t="e">
        <f>'10MI'!#REF!</f>
        <v>#REF!</v>
      </c>
      <c r="H59" s="76">
        <f>'20K'!F67</f>
        <v>78.328789614163753</v>
      </c>
      <c r="I59" s="76">
        <f>H.Marathon!K67</f>
        <v>99.135968701186101</v>
      </c>
      <c r="J59" s="76">
        <f>'25K'!F67</f>
        <v>77.053591383780116</v>
      </c>
      <c r="K59" s="76">
        <f>'30K'!F67</f>
        <v>71.388474535693263</v>
      </c>
      <c r="L59" s="76">
        <f>Marathon!K67</f>
        <v>94.556608054900366</v>
      </c>
      <c r="M59" s="47"/>
    </row>
    <row r="60" spans="1:13">
      <c r="A60" s="49">
        <v>62</v>
      </c>
      <c r="B60" s="75">
        <f>+'5K'!J68</f>
        <v>98.383750220119282</v>
      </c>
      <c r="C60" s="76">
        <f>'8K'!F68</f>
        <v>97.359601884265984</v>
      </c>
      <c r="D60" s="76" t="e">
        <f>'10K'!#REF!</f>
        <v>#REF!</v>
      </c>
      <c r="E60" s="76">
        <f>'12K'!F68</f>
        <v>82.10160272634252</v>
      </c>
      <c r="F60" s="76">
        <f>'15K'!F68</f>
        <v>83.551627683912741</v>
      </c>
      <c r="G60" s="76" t="e">
        <f>'10MI'!#REF!</f>
        <v>#REF!</v>
      </c>
      <c r="H60" s="76">
        <f>'20K'!F68</f>
        <v>71.843962003466743</v>
      </c>
      <c r="I60" s="76">
        <f>H.Marathon!K68</f>
        <v>98.847791644093405</v>
      </c>
      <c r="J60" s="76">
        <f>'25K'!F68</f>
        <v>72.839642721140208</v>
      </c>
      <c r="K60" s="76">
        <f>'30K'!F68</f>
        <v>74.345791738747863</v>
      </c>
      <c r="L60" s="76">
        <f>Marathon!K68</f>
        <v>93.799030980166933</v>
      </c>
      <c r="M60" s="47"/>
    </row>
    <row r="61" spans="1:13">
      <c r="A61" s="49">
        <v>63</v>
      </c>
      <c r="B61" s="75">
        <f>+'5K'!J69</f>
        <v>99.055923814046224</v>
      </c>
      <c r="C61" s="76">
        <f>'8K'!F69</f>
        <v>95.108247181687659</v>
      </c>
      <c r="D61" s="76" t="e">
        <f>'10K'!#REF!</f>
        <v>#REF!</v>
      </c>
      <c r="E61" s="76">
        <f>'12K'!F69</f>
        <v>83.033873703222966</v>
      </c>
      <c r="F61" s="76">
        <f>'15K'!F69</f>
        <v>79.934192113703375</v>
      </c>
      <c r="G61" s="76" t="e">
        <f>'10MI'!#REF!</f>
        <v>#REF!</v>
      </c>
      <c r="H61" s="76">
        <f>'20K'!F69</f>
        <v>71.678493059107012</v>
      </c>
      <c r="I61" s="76">
        <f>H.Marathon!K69</f>
        <v>99.221018686184323</v>
      </c>
      <c r="J61" s="76">
        <f>'25K'!F69</f>
        <v>71.089476858743055</v>
      </c>
      <c r="K61" s="76">
        <f>'30K'!F69</f>
        <v>73.444027208818852</v>
      </c>
      <c r="L61" s="76">
        <f>Marathon!K69</f>
        <v>92.327995337429869</v>
      </c>
      <c r="M61" s="47"/>
    </row>
    <row r="62" spans="1:13">
      <c r="A62" s="49">
        <v>64</v>
      </c>
      <c r="B62" s="75">
        <f>+'5K'!J70</f>
        <v>95.124211739832944</v>
      </c>
      <c r="C62" s="76">
        <f>'8K'!F70</f>
        <v>94.59624033511588</v>
      </c>
      <c r="D62" s="76" t="e">
        <f>'10K'!#REF!</f>
        <v>#REF!</v>
      </c>
      <c r="E62" s="76">
        <f>'12K'!F70</f>
        <v>82.965056462122476</v>
      </c>
      <c r="F62" s="76">
        <f>'15K'!F70</f>
        <v>79.399801762774402</v>
      </c>
      <c r="G62" s="76" t="e">
        <f>'10MI'!#REF!</f>
        <v>#REF!</v>
      </c>
      <c r="H62" s="76">
        <f>'20K'!F70</f>
        <v>70.013768231999464</v>
      </c>
      <c r="I62" s="76">
        <f>H.Marathon!K70</f>
        <v>95.391902192203233</v>
      </c>
      <c r="J62" s="76">
        <f>'25K'!F70</f>
        <v>71.693685062464326</v>
      </c>
      <c r="K62" s="76">
        <f>'30K'!F70</f>
        <v>64.076750701392612</v>
      </c>
      <c r="L62" s="76">
        <f>Marathon!K70</f>
        <v>94.81603330604834</v>
      </c>
      <c r="M62" s="47"/>
    </row>
    <row r="63" spans="1:13">
      <c r="A63" s="54">
        <v>65</v>
      </c>
      <c r="B63" s="77">
        <f>+'5K'!J71</f>
        <v>95.340272027683554</v>
      </c>
      <c r="C63" s="78">
        <f>'8K'!F71</f>
        <v>94.828605903910315</v>
      </c>
      <c r="D63" s="78" t="e">
        <f>'10K'!#REF!</f>
        <v>#REF!</v>
      </c>
      <c r="E63" s="78">
        <f>'12K'!F71</f>
        <v>80.469052269791192</v>
      </c>
      <c r="F63" s="78">
        <f>'15K'!F71</f>
        <v>80.292237063007661</v>
      </c>
      <c r="G63" s="78" t="e">
        <f>'10MI'!#REF!</f>
        <v>#REF!</v>
      </c>
      <c r="H63" s="78">
        <f>'20K'!F71</f>
        <v>80.432791655384662</v>
      </c>
      <c r="I63" s="78">
        <f>H.Marathon!K71</f>
        <v>96.941946493719911</v>
      </c>
      <c r="J63" s="78">
        <f>'25K'!F71</f>
        <v>71.756148674688674</v>
      </c>
      <c r="K63" s="78">
        <f>'30K'!F71</f>
        <v>72.737437683146439</v>
      </c>
      <c r="L63" s="78">
        <f>Marathon!K71</f>
        <v>96.284930785507655</v>
      </c>
      <c r="M63" s="47"/>
    </row>
    <row r="64" spans="1:13">
      <c r="A64" s="49">
        <v>66</v>
      </c>
      <c r="B64" s="75">
        <f>+'5K'!J72</f>
        <v>96.209711715273144</v>
      </c>
      <c r="C64" s="76">
        <f>'8K'!F72</f>
        <v>94.582184976933917</v>
      </c>
      <c r="D64" s="76" t="e">
        <f>'10K'!#REF!</f>
        <v>#REF!</v>
      </c>
      <c r="E64" s="76">
        <f>'12K'!F72</f>
        <v>79.667350662655949</v>
      </c>
      <c r="F64" s="76">
        <f>'15K'!F72</f>
        <v>78.524302726839622</v>
      </c>
      <c r="G64" s="76" t="e">
        <f>'10MI'!#REF!</f>
        <v>#REF!</v>
      </c>
      <c r="H64" s="76">
        <f>'20K'!F72</f>
        <v>71.03974337858557</v>
      </c>
      <c r="I64" s="76">
        <f>H.Marathon!K72</f>
        <v>95.176839864704931</v>
      </c>
      <c r="J64" s="76">
        <f>'25K'!F72</f>
        <v>70.720036676282632</v>
      </c>
      <c r="K64" s="76">
        <f>'30K'!F72</f>
        <v>71.267237992260576</v>
      </c>
      <c r="L64" s="76">
        <f>Marathon!K72</f>
        <v>96.798855817455348</v>
      </c>
      <c r="M64" s="47"/>
    </row>
    <row r="65" spans="1:13">
      <c r="A65" s="49">
        <v>67</v>
      </c>
      <c r="B65" s="75">
        <f>+'5K'!J73</f>
        <v>99.379746639649809</v>
      </c>
      <c r="C65" s="76">
        <f>'8K'!F73</f>
        <v>92.931626878253539</v>
      </c>
      <c r="D65" s="76" t="e">
        <f>'10K'!#REF!</f>
        <v>#REF!</v>
      </c>
      <c r="E65" s="76">
        <f>'12K'!F73</f>
        <v>73.040707710744684</v>
      </c>
      <c r="F65" s="76">
        <f>'15K'!F73</f>
        <v>79.890081779513778</v>
      </c>
      <c r="G65" s="76" t="e">
        <f>'10MI'!#REF!</f>
        <v>#REF!</v>
      </c>
      <c r="H65" s="76">
        <f>'20K'!F73</f>
        <v>70.042136685416295</v>
      </c>
      <c r="I65" s="76">
        <f>H.Marathon!K73</f>
        <v>99.797368831237193</v>
      </c>
      <c r="J65" s="76">
        <f>'25K'!F73</f>
        <v>68.357943630156015</v>
      </c>
      <c r="K65" s="76">
        <f>'30K'!F73</f>
        <v>61.679197906214526</v>
      </c>
      <c r="L65" s="76">
        <f>Marathon!K73</f>
        <v>93.101454991082775</v>
      </c>
      <c r="M65" s="47"/>
    </row>
    <row r="66" spans="1:13">
      <c r="A66" s="49">
        <v>68</v>
      </c>
      <c r="B66" s="75">
        <f>+'5K'!J74</f>
        <v>96.647076379496255</v>
      </c>
      <c r="C66" s="76">
        <f>'8K'!F74</f>
        <v>93.636150339173355</v>
      </c>
      <c r="D66" s="76" t="e">
        <f>'10K'!#REF!</f>
        <v>#REF!</v>
      </c>
      <c r="E66" s="76">
        <f>'12K'!F74</f>
        <v>68.727942020929802</v>
      </c>
      <c r="F66" s="76">
        <f>'15K'!F74</f>
        <v>79.890804743355005</v>
      </c>
      <c r="G66" s="76" t="e">
        <f>'10MI'!#REF!</f>
        <v>#REF!</v>
      </c>
      <c r="H66" s="76">
        <f>'20K'!F74</f>
        <v>66.241301480110252</v>
      </c>
      <c r="I66" s="76">
        <f>H.Marathon!K74</f>
        <v>95.665761625871099</v>
      </c>
      <c r="J66" s="76">
        <f>'25K'!F74</f>
        <v>70.065953444490177</v>
      </c>
      <c r="K66" s="76">
        <f>'30K'!F74</f>
        <v>69.930716287666129</v>
      </c>
      <c r="L66" s="76">
        <f>Marathon!K74</f>
        <v>94.166990730401864</v>
      </c>
      <c r="M66" s="47"/>
    </row>
    <row r="67" spans="1:13">
      <c r="A67" s="49">
        <v>69</v>
      </c>
      <c r="B67" s="75">
        <f>+'5K'!J75</f>
        <v>98.133522298191693</v>
      </c>
      <c r="C67" s="76">
        <f>'8K'!F75</f>
        <v>92.274284129320321</v>
      </c>
      <c r="D67" s="76" t="e">
        <f>'10K'!#REF!</f>
        <v>#REF!</v>
      </c>
      <c r="E67" s="76">
        <f>'12K'!F75</f>
        <v>70.495364694559854</v>
      </c>
      <c r="F67" s="76">
        <f>'15K'!F75</f>
        <v>77.56537818739055</v>
      </c>
      <c r="G67" s="76" t="e">
        <f>'10MI'!#REF!</f>
        <v>#REF!</v>
      </c>
      <c r="H67" s="76">
        <f>'20K'!F75</f>
        <v>69.704845928880587</v>
      </c>
      <c r="I67" s="76">
        <f>H.Marathon!K75</f>
        <v>97.083893537312875</v>
      </c>
      <c r="J67" s="76">
        <f>'25K'!F75</f>
        <v>66.051721828779108</v>
      </c>
      <c r="K67" s="76">
        <f>'30K'!F75</f>
        <v>67.765992800572789</v>
      </c>
      <c r="L67" s="76">
        <f>Marathon!K75</f>
        <v>94.218181178892792</v>
      </c>
      <c r="M67" s="47"/>
    </row>
    <row r="68" spans="1:13">
      <c r="A68" s="54">
        <v>70</v>
      </c>
      <c r="B68" s="77">
        <f>+'5K'!J76</f>
        <v>96.78414444536709</v>
      </c>
      <c r="C68" s="78">
        <f>'8K'!F76</f>
        <v>93.718262476941732</v>
      </c>
      <c r="D68" s="78" t="e">
        <f>'10K'!#REF!</f>
        <v>#REF!</v>
      </c>
      <c r="E68" s="78">
        <f>'12K'!F76</f>
        <v>74.627389288023309</v>
      </c>
      <c r="F68" s="78">
        <f>'15K'!F76</f>
        <v>75.504708253393545</v>
      </c>
      <c r="G68" s="78" t="e">
        <f>'10MI'!#REF!</f>
        <v>#REF!</v>
      </c>
      <c r="H68" s="78">
        <f>'20K'!F76</f>
        <v>78.669305045849569</v>
      </c>
      <c r="I68" s="78">
        <f>H.Marathon!K76</f>
        <v>95.664430356987722</v>
      </c>
      <c r="J68" s="78">
        <f>'25K'!F76</f>
        <v>78.897365992033968</v>
      </c>
      <c r="K68" s="78">
        <f>'30K'!F76</f>
        <v>79.68108253334276</v>
      </c>
      <c r="L68" s="78">
        <f>Marathon!K76</f>
        <v>94.426365960912122</v>
      </c>
      <c r="M68" s="47"/>
    </row>
    <row r="69" spans="1:13">
      <c r="A69" s="49">
        <v>71</v>
      </c>
      <c r="B69" s="75">
        <f>+'5K'!J77</f>
        <v>94.410615320928201</v>
      </c>
      <c r="C69" s="76">
        <f>'8K'!F77</f>
        <v>92.689100727895905</v>
      </c>
      <c r="D69" s="76" t="e">
        <f>'10K'!#REF!</f>
        <v>#REF!</v>
      </c>
      <c r="E69" s="76">
        <f>'12K'!F77</f>
        <v>71.352748547583175</v>
      </c>
      <c r="F69" s="76">
        <f>'15K'!F77</f>
        <v>72.146875506508636</v>
      </c>
      <c r="G69" s="76" t="e">
        <f>'10MI'!#REF!</f>
        <v>#REF!</v>
      </c>
      <c r="H69" s="76">
        <f>'20K'!F77</f>
        <v>64.501645771918731</v>
      </c>
      <c r="I69" s="76">
        <f>H.Marathon!K77</f>
        <v>93.348847293214803</v>
      </c>
      <c r="J69" s="76">
        <f>'25K'!F77</f>
        <v>62.505777163501406</v>
      </c>
      <c r="K69" s="76">
        <f>'30K'!F77</f>
        <v>58.986746947511811</v>
      </c>
      <c r="L69" s="76">
        <f>Marathon!K77</f>
        <v>92.021678501362558</v>
      </c>
      <c r="M69" s="47"/>
    </row>
    <row r="70" spans="1:13">
      <c r="A70" s="49">
        <v>72</v>
      </c>
      <c r="B70" s="75">
        <f>+'5K'!J78</f>
        <v>96.542670482961285</v>
      </c>
      <c r="C70" s="76">
        <f>'8K'!F78</f>
        <v>91.294639616577513</v>
      </c>
      <c r="D70" s="76" t="e">
        <f>'10K'!#REF!</f>
        <v>#REF!</v>
      </c>
      <c r="E70" s="76">
        <f>'12K'!F78</f>
        <v>74.660645671098976</v>
      </c>
      <c r="F70" s="76">
        <f>'15K'!F78</f>
        <v>75.686840934699319</v>
      </c>
      <c r="G70" s="76" t="e">
        <f>'10MI'!#REF!</f>
        <v>#REF!</v>
      </c>
      <c r="H70" s="76">
        <f>'20K'!F78</f>
        <v>63.078965844525513</v>
      </c>
      <c r="I70" s="76">
        <f>H.Marathon!K78</f>
        <v>93.411412389758453</v>
      </c>
      <c r="J70" s="76">
        <f>'25K'!F78</f>
        <v>65.818923355401509</v>
      </c>
      <c r="K70" s="76">
        <f>'30K'!F78</f>
        <v>67.906672175862326</v>
      </c>
      <c r="L70" s="76">
        <f>Marathon!K78</f>
        <v>94.076496479445552</v>
      </c>
      <c r="M70" s="47"/>
    </row>
    <row r="71" spans="1:13">
      <c r="A71" s="49">
        <v>73</v>
      </c>
      <c r="B71" s="75">
        <f>+'5K'!J79</f>
        <v>98.831631171489278</v>
      </c>
      <c r="C71" s="76">
        <f>'8K'!F79</f>
        <v>89.803987997832664</v>
      </c>
      <c r="D71" s="76" t="e">
        <f>'10K'!#REF!</f>
        <v>#REF!</v>
      </c>
      <c r="E71" s="76">
        <f>'12K'!F79</f>
        <v>72.788250292881429</v>
      </c>
      <c r="F71" s="76">
        <f>'15K'!F79</f>
        <v>76.626945383676386</v>
      </c>
      <c r="G71" s="76" t="e">
        <f>'10MI'!#REF!</f>
        <v>#REF!</v>
      </c>
      <c r="H71" s="76">
        <f>'20K'!F79</f>
        <v>64.880895215756169</v>
      </c>
      <c r="I71" s="76">
        <f>H.Marathon!K79</f>
        <v>93.349193228718406</v>
      </c>
      <c r="J71" s="76">
        <f>'25K'!F79</f>
        <v>65.778107475352527</v>
      </c>
      <c r="K71" s="76">
        <f>'30K'!F79</f>
        <v>43.2089320212297</v>
      </c>
      <c r="L71" s="76">
        <f>Marathon!K79</f>
        <v>97.728851726380512</v>
      </c>
      <c r="M71" s="47"/>
    </row>
    <row r="72" spans="1:13">
      <c r="A72" s="49">
        <v>74</v>
      </c>
      <c r="B72" s="75">
        <f>+'5K'!J80</f>
        <v>96.517863086699705</v>
      </c>
      <c r="C72" s="76">
        <f>'8K'!F80</f>
        <v>93.765244593441494</v>
      </c>
      <c r="D72" s="76" t="e">
        <f>'10K'!#REF!</f>
        <v>#REF!</v>
      </c>
      <c r="E72" s="76">
        <f>'12K'!F80</f>
        <v>72.413395523668754</v>
      </c>
      <c r="F72" s="76">
        <f>'15K'!F80</f>
        <v>75.836520982218076</v>
      </c>
      <c r="G72" s="76" t="e">
        <f>'10MI'!#REF!</f>
        <v>#REF!</v>
      </c>
      <c r="H72" s="76"/>
      <c r="I72" s="76">
        <f>H.Marathon!K80</f>
        <v>91.68711626776529</v>
      </c>
      <c r="J72" s="76">
        <f>'25K'!F80</f>
        <v>66.077403017130834</v>
      </c>
      <c r="K72" s="76">
        <f>'30K'!F80</f>
        <v>56.509924953102953</v>
      </c>
      <c r="L72" s="76">
        <f>Marathon!K80</f>
        <v>97.05302220562416</v>
      </c>
      <c r="M72" s="47"/>
    </row>
    <row r="73" spans="1:13">
      <c r="A73" s="54">
        <v>75</v>
      </c>
      <c r="B73" s="77">
        <f>+'5K'!J81</f>
        <v>99.962271049448276</v>
      </c>
      <c r="C73" s="78">
        <f>'8K'!F81</f>
        <v>95.642797396323559</v>
      </c>
      <c r="D73" s="78" t="e">
        <f>'10K'!#REF!</f>
        <v>#REF!</v>
      </c>
      <c r="E73" s="78">
        <f>'12K'!F81</f>
        <v>84.974600152053341</v>
      </c>
      <c r="F73" s="78">
        <f>'15K'!F81</f>
        <v>80.462456246606436</v>
      </c>
      <c r="G73" s="78" t="e">
        <f>'10MI'!#REF!</f>
        <v>#REF!</v>
      </c>
      <c r="H73" s="78"/>
      <c r="I73" s="78">
        <f>H.Marathon!K81</f>
        <v>94.209503372050492</v>
      </c>
      <c r="J73" s="78">
        <f>'25K'!F81</f>
        <v>82.621778193008595</v>
      </c>
      <c r="K73" s="78">
        <f>'30K'!F81</f>
        <v>83.061842687709969</v>
      </c>
      <c r="L73" s="78">
        <f>Marathon!K81</f>
        <v>93.454648274034085</v>
      </c>
      <c r="M73" s="47"/>
    </row>
    <row r="74" spans="1:13">
      <c r="A74" s="49">
        <v>76</v>
      </c>
      <c r="B74" s="75">
        <f>+'5K'!J82</f>
        <v>97.007886728608952</v>
      </c>
      <c r="C74" s="76">
        <f>'8K'!F82</f>
        <v>93.543763340681849</v>
      </c>
      <c r="D74" s="76" t="e">
        <f>'10K'!#REF!</f>
        <v>#REF!</v>
      </c>
      <c r="E74" s="76">
        <f>'12K'!F82</f>
        <v>72.896207188128855</v>
      </c>
      <c r="F74" s="76">
        <f>'15K'!F82</f>
        <v>73.643546082836139</v>
      </c>
      <c r="G74" s="76" t="e">
        <f>'10MI'!#REF!</f>
        <v>#REF!</v>
      </c>
      <c r="H74" s="76"/>
      <c r="I74" s="76">
        <f>H.Marathon!K82</f>
        <v>96.870518054323512</v>
      </c>
      <c r="J74" s="76">
        <f>'25K'!F82</f>
        <v>0</v>
      </c>
      <c r="K74" s="76"/>
      <c r="L74" s="76">
        <f>Marathon!K82</f>
        <v>97.032334124264196</v>
      </c>
      <c r="M74" s="47"/>
    </row>
    <row r="75" spans="1:13">
      <c r="A75" s="49">
        <v>77</v>
      </c>
      <c r="B75" s="75">
        <f>+'5K'!J83</f>
        <v>96.973483978056066</v>
      </c>
      <c r="C75" s="76">
        <f>'8K'!F83</f>
        <v>94.348886975441147</v>
      </c>
      <c r="D75" s="76" t="e">
        <f>'10K'!#REF!</f>
        <v>#REF!</v>
      </c>
      <c r="E75" s="76">
        <f>'12K'!F83</f>
        <v>78.900554113169079</v>
      </c>
      <c r="F75" s="76">
        <f>'15K'!F83</f>
        <v>76.842022039783245</v>
      </c>
      <c r="G75" s="76" t="e">
        <f>'10MI'!#REF!</f>
        <v>#REF!</v>
      </c>
      <c r="H75" s="76"/>
      <c r="I75" s="76">
        <f>H.Marathon!K83</f>
        <v>91.468101460415085</v>
      </c>
      <c r="J75" s="76">
        <f>'25K'!F83</f>
        <v>64.623842918661623</v>
      </c>
      <c r="K75" s="76">
        <f>'30K'!F83</f>
        <v>58.170118391399363</v>
      </c>
      <c r="L75" s="76">
        <f>Marathon!K83</f>
        <v>85.698639472800451</v>
      </c>
      <c r="M75" s="47"/>
    </row>
    <row r="76" spans="1:13">
      <c r="A76" s="49">
        <v>78</v>
      </c>
      <c r="B76" s="75">
        <f>+'5K'!J84</f>
        <v>90.66518765678866</v>
      </c>
      <c r="C76" s="76">
        <f>'8K'!F84</f>
        <v>93.680602285662673</v>
      </c>
      <c r="D76" s="76" t="e">
        <f>'10K'!#REF!</f>
        <v>#REF!</v>
      </c>
      <c r="E76" s="76">
        <f>'12K'!F84</f>
        <v>0</v>
      </c>
      <c r="F76" s="76">
        <f>'15K'!F84</f>
        <v>69.995080587988639</v>
      </c>
      <c r="G76" s="76" t="e">
        <f>'10MI'!#REF!</f>
        <v>#REF!</v>
      </c>
      <c r="H76" s="76"/>
      <c r="I76" s="76">
        <f>H.Marathon!K84</f>
        <v>92.554424334813703</v>
      </c>
      <c r="J76" s="76"/>
      <c r="K76" s="76"/>
      <c r="L76" s="76">
        <f>Marathon!K84</f>
        <v>86.09236967551864</v>
      </c>
      <c r="M76" s="47"/>
    </row>
    <row r="77" spans="1:13">
      <c r="A77" s="49">
        <v>79</v>
      </c>
      <c r="B77" s="75">
        <f>+'5K'!J85</f>
        <v>90.844709313944421</v>
      </c>
      <c r="C77" s="76">
        <f>'8K'!F85</f>
        <v>87.229066317891963</v>
      </c>
      <c r="D77" s="76" t="e">
        <f>'10K'!#REF!</f>
        <v>#REF!</v>
      </c>
      <c r="E77" s="76">
        <f>'12K'!F85</f>
        <v>0</v>
      </c>
      <c r="F77" s="76">
        <f>'15K'!F85</f>
        <v>75.141399070111746</v>
      </c>
      <c r="G77" s="76" t="e">
        <f>'10MI'!#REF!</f>
        <v>#REF!</v>
      </c>
      <c r="H77" s="76"/>
      <c r="I77" s="76">
        <f>H.Marathon!K85</f>
        <v>97.935699353124932</v>
      </c>
      <c r="J77" s="76">
        <f>'25K'!F85</f>
        <v>58.487176271162433</v>
      </c>
      <c r="K77" s="76"/>
      <c r="L77" s="76">
        <f>Marathon!K85</f>
        <v>84.191648865689459</v>
      </c>
      <c r="M77" s="47"/>
    </row>
    <row r="78" spans="1:13">
      <c r="A78" s="54">
        <v>80</v>
      </c>
      <c r="B78" s="77">
        <f>+'5K'!J86</f>
        <v>93.308764591012846</v>
      </c>
      <c r="C78" s="78">
        <f>'8K'!F86</f>
        <v>94.152187807198118</v>
      </c>
      <c r="D78" s="78" t="e">
        <f>'10K'!#REF!</f>
        <v>#REF!</v>
      </c>
      <c r="E78" s="78"/>
      <c r="F78" s="78">
        <f>'15K'!F86</f>
        <v>76.886236497342665</v>
      </c>
      <c r="G78" s="78" t="e">
        <f>'10MI'!#REF!</f>
        <v>#REF!</v>
      </c>
      <c r="H78" s="78">
        <f>'20K'!F86</f>
        <v>61.008626061625378</v>
      </c>
      <c r="I78" s="78">
        <f>H.Marathon!K86</f>
        <v>95.373687983059028</v>
      </c>
      <c r="J78" s="78">
        <f>'25K'!F86</f>
        <v>0</v>
      </c>
      <c r="K78" s="78"/>
      <c r="L78" s="78">
        <f>Marathon!K86</f>
        <v>100.00570868800112</v>
      </c>
      <c r="M78" s="47"/>
    </row>
    <row r="79" spans="1:13">
      <c r="A79" s="49">
        <v>81</v>
      </c>
      <c r="B79" s="75">
        <f>+'5K'!J87</f>
        <v>96.71498072100384</v>
      </c>
      <c r="C79" s="76">
        <f>'8K'!F87</f>
        <v>0</v>
      </c>
      <c r="D79" s="76" t="e">
        <f>'10K'!#REF!</f>
        <v>#REF!</v>
      </c>
      <c r="E79" s="76"/>
      <c r="F79" s="76">
        <f>'15K'!F87</f>
        <v>76.745509518758354</v>
      </c>
      <c r="G79" s="76" t="e">
        <f>'10MI'!#REF!</f>
        <v>#REF!</v>
      </c>
      <c r="H79" s="76"/>
      <c r="I79" s="76">
        <f>H.Marathon!K87</f>
        <v>98.453787686389646</v>
      </c>
      <c r="J79" s="76"/>
      <c r="K79" s="76"/>
      <c r="L79" s="76">
        <f>Marathon!K87</f>
        <v>95.608778024934892</v>
      </c>
      <c r="M79" s="47"/>
    </row>
    <row r="80" spans="1:13">
      <c r="A80" s="49">
        <v>82</v>
      </c>
      <c r="B80" s="75">
        <f>+'5K'!J88</f>
        <v>91.317889476572617</v>
      </c>
      <c r="C80" s="76">
        <f>'8K'!F88</f>
        <v>96.133703095648059</v>
      </c>
      <c r="D80" s="76" t="e">
        <f>'10K'!#REF!</f>
        <v>#REF!</v>
      </c>
      <c r="E80" s="76"/>
      <c r="F80" s="76"/>
      <c r="G80" s="76" t="e">
        <f>'10MI'!#REF!</f>
        <v>#REF!</v>
      </c>
      <c r="H80" s="76"/>
      <c r="I80" s="76">
        <f>H.Marathon!K88</f>
        <v>84.045331972242209</v>
      </c>
      <c r="J80" s="76"/>
      <c r="K80" s="76"/>
      <c r="L80" s="76">
        <f>Marathon!K88</f>
        <v>93.325843875240935</v>
      </c>
      <c r="M80" s="47"/>
    </row>
    <row r="81" spans="1:13">
      <c r="A81" s="49">
        <v>83</v>
      </c>
      <c r="B81" s="75">
        <f>+'5K'!J89</f>
        <v>92.10430571071926</v>
      </c>
      <c r="C81" s="76">
        <f>'8K'!F89</f>
        <v>86.094123409554598</v>
      </c>
      <c r="D81" s="76" t="e">
        <f>'10K'!#REF!</f>
        <v>#REF!</v>
      </c>
      <c r="E81" s="76"/>
      <c r="F81" s="76"/>
      <c r="G81" s="76" t="e">
        <f>'10MI'!#REF!</f>
        <v>#REF!</v>
      </c>
      <c r="H81" s="76"/>
      <c r="I81" s="76">
        <f>H.Marathon!K89</f>
        <v>97.407949346737311</v>
      </c>
      <c r="J81" s="76"/>
      <c r="K81" s="76"/>
      <c r="L81" s="76">
        <f>Marathon!K89</f>
        <v>82.481937709686221</v>
      </c>
      <c r="M81" s="47"/>
    </row>
    <row r="82" spans="1:13">
      <c r="A82" s="49">
        <v>84</v>
      </c>
      <c r="B82" s="75">
        <f>+'5K'!J90</f>
        <v>92.055209308239725</v>
      </c>
      <c r="C82" s="76">
        <f>'8K'!F90</f>
        <v>98.472353144913967</v>
      </c>
      <c r="D82" s="76"/>
      <c r="E82" s="76">
        <f>'12K'!F90</f>
        <v>54.913515610447064</v>
      </c>
      <c r="F82" s="76"/>
      <c r="G82" s="76" t="e">
        <f>'10MI'!#REF!</f>
        <v>#REF!</v>
      </c>
      <c r="H82" s="76"/>
      <c r="I82" s="76">
        <f>H.Marathon!K90</f>
        <v>99.440316129726426</v>
      </c>
      <c r="J82" s="76"/>
      <c r="K82" s="76"/>
      <c r="L82" s="76">
        <f>Marathon!K90</f>
        <v>85.744251929340479</v>
      </c>
      <c r="M82" s="47"/>
    </row>
    <row r="83" spans="1:13">
      <c r="A83" s="54">
        <v>85</v>
      </c>
      <c r="B83" s="77">
        <f>+'5K'!J91</f>
        <v>95.664347350947025</v>
      </c>
      <c r="C83" s="78">
        <f>'8K'!F91</f>
        <v>93.467753628978272</v>
      </c>
      <c r="D83" s="78" t="e">
        <f>'10K'!#REF!</f>
        <v>#REF!</v>
      </c>
      <c r="E83" s="78"/>
      <c r="F83" s="78"/>
      <c r="G83" s="78" t="e">
        <f>'10MI'!#REF!</f>
        <v>#REF!</v>
      </c>
      <c r="H83" s="78"/>
      <c r="I83" s="78">
        <f>H.Marathon!K91</f>
        <v>100.03498760650278</v>
      </c>
      <c r="J83" s="78"/>
      <c r="K83" s="78"/>
      <c r="L83" s="78">
        <f>Marathon!K91</f>
        <v>96.91495129658675</v>
      </c>
      <c r="M83" s="47"/>
    </row>
    <row r="84" spans="1:13">
      <c r="A84" s="49">
        <v>86</v>
      </c>
      <c r="B84" s="75">
        <f>+'5K'!J92</f>
        <v>87.101766698012781</v>
      </c>
      <c r="C84" s="76">
        <f>'8K'!F92</f>
        <v>0</v>
      </c>
      <c r="D84" s="76"/>
      <c r="E84" s="76"/>
      <c r="F84" s="76"/>
      <c r="G84" s="76"/>
      <c r="H84" s="76"/>
      <c r="I84" s="76"/>
      <c r="J84" s="76"/>
      <c r="K84" s="76"/>
      <c r="L84" s="76">
        <f>Marathon!K92</f>
        <v>86.803436168310384</v>
      </c>
      <c r="M84" s="47"/>
    </row>
    <row r="85" spans="1:13">
      <c r="A85" s="49">
        <v>87</v>
      </c>
      <c r="B85" s="75"/>
      <c r="C85" s="76">
        <f>'8K'!F93</f>
        <v>0</v>
      </c>
      <c r="D85" s="76"/>
      <c r="E85" s="76"/>
      <c r="F85" s="76"/>
      <c r="G85" s="76"/>
      <c r="H85" s="76"/>
      <c r="I85" s="76">
        <f>H.Marathon!K93</f>
        <v>0</v>
      </c>
      <c r="J85" s="76"/>
      <c r="K85" s="76"/>
      <c r="L85" s="76">
        <f>Marathon!K93</f>
        <v>80.449637303901923</v>
      </c>
      <c r="M85" s="47"/>
    </row>
    <row r="86" spans="1:13">
      <c r="A86" s="49">
        <v>88</v>
      </c>
      <c r="B86" s="75"/>
      <c r="C86" s="76">
        <f>'8K'!F94</f>
        <v>0</v>
      </c>
      <c r="D86" s="76"/>
      <c r="E86" s="76"/>
      <c r="F86" s="76"/>
      <c r="G86" s="76"/>
      <c r="H86" s="76"/>
      <c r="I86" s="76"/>
      <c r="J86" s="76"/>
      <c r="K86" s="76"/>
      <c r="L86" s="76">
        <f>Marathon!K94</f>
        <v>71.350446599062465</v>
      </c>
      <c r="M86" s="47"/>
    </row>
    <row r="87" spans="1:13">
      <c r="A87" s="49">
        <v>89</v>
      </c>
      <c r="B87" s="75"/>
      <c r="C87" s="76">
        <f>'8K'!F95</f>
        <v>0</v>
      </c>
      <c r="D87" s="76"/>
      <c r="E87" s="76"/>
      <c r="F87" s="76"/>
      <c r="G87" s="76" t="e">
        <f>'10MI'!#REF!</f>
        <v>#REF!</v>
      </c>
      <c r="H87" s="76"/>
      <c r="I87" s="76"/>
      <c r="J87" s="76"/>
      <c r="K87" s="76"/>
      <c r="L87" s="76">
        <f>Marathon!K98</f>
        <v>97.188127831443765</v>
      </c>
      <c r="M87" s="47"/>
    </row>
    <row r="88" spans="1:13">
      <c r="A88" s="54">
        <v>90</v>
      </c>
      <c r="B88" s="77"/>
      <c r="C88" s="78"/>
      <c r="D88" s="78"/>
      <c r="E88" s="78"/>
      <c r="F88" s="78"/>
      <c r="G88" s="78"/>
      <c r="H88" s="78"/>
      <c r="I88" s="78"/>
      <c r="J88" s="78"/>
      <c r="K88" s="78"/>
      <c r="L88" s="78">
        <f>Marathon!J96</f>
        <v>69.469918952340407</v>
      </c>
      <c r="M88" s="47"/>
    </row>
    <row r="89" spans="1:13">
      <c r="A89" s="49">
        <v>91</v>
      </c>
      <c r="B89" s="75"/>
      <c r="C89" s="76"/>
      <c r="D89" s="76"/>
      <c r="E89" s="76"/>
      <c r="F89" s="76"/>
      <c r="G89" s="76"/>
      <c r="H89" s="76"/>
      <c r="I89" s="76"/>
      <c r="J89" s="76"/>
      <c r="K89" s="76"/>
      <c r="L89" s="76"/>
      <c r="M89" s="47"/>
    </row>
    <row r="90" spans="1:13">
      <c r="A90" s="49">
        <v>92</v>
      </c>
      <c r="B90" s="75"/>
      <c r="C90" s="76"/>
      <c r="D90" s="76"/>
      <c r="E90" s="76"/>
      <c r="F90" s="76"/>
      <c r="G90" s="76"/>
      <c r="H90" s="76"/>
      <c r="I90" s="76"/>
      <c r="J90" s="76"/>
      <c r="K90" s="76"/>
      <c r="L90" s="76"/>
      <c r="M90" s="47"/>
    </row>
    <row r="91" spans="1:13">
      <c r="A91" s="49">
        <v>93</v>
      </c>
      <c r="B91" s="75">
        <f>+'5K'!J99</f>
        <v>0</v>
      </c>
      <c r="C91" s="76"/>
      <c r="D91" s="76"/>
      <c r="E91" s="76"/>
      <c r="F91" s="76"/>
      <c r="G91" s="76"/>
      <c r="H91" s="76"/>
      <c r="I91" s="76">
        <f>H.Marathon!K99</f>
        <v>0</v>
      </c>
      <c r="J91" s="76"/>
      <c r="K91" s="76"/>
      <c r="L91" s="76"/>
      <c r="M91" s="47"/>
    </row>
    <row r="92" spans="1:13">
      <c r="A92" s="49">
        <v>94</v>
      </c>
      <c r="B92" s="75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47"/>
    </row>
    <row r="93" spans="1:13">
      <c r="A93" s="54">
        <v>95</v>
      </c>
      <c r="B93" s="77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47"/>
    </row>
    <row r="94" spans="1:13">
      <c r="A94" s="49">
        <v>96</v>
      </c>
      <c r="B94" s="75"/>
      <c r="C94" s="76"/>
      <c r="D94" s="76"/>
      <c r="E94" s="76"/>
      <c r="F94" s="76"/>
      <c r="G94" s="76"/>
      <c r="H94" s="76"/>
      <c r="I94" s="76"/>
      <c r="J94" s="76"/>
      <c r="K94" s="76"/>
      <c r="L94" s="76"/>
      <c r="M94" s="47"/>
    </row>
    <row r="95" spans="1:13">
      <c r="A95" s="49">
        <v>97</v>
      </c>
      <c r="B95" s="75"/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47"/>
    </row>
    <row r="96" spans="1:13">
      <c r="A96" s="49">
        <v>98</v>
      </c>
      <c r="B96" s="75"/>
      <c r="C96" s="76"/>
      <c r="D96" s="76"/>
      <c r="E96" s="76"/>
      <c r="F96" s="76"/>
      <c r="G96" s="76"/>
      <c r="H96" s="76"/>
      <c r="I96" s="76"/>
      <c r="J96" s="76"/>
      <c r="K96" s="76"/>
      <c r="L96" s="76"/>
      <c r="M96" s="47"/>
    </row>
    <row r="97" spans="1:13">
      <c r="A97" s="49">
        <v>99</v>
      </c>
      <c r="B97" s="75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47"/>
    </row>
    <row r="98" spans="1:13" ht="15.75" thickBot="1">
      <c r="A98" s="54">
        <v>100</v>
      </c>
      <c r="B98" s="77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47"/>
    </row>
    <row r="99" spans="1:13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</row>
  </sheetData>
  <pageMargins left="0.5" right="0.5" top="0.5" bottom="0.5" header="0" footer="0"/>
  <pageSetup orientation="portrait" horizontalDpi="0" verticalDpi="0" copies="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99"/>
  <sheetViews>
    <sheetView workbookViewId="0">
      <selection activeCell="M4" sqref="M4"/>
    </sheetView>
  </sheetViews>
  <sheetFormatPr defaultRowHeight="15"/>
  <cols>
    <col min="1" max="1" width="5.77734375" customWidth="1"/>
    <col min="2" max="6" width="7.77734375" customWidth="1"/>
    <col min="7" max="7" width="5.77734375" customWidth="1"/>
    <col min="8" max="11" width="7.77734375" customWidth="1"/>
  </cols>
  <sheetData>
    <row r="1" spans="1:11" ht="15.75">
      <c r="A1" s="89" t="s">
        <v>135</v>
      </c>
      <c r="B1" s="110"/>
      <c r="C1" s="110"/>
      <c r="D1" s="87"/>
      <c r="G1" s="89" t="s">
        <v>136</v>
      </c>
      <c r="H1" s="90"/>
      <c r="I1" s="90"/>
    </row>
    <row r="2" spans="1:11" ht="16.5" thickBot="1">
      <c r="A2" s="110" t="s">
        <v>137</v>
      </c>
      <c r="B2" s="110"/>
      <c r="C2" s="110"/>
      <c r="D2" s="87"/>
      <c r="G2" s="110" t="s">
        <v>137</v>
      </c>
      <c r="H2" s="90"/>
      <c r="I2" s="90"/>
    </row>
    <row r="3" spans="1:11" ht="11.1" customHeight="1" thickBot="1">
      <c r="A3" s="91" t="s">
        <v>69</v>
      </c>
      <c r="B3" s="91" t="s">
        <v>115</v>
      </c>
      <c r="C3" s="92" t="s">
        <v>120</v>
      </c>
      <c r="D3" s="92" t="s">
        <v>9</v>
      </c>
      <c r="E3" s="93" t="s">
        <v>10</v>
      </c>
      <c r="F3" s="94"/>
      <c r="G3" s="91" t="s">
        <v>69</v>
      </c>
      <c r="H3" s="91" t="s">
        <v>115</v>
      </c>
      <c r="I3" s="92" t="s">
        <v>120</v>
      </c>
      <c r="J3" s="92" t="s">
        <v>9</v>
      </c>
      <c r="K3" s="93" t="s">
        <v>10</v>
      </c>
    </row>
    <row r="4" spans="1:11" ht="11.1" customHeight="1">
      <c r="A4" s="95">
        <v>5</v>
      </c>
      <c r="B4" s="96">
        <v>72.690064463317299</v>
      </c>
      <c r="C4" s="96"/>
      <c r="D4" s="96"/>
      <c r="E4" s="97">
        <v>74.237930511469628</v>
      </c>
      <c r="F4" s="94"/>
      <c r="G4" s="95">
        <v>5</v>
      </c>
      <c r="H4" s="96">
        <v>75.009418507685083</v>
      </c>
      <c r="I4" s="96"/>
      <c r="J4" s="96"/>
      <c r="K4" s="97">
        <v>65.882146124897304</v>
      </c>
    </row>
    <row r="5" spans="1:11" ht="11.1" customHeight="1">
      <c r="A5" s="98">
        <v>6</v>
      </c>
      <c r="B5" s="99">
        <v>87.567902103818852</v>
      </c>
      <c r="C5" s="100">
        <v>76.902118982958484</v>
      </c>
      <c r="D5" s="100">
        <v>59.135344845293261</v>
      </c>
      <c r="E5" s="101">
        <v>85.810190351398703</v>
      </c>
      <c r="F5" s="94"/>
      <c r="G5" s="98">
        <v>6</v>
      </c>
      <c r="H5" s="99">
        <v>90.178722829079575</v>
      </c>
      <c r="I5" s="100">
        <v>80.110344516737428</v>
      </c>
      <c r="J5" s="100">
        <v>63.705465531597682</v>
      </c>
      <c r="K5" s="101">
        <v>77.492639200719267</v>
      </c>
    </row>
    <row r="6" spans="1:11" ht="11.1" customHeight="1">
      <c r="A6" s="98">
        <v>7</v>
      </c>
      <c r="B6" s="99">
        <v>86.287061896391393</v>
      </c>
      <c r="C6" s="100">
        <v>79.566424193089361</v>
      </c>
      <c r="D6" s="100">
        <v>89.125497906927166</v>
      </c>
      <c r="E6" s="101">
        <v>84.069137465342294</v>
      </c>
      <c r="F6" s="94"/>
      <c r="G6" s="98">
        <v>7</v>
      </c>
      <c r="H6" s="99">
        <v>88.655941899338472</v>
      </c>
      <c r="I6" s="100">
        <v>82.674323580942939</v>
      </c>
      <c r="J6" s="100">
        <v>94.843040586420912</v>
      </c>
      <c r="K6" s="101">
        <v>77.057829088713063</v>
      </c>
    </row>
    <row r="7" spans="1:11" ht="11.1" customHeight="1">
      <c r="A7" s="98">
        <v>8</v>
      </c>
      <c r="B7" s="99">
        <v>87.50163326528309</v>
      </c>
      <c r="C7" s="100">
        <v>79.401643177741008</v>
      </c>
      <c r="D7" s="100">
        <v>75.569163021586505</v>
      </c>
      <c r="E7" s="101">
        <v>95.772068088718626</v>
      </c>
      <c r="F7" s="94"/>
      <c r="G7" s="98">
        <v>8</v>
      </c>
      <c r="H7" s="99">
        <v>89.686389169285391</v>
      </c>
      <c r="I7" s="100">
        <v>82.285675429307418</v>
      </c>
      <c r="J7" s="100">
        <v>79.596700285420923</v>
      </c>
      <c r="K7" s="101">
        <v>88.924255752682484</v>
      </c>
    </row>
    <row r="8" spans="1:11" ht="11.1" customHeight="1">
      <c r="A8" s="98">
        <v>9</v>
      </c>
      <c r="B8" s="99">
        <v>93.423353608024641</v>
      </c>
      <c r="C8" s="100">
        <v>95.724139439986445</v>
      </c>
      <c r="D8" s="100">
        <v>80.258825976738251</v>
      </c>
      <c r="E8" s="101">
        <v>92.621625645983116</v>
      </c>
      <c r="F8" s="94"/>
      <c r="G8" s="98">
        <v>9</v>
      </c>
      <c r="H8" s="99">
        <v>95.500235840311504</v>
      </c>
      <c r="I8" s="100">
        <v>98.918075397748495</v>
      </c>
      <c r="J8" s="100">
        <v>83.810658097698166</v>
      </c>
      <c r="K8" s="101">
        <v>86.963435070455674</v>
      </c>
    </row>
    <row r="9" spans="1:11" ht="11.1" customHeight="1">
      <c r="A9" s="102">
        <v>10</v>
      </c>
      <c r="B9" s="103">
        <v>93.142049492202773</v>
      </c>
      <c r="C9" s="104">
        <v>97.094847475197867</v>
      </c>
      <c r="D9" s="104">
        <v>69.299799388484544</v>
      </c>
      <c r="E9" s="105">
        <v>95.385149089922947</v>
      </c>
      <c r="F9" s="94"/>
      <c r="G9" s="102">
        <v>10</v>
      </c>
      <c r="H9" s="103">
        <v>94.923754048053482</v>
      </c>
      <c r="I9" s="104">
        <v>100.01473293950609</v>
      </c>
      <c r="J9" s="104">
        <v>71.842391896207573</v>
      </c>
      <c r="K9" s="105">
        <v>90.419180315242528</v>
      </c>
    </row>
    <row r="10" spans="1:11" ht="11.1" customHeight="1">
      <c r="A10" s="98">
        <v>11</v>
      </c>
      <c r="B10" s="99">
        <v>93.748911277423943</v>
      </c>
      <c r="C10" s="100"/>
      <c r="D10" s="100">
        <v>84.684205415925845</v>
      </c>
      <c r="E10" s="101">
        <v>96.643222269871785</v>
      </c>
      <c r="F10" s="94"/>
      <c r="G10" s="98">
        <v>11</v>
      </c>
      <c r="H10" s="99">
        <v>95.251303254992905</v>
      </c>
      <c r="I10" s="100"/>
      <c r="J10" s="100">
        <v>87.254252535174317</v>
      </c>
      <c r="K10" s="101">
        <v>92.399586441058375</v>
      </c>
    </row>
    <row r="11" spans="1:11" ht="11.1" customHeight="1">
      <c r="A11" s="98">
        <v>12</v>
      </c>
      <c r="B11" s="99">
        <v>88.317380840658146</v>
      </c>
      <c r="C11" s="100">
        <v>96.882141065507639</v>
      </c>
      <c r="D11" s="100">
        <v>91.992313634634954</v>
      </c>
      <c r="E11" s="101">
        <v>90.987385363313408</v>
      </c>
      <c r="F11" s="94"/>
      <c r="G11" s="98">
        <v>12</v>
      </c>
      <c r="H11" s="99">
        <v>89.426768358831055</v>
      </c>
      <c r="I11" s="100">
        <v>99.130138481535425</v>
      </c>
      <c r="J11" s="100">
        <v>94.295757486352784</v>
      </c>
      <c r="K11" s="101">
        <v>87.636081577122425</v>
      </c>
    </row>
    <row r="12" spans="1:11" ht="11.1" customHeight="1">
      <c r="A12" s="98">
        <v>13</v>
      </c>
      <c r="B12" s="99">
        <v>95.547589908883339</v>
      </c>
      <c r="C12" s="100">
        <v>90.908546002721266</v>
      </c>
      <c r="D12" s="100">
        <v>96.009462692642984</v>
      </c>
      <c r="E12" s="101">
        <v>93.738328136018922</v>
      </c>
      <c r="F12" s="94"/>
      <c r="G12" s="98">
        <v>13</v>
      </c>
      <c r="H12" s="99">
        <v>96.393490850016533</v>
      </c>
      <c r="I12" s="100">
        <v>92.669874062659503</v>
      </c>
      <c r="J12" s="100">
        <v>97.988711560158123</v>
      </c>
      <c r="K12" s="101">
        <v>90.869629850922792</v>
      </c>
    </row>
    <row r="13" spans="1:11" ht="11.1" customHeight="1">
      <c r="A13" s="98">
        <v>14</v>
      </c>
      <c r="B13" s="99">
        <v>95.422595296869574</v>
      </c>
      <c r="C13" s="100">
        <v>96.858258688611556</v>
      </c>
      <c r="D13" s="100">
        <v>95.301174390340321</v>
      </c>
      <c r="E13" s="101">
        <v>97.832239851852705</v>
      </c>
      <c r="F13" s="94"/>
      <c r="G13" s="98">
        <v>14</v>
      </c>
      <c r="H13" s="99">
        <v>95.900024981631773</v>
      </c>
      <c r="I13" s="100">
        <v>98.352243263357693</v>
      </c>
      <c r="J13" s="100">
        <v>96.917594378462439</v>
      </c>
      <c r="K13" s="101">
        <v>95.384059542756631</v>
      </c>
    </row>
    <row r="14" spans="1:11" ht="11.1" customHeight="1">
      <c r="A14" s="102">
        <v>15</v>
      </c>
      <c r="B14" s="103">
        <v>95.466420116752857</v>
      </c>
      <c r="C14" s="104">
        <v>95.375573812466669</v>
      </c>
      <c r="D14" s="104">
        <v>96.848790449326415</v>
      </c>
      <c r="E14" s="105">
        <v>97.80407286252958</v>
      </c>
      <c r="F14" s="94"/>
      <c r="G14" s="102">
        <v>15</v>
      </c>
      <c r="H14" s="103">
        <v>95.551567649647112</v>
      </c>
      <c r="I14" s="104">
        <v>96.446528348920225</v>
      </c>
      <c r="J14" s="104">
        <v>98.2035675608915</v>
      </c>
      <c r="K14" s="105">
        <v>95.835558684152417</v>
      </c>
    </row>
    <row r="15" spans="1:11" ht="11.1" customHeight="1">
      <c r="A15" s="98">
        <v>16</v>
      </c>
      <c r="B15" s="99">
        <v>99.924269106859327</v>
      </c>
      <c r="C15" s="100">
        <v>95.957884822488964</v>
      </c>
      <c r="D15" s="100">
        <v>95.23101634181117</v>
      </c>
      <c r="E15" s="101">
        <v>94.368165930014243</v>
      </c>
      <c r="F15" s="94"/>
      <c r="G15" s="98">
        <v>16</v>
      </c>
      <c r="H15" s="99">
        <v>99.596219390462153</v>
      </c>
      <c r="I15" s="100">
        <v>96.62759089364593</v>
      </c>
      <c r="J15" s="100">
        <v>96.315335225745841</v>
      </c>
      <c r="K15" s="101">
        <v>92.893663337357765</v>
      </c>
    </row>
    <row r="16" spans="1:11" ht="11.1" customHeight="1">
      <c r="A16" s="98">
        <v>17</v>
      </c>
      <c r="B16" s="99">
        <v>100.78311201906709</v>
      </c>
      <c r="C16" s="100">
        <v>98.277996701315232</v>
      </c>
      <c r="D16" s="100">
        <v>96.489829471203734</v>
      </c>
      <c r="E16" s="101">
        <v>97.71021375387005</v>
      </c>
      <c r="F16" s="94"/>
      <c r="G16" s="98">
        <v>17</v>
      </c>
      <c r="H16" s="99">
        <v>100.04516711833784</v>
      </c>
      <c r="I16" s="100">
        <v>98.55994177381902</v>
      </c>
      <c r="J16" s="100">
        <v>97.347395453264483</v>
      </c>
      <c r="K16" s="101">
        <v>96.60897159066046</v>
      </c>
    </row>
    <row r="17" spans="1:11" ht="11.1" customHeight="1">
      <c r="A17" s="98">
        <v>18</v>
      </c>
      <c r="B17" s="99">
        <v>99.182802952922245</v>
      </c>
      <c r="C17" s="100">
        <v>97.399184886557777</v>
      </c>
      <c r="D17" s="100">
        <v>97.804601164226341</v>
      </c>
      <c r="E17" s="101">
        <v>96.670814211449695</v>
      </c>
      <c r="F17" s="94"/>
      <c r="G17" s="98">
        <v>18</v>
      </c>
      <c r="H17" s="99">
        <v>98.293727395770929</v>
      </c>
      <c r="I17" s="100">
        <v>97.389339623757166</v>
      </c>
      <c r="J17" s="100">
        <v>98.382186426396828</v>
      </c>
      <c r="K17" s="101">
        <v>95.967256279252737</v>
      </c>
    </row>
    <row r="18" spans="1:11" ht="11.1" customHeight="1">
      <c r="A18" s="98">
        <v>19</v>
      </c>
      <c r="B18" s="99">
        <v>100.05350834584847</v>
      </c>
      <c r="C18" s="100">
        <v>97.864263019993274</v>
      </c>
      <c r="D18" s="100">
        <v>97.420778717580021</v>
      </c>
      <c r="E18" s="101">
        <v>94.743771795148788</v>
      </c>
      <c r="F18" s="94"/>
      <c r="G18" s="98">
        <v>19</v>
      </c>
      <c r="H18" s="99">
        <v>99.43883277216608</v>
      </c>
      <c r="I18" s="100">
        <v>97.746507965722756</v>
      </c>
      <c r="J18" s="100">
        <v>97.62224697215693</v>
      </c>
      <c r="K18" s="101">
        <v>94.392270786784138</v>
      </c>
    </row>
    <row r="19" spans="1:11" ht="11.1" customHeight="1">
      <c r="A19" s="102">
        <v>20</v>
      </c>
      <c r="B19" s="103">
        <v>99.036270026405219</v>
      </c>
      <c r="C19" s="104">
        <v>98.524258188123738</v>
      </c>
      <c r="D19" s="104">
        <v>98.000779143409716</v>
      </c>
      <c r="E19" s="105">
        <v>95.095806830863467</v>
      </c>
      <c r="F19" s="94"/>
      <c r="G19" s="102">
        <v>20</v>
      </c>
      <c r="H19" s="103">
        <v>98.773690078037902</v>
      </c>
      <c r="I19" s="104">
        <v>98.484848484848484</v>
      </c>
      <c r="J19" s="104">
        <v>97.742595773502245</v>
      </c>
      <c r="K19" s="105">
        <v>95.029239766081858</v>
      </c>
    </row>
    <row r="20" spans="1:11" ht="11.1" customHeight="1">
      <c r="A20" s="98">
        <v>21</v>
      </c>
      <c r="B20" s="99">
        <v>96.83751363140675</v>
      </c>
      <c r="C20" s="100">
        <v>96.347273689782952</v>
      </c>
      <c r="D20" s="100">
        <v>98.528311299575975</v>
      </c>
      <c r="E20" s="101">
        <v>94.94040663706474</v>
      </c>
      <c r="F20" s="94"/>
      <c r="G20" s="98">
        <v>21</v>
      </c>
      <c r="H20" s="99">
        <v>96.619411123227906</v>
      </c>
      <c r="I20" s="100">
        <v>96.347273689782952</v>
      </c>
      <c r="J20" s="100">
        <v>97.766199780580862</v>
      </c>
      <c r="K20" s="101">
        <v>94.94040663706474</v>
      </c>
    </row>
    <row r="21" spans="1:11" ht="11.1" customHeight="1">
      <c r="A21" s="98">
        <v>22</v>
      </c>
      <c r="B21" s="99">
        <v>100.22573363431152</v>
      </c>
      <c r="C21" s="100">
        <v>98.8056460369164</v>
      </c>
      <c r="D21" s="100">
        <v>98.356573705179301</v>
      </c>
      <c r="E21" s="101">
        <v>96.818398474737833</v>
      </c>
      <c r="F21" s="94"/>
      <c r="G21" s="98">
        <v>22</v>
      </c>
      <c r="H21" s="99">
        <v>100</v>
      </c>
      <c r="I21" s="100">
        <v>98.8056460369164</v>
      </c>
      <c r="J21" s="100">
        <v>97.410358565737056</v>
      </c>
      <c r="K21" s="101">
        <v>96.818398474737833</v>
      </c>
    </row>
    <row r="22" spans="1:11" ht="11.1" customHeight="1">
      <c r="A22" s="98">
        <v>23</v>
      </c>
      <c r="B22" s="99">
        <v>99.107142857142861</v>
      </c>
      <c r="C22" s="100">
        <v>99.020674646354735</v>
      </c>
      <c r="D22" s="100">
        <v>98.185433755903574</v>
      </c>
      <c r="E22" s="101">
        <v>97.061283000836212</v>
      </c>
      <c r="F22" s="94"/>
      <c r="G22" s="98">
        <v>23</v>
      </c>
      <c r="H22" s="99">
        <v>98.883928571428555</v>
      </c>
      <c r="I22" s="100">
        <v>99.020674646354735</v>
      </c>
      <c r="J22" s="100">
        <v>97.240865026099925</v>
      </c>
      <c r="K22" s="101">
        <v>97.061283000836212</v>
      </c>
    </row>
    <row r="23" spans="1:11" ht="11.1" customHeight="1">
      <c r="A23" s="98">
        <v>24</v>
      </c>
      <c r="B23" s="99">
        <v>99.4400895856663</v>
      </c>
      <c r="C23" s="100">
        <v>99.020674646354735</v>
      </c>
      <c r="D23" s="100">
        <v>97.482724580454089</v>
      </c>
      <c r="E23" s="101">
        <v>97.445430558887011</v>
      </c>
      <c r="F23" s="94"/>
      <c r="G23" s="98">
        <v>24</v>
      </c>
      <c r="H23" s="99">
        <v>99.216125419932808</v>
      </c>
      <c r="I23" s="100">
        <v>99.020674646354735</v>
      </c>
      <c r="J23" s="100">
        <v>96.544916090819328</v>
      </c>
      <c r="K23" s="101">
        <v>97.445430558887011</v>
      </c>
    </row>
    <row r="24" spans="1:11" ht="11.1" customHeight="1">
      <c r="A24" s="102">
        <v>25</v>
      </c>
      <c r="B24" s="103">
        <v>99.217877094972081</v>
      </c>
      <c r="C24" s="104">
        <v>99.562363238512035</v>
      </c>
      <c r="D24" s="104">
        <v>98.55289421157687</v>
      </c>
      <c r="E24" s="105">
        <v>96.945471900727838</v>
      </c>
      <c r="F24" s="94"/>
      <c r="G24" s="102">
        <v>25</v>
      </c>
      <c r="H24" s="103">
        <v>98.994413407821241</v>
      </c>
      <c r="I24" s="104">
        <v>99.562363238512035</v>
      </c>
      <c r="J24" s="104">
        <v>97.604790419161674</v>
      </c>
      <c r="K24" s="105">
        <v>96.945471900727838</v>
      </c>
    </row>
    <row r="25" spans="1:11" ht="11.1" customHeight="1">
      <c r="A25" s="98">
        <v>26</v>
      </c>
      <c r="B25" s="99">
        <v>99.4400895856663</v>
      </c>
      <c r="C25" s="100">
        <v>97.954790096878369</v>
      </c>
      <c r="D25" s="100">
        <v>97.386587771203153</v>
      </c>
      <c r="E25" s="101">
        <v>96.233566267914256</v>
      </c>
      <c r="F25" s="94"/>
      <c r="G25" s="98">
        <v>26</v>
      </c>
      <c r="H25" s="99">
        <v>99.216125419932808</v>
      </c>
      <c r="I25" s="100">
        <v>97.954790096878369</v>
      </c>
      <c r="J25" s="100">
        <v>96.449704142011825</v>
      </c>
      <c r="K25" s="101">
        <v>96.233566267914256</v>
      </c>
    </row>
    <row r="26" spans="1:11" ht="11.1" customHeight="1">
      <c r="A26" s="98">
        <v>27</v>
      </c>
      <c r="B26" s="99">
        <v>98.996655518394661</v>
      </c>
      <c r="C26" s="100">
        <v>98.538170005414159</v>
      </c>
      <c r="D26" s="100">
        <v>98.848848848848846</v>
      </c>
      <c r="E26" s="101">
        <v>97.282088122605373</v>
      </c>
      <c r="F26" s="94"/>
      <c r="G26" s="98">
        <v>27</v>
      </c>
      <c r="H26" s="99">
        <v>98.773690078037902</v>
      </c>
      <c r="I26" s="100">
        <v>98.538170005414159</v>
      </c>
      <c r="J26" s="100">
        <v>97.897897897897892</v>
      </c>
      <c r="K26" s="101">
        <v>97.282088122605373</v>
      </c>
    </row>
    <row r="27" spans="1:11" ht="11.1" customHeight="1">
      <c r="A27" s="98">
        <v>28</v>
      </c>
      <c r="B27" s="99">
        <v>97.582417582417591</v>
      </c>
      <c r="C27" s="100">
        <v>99.453551912568315</v>
      </c>
      <c r="D27" s="100">
        <v>99.52128999748048</v>
      </c>
      <c r="E27" s="101">
        <v>98.640281655942701</v>
      </c>
      <c r="F27" s="94"/>
      <c r="G27" s="98">
        <v>28</v>
      </c>
      <c r="H27" s="99">
        <v>97.362637362637358</v>
      </c>
      <c r="I27" s="100">
        <v>99.453551912568315</v>
      </c>
      <c r="J27" s="100">
        <v>98.563869992441425</v>
      </c>
      <c r="K27" s="101">
        <v>98.640281655942701</v>
      </c>
    </row>
    <row r="28" spans="1:11" ht="11.1" customHeight="1">
      <c r="A28" s="98">
        <v>29</v>
      </c>
      <c r="B28" s="99">
        <v>100.11273957158964</v>
      </c>
      <c r="C28" s="100">
        <v>100</v>
      </c>
      <c r="D28" s="100">
        <v>100</v>
      </c>
      <c r="E28" s="101">
        <v>100.01230920728703</v>
      </c>
      <c r="F28" s="94"/>
      <c r="G28" s="98">
        <v>29</v>
      </c>
      <c r="H28" s="99">
        <v>99.887260428410372</v>
      </c>
      <c r="I28" s="100">
        <v>100</v>
      </c>
      <c r="J28" s="100">
        <v>99.037974683544292</v>
      </c>
      <c r="K28" s="101">
        <v>100.01230920728703</v>
      </c>
    </row>
    <row r="29" spans="1:11" ht="11.1" customHeight="1">
      <c r="A29" s="102">
        <v>30</v>
      </c>
      <c r="B29" s="103">
        <v>98.259566365484858</v>
      </c>
      <c r="C29" s="104">
        <v>98.728099991819661</v>
      </c>
      <c r="D29" s="104">
        <v>98.557878663174918</v>
      </c>
      <c r="E29" s="105">
        <v>97.730567518578908</v>
      </c>
      <c r="F29" s="94"/>
      <c r="G29" s="102">
        <v>30</v>
      </c>
      <c r="H29" s="103">
        <v>98.008849557522097</v>
      </c>
      <c r="I29" s="104">
        <v>98.698481561822121</v>
      </c>
      <c r="J29" s="104">
        <v>97.609726919073481</v>
      </c>
      <c r="K29" s="105">
        <v>97.691475291571479</v>
      </c>
    </row>
    <row r="30" spans="1:11" ht="11.1" customHeight="1">
      <c r="A30" s="98">
        <v>31</v>
      </c>
      <c r="B30" s="99">
        <v>97.049986426116746</v>
      </c>
      <c r="C30" s="100">
        <v>98.539978616824627</v>
      </c>
      <c r="D30" s="100">
        <v>98.85874461908098</v>
      </c>
      <c r="E30" s="101">
        <v>98.50927161989955</v>
      </c>
      <c r="F30" s="94"/>
      <c r="G30" s="98">
        <v>31</v>
      </c>
      <c r="H30" s="99">
        <v>96.744239677629821</v>
      </c>
      <c r="I30" s="100">
        <v>98.451274895325184</v>
      </c>
      <c r="J30" s="100">
        <v>97.907698468315132</v>
      </c>
      <c r="K30" s="101">
        <v>98.361478153776474</v>
      </c>
    </row>
    <row r="31" spans="1:11" ht="11.1" customHeight="1">
      <c r="A31" s="98">
        <v>32</v>
      </c>
      <c r="B31" s="99">
        <v>99.456572869859755</v>
      </c>
      <c r="C31" s="100">
        <v>97.821903936740412</v>
      </c>
      <c r="D31" s="100">
        <v>99.310328736798795</v>
      </c>
      <c r="E31" s="101">
        <v>97.210879291247139</v>
      </c>
      <c r="F31" s="94"/>
      <c r="G31" s="98">
        <v>32</v>
      </c>
      <c r="H31" s="99">
        <v>99.093506914735968</v>
      </c>
      <c r="I31" s="100">
        <v>97.684816183475704</v>
      </c>
      <c r="J31" s="100">
        <v>98.3549382324954</v>
      </c>
      <c r="K31" s="101">
        <v>96.94812088291161</v>
      </c>
    </row>
    <row r="32" spans="1:11" ht="11.1" customHeight="1">
      <c r="A32" s="98">
        <v>33</v>
      </c>
      <c r="B32" s="99">
        <v>97.468293992034617</v>
      </c>
      <c r="C32" s="100">
        <v>98.324894950384547</v>
      </c>
      <c r="D32" s="100">
        <v>99.549770411766843</v>
      </c>
      <c r="E32" s="101">
        <v>98.551863752199992</v>
      </c>
      <c r="F32" s="94"/>
      <c r="G32" s="98">
        <v>33</v>
      </c>
      <c r="H32" s="99">
        <v>97.053824890143503</v>
      </c>
      <c r="I32" s="100">
        <v>98.12779182329146</v>
      </c>
      <c r="J32" s="100">
        <v>98.59207641793212</v>
      </c>
      <c r="K32" s="101">
        <v>98.136908536401251</v>
      </c>
    </row>
    <row r="33" spans="1:11" ht="11.1" customHeight="1">
      <c r="A33" s="98">
        <v>34</v>
      </c>
      <c r="B33" s="99">
        <v>98.664430272913833</v>
      </c>
      <c r="C33" s="100">
        <v>97.815899942288638</v>
      </c>
      <c r="D33" s="100">
        <v>98.275907196095332</v>
      </c>
      <c r="E33" s="101">
        <v>96.716346133816131</v>
      </c>
      <c r="F33" s="94"/>
      <c r="G33" s="98">
        <v>34</v>
      </c>
      <c r="H33" s="99">
        <v>98.19509436814559</v>
      </c>
      <c r="I33" s="100">
        <v>97.580151639555652</v>
      </c>
      <c r="J33" s="100">
        <v>97.330468088892374</v>
      </c>
      <c r="K33" s="101">
        <v>96.143082679737859</v>
      </c>
    </row>
    <row r="34" spans="1:11" ht="11.1" customHeight="1">
      <c r="A34" s="102">
        <v>35</v>
      </c>
      <c r="B34" s="103">
        <v>97.140566775825846</v>
      </c>
      <c r="C34" s="104">
        <v>98.112192046314135</v>
      </c>
      <c r="D34" s="104">
        <v>97.062242895633574</v>
      </c>
      <c r="E34" s="105">
        <v>97.168062239223346</v>
      </c>
      <c r="F34" s="94"/>
      <c r="G34" s="102">
        <v>35</v>
      </c>
      <c r="H34" s="103">
        <v>96.619358440916869</v>
      </c>
      <c r="I34" s="104">
        <v>97.815899942288638</v>
      </c>
      <c r="J34" s="104">
        <v>96.12847954625785</v>
      </c>
      <c r="K34" s="105">
        <v>96.394867545740382</v>
      </c>
    </row>
    <row r="35" spans="1:11" ht="11.1" customHeight="1">
      <c r="A35" s="98">
        <v>36</v>
      </c>
      <c r="B35" s="99">
        <v>96.845645708527357</v>
      </c>
      <c r="C35" s="100">
        <v>99.298418481727168</v>
      </c>
      <c r="D35" s="100">
        <v>94.610551831013595</v>
      </c>
      <c r="E35" s="101">
        <v>99.246811367906858</v>
      </c>
      <c r="F35" s="94"/>
      <c r="G35" s="98">
        <v>36</v>
      </c>
      <c r="H35" s="99">
        <v>96.276364891334836</v>
      </c>
      <c r="I35" s="100">
        <v>98.957531342351288</v>
      </c>
      <c r="J35" s="100">
        <v>93.700374370360805</v>
      </c>
      <c r="K35" s="101">
        <v>98.243811758327226</v>
      </c>
    </row>
    <row r="36" spans="1:11" ht="11.1" customHeight="1">
      <c r="A36" s="98">
        <v>37</v>
      </c>
      <c r="B36" s="99">
        <v>97.13516883798772</v>
      </c>
      <c r="C36" s="100">
        <v>97.190292719005228</v>
      </c>
      <c r="D36" s="100">
        <v>96.524412490112383</v>
      </c>
      <c r="E36" s="101">
        <v>98.347819573765264</v>
      </c>
      <c r="F36" s="94"/>
      <c r="G36" s="98">
        <v>37</v>
      </c>
      <c r="H36" s="99">
        <v>96.513845815318675</v>
      </c>
      <c r="I36" s="100">
        <v>96.816029329937308</v>
      </c>
      <c r="J36" s="100">
        <v>95.595823205397366</v>
      </c>
      <c r="K36" s="101">
        <v>97.110489051530379</v>
      </c>
    </row>
    <row r="37" spans="1:11" ht="11.1" customHeight="1">
      <c r="A37" s="98">
        <v>38</v>
      </c>
      <c r="B37" s="99">
        <v>98.215529998871858</v>
      </c>
      <c r="C37" s="100">
        <v>98.100726807802332</v>
      </c>
      <c r="D37" s="100">
        <v>100.01959877707682</v>
      </c>
      <c r="E37" s="101">
        <v>97.191738905548064</v>
      </c>
      <c r="F37" s="94"/>
      <c r="G37" s="98">
        <v>38</v>
      </c>
      <c r="H37" s="99">
        <v>97.535800923045358</v>
      </c>
      <c r="I37" s="100">
        <v>97.681450271125044</v>
      </c>
      <c r="J37" s="100">
        <v>99.057384915423938</v>
      </c>
      <c r="K37" s="101">
        <v>95.686118816509804</v>
      </c>
    </row>
    <row r="38" spans="1:11" ht="11.1" customHeight="1">
      <c r="A38" s="98">
        <v>39</v>
      </c>
      <c r="B38" s="99">
        <v>97.049604588435372</v>
      </c>
      <c r="C38" s="100">
        <v>98.200365003202833</v>
      </c>
      <c r="D38" s="100">
        <v>98.302840041220506</v>
      </c>
      <c r="E38" s="101">
        <v>99.324498061662538</v>
      </c>
      <c r="F38" s="94"/>
      <c r="G38" s="98">
        <v>39</v>
      </c>
      <c r="H38" s="99">
        <v>96.326335359158065</v>
      </c>
      <c r="I38" s="100">
        <v>97.728489207767765</v>
      </c>
      <c r="J38" s="100">
        <v>97.357141833229008</v>
      </c>
      <c r="K38" s="101">
        <v>97.492881459767332</v>
      </c>
    </row>
    <row r="39" spans="1:11" ht="11.1" customHeight="1">
      <c r="A39" s="102">
        <v>40</v>
      </c>
      <c r="B39" s="103">
        <v>96.889645966542957</v>
      </c>
      <c r="C39" s="104">
        <v>96.686572413195918</v>
      </c>
      <c r="D39" s="104">
        <v>97.269346552902419</v>
      </c>
      <c r="E39" s="105">
        <v>97.249609873464991</v>
      </c>
      <c r="F39" s="94"/>
      <c r="G39" s="102">
        <v>40</v>
      </c>
      <c r="H39" s="103">
        <v>96.11527236963633</v>
      </c>
      <c r="I39" s="104">
        <v>96.179735616703681</v>
      </c>
      <c r="J39" s="104">
        <v>96.333590813912465</v>
      </c>
      <c r="K39" s="105">
        <v>95.135052197939331</v>
      </c>
    </row>
    <row r="40" spans="1:11" ht="11.1" customHeight="1">
      <c r="A40" s="98">
        <v>41</v>
      </c>
      <c r="B40" s="99">
        <v>96.083753871077036</v>
      </c>
      <c r="C40" s="100">
        <v>95.919009782737646</v>
      </c>
      <c r="D40" s="100">
        <v>98.331577015195535</v>
      </c>
      <c r="E40" s="101">
        <v>99.474251949952432</v>
      </c>
      <c r="F40" s="94"/>
      <c r="G40" s="98">
        <v>41</v>
      </c>
      <c r="H40" s="99">
        <v>95.263101418215996</v>
      </c>
      <c r="I40" s="100">
        <v>95.383426437864543</v>
      </c>
      <c r="J40" s="100">
        <v>97.385602350239225</v>
      </c>
      <c r="K40" s="101">
        <v>96.936327662492545</v>
      </c>
    </row>
    <row r="41" spans="1:11" ht="11.1" customHeight="1">
      <c r="A41" s="98">
        <v>42</v>
      </c>
      <c r="B41" s="99">
        <v>97.355557736066686</v>
      </c>
      <c r="C41" s="100">
        <v>97.272058563765214</v>
      </c>
      <c r="D41" s="100">
        <v>95.933486375174141</v>
      </c>
      <c r="E41" s="101">
        <v>99.240505389083111</v>
      </c>
      <c r="F41" s="94"/>
      <c r="G41" s="98">
        <v>42</v>
      </c>
      <c r="H41" s="99">
        <v>96.479689174238388</v>
      </c>
      <c r="I41" s="100">
        <v>96.694986609338201</v>
      </c>
      <c r="J41" s="100">
        <v>95.010581949286376</v>
      </c>
      <c r="K41" s="101">
        <v>96.32746015620603</v>
      </c>
    </row>
    <row r="42" spans="1:11" ht="11.1" customHeight="1">
      <c r="A42" s="98">
        <v>43</v>
      </c>
      <c r="B42" s="99">
        <v>95.107378693912224</v>
      </c>
      <c r="C42" s="100">
        <v>96.873549890783067</v>
      </c>
      <c r="D42" s="100">
        <v>96.594952128764476</v>
      </c>
      <c r="E42" s="101">
        <v>98.693486515341903</v>
      </c>
      <c r="F42" s="94"/>
      <c r="G42" s="98">
        <v>43</v>
      </c>
      <c r="H42" s="99">
        <v>94.197547993172265</v>
      </c>
      <c r="I42" s="100">
        <v>96.254127821250805</v>
      </c>
      <c r="J42" s="100">
        <v>95.66568423486747</v>
      </c>
      <c r="K42" s="101">
        <v>95.420329192502066</v>
      </c>
    </row>
    <row r="43" spans="1:11" ht="11.1" customHeight="1">
      <c r="A43" s="98">
        <v>44</v>
      </c>
      <c r="B43" s="99">
        <v>98.280946711141013</v>
      </c>
      <c r="C43" s="100">
        <v>97.37215036656869</v>
      </c>
      <c r="D43" s="100">
        <v>97.003781575774639</v>
      </c>
      <c r="E43" s="101">
        <v>99.678890435196436</v>
      </c>
      <c r="F43" s="94"/>
      <c r="G43" s="98">
        <v>44</v>
      </c>
      <c r="H43" s="99">
        <v>97.293826036882052</v>
      </c>
      <c r="I43" s="100">
        <v>96.713813410783729</v>
      </c>
      <c r="J43" s="100">
        <v>96.070580639096292</v>
      </c>
      <c r="K43" s="101">
        <v>96.048237422636973</v>
      </c>
    </row>
    <row r="44" spans="1:11" ht="11.1" customHeight="1">
      <c r="A44" s="102">
        <v>45</v>
      </c>
      <c r="B44" s="103">
        <v>95.768034290995715</v>
      </c>
      <c r="C44" s="104">
        <v>96.396803990446372</v>
      </c>
      <c r="D44" s="104">
        <v>98.026184456590997</v>
      </c>
      <c r="E44" s="105">
        <v>98.973712642828971</v>
      </c>
      <c r="F44" s="94"/>
      <c r="G44" s="102">
        <v>45</v>
      </c>
      <c r="H44" s="103">
        <v>94.749123356728319</v>
      </c>
      <c r="I44" s="104">
        <v>95.708695545170428</v>
      </c>
      <c r="J44" s="104">
        <v>97.072731098609239</v>
      </c>
      <c r="K44" s="105">
        <v>95.101750679845836</v>
      </c>
    </row>
    <row r="45" spans="1:11" ht="11.1" customHeight="1">
      <c r="A45" s="98">
        <v>46</v>
      </c>
      <c r="B45" s="99">
        <v>96.767781733729933</v>
      </c>
      <c r="C45" s="100">
        <v>95.467496989102003</v>
      </c>
      <c r="D45" s="100">
        <v>100.01393611909873</v>
      </c>
      <c r="E45" s="101">
        <v>101.6460327096808</v>
      </c>
      <c r="F45" s="94"/>
      <c r="G45" s="98">
        <v>46</v>
      </c>
      <c r="H45" s="99">
        <v>95.699816247711738</v>
      </c>
      <c r="I45" s="100">
        <v>94.759265907256193</v>
      </c>
      <c r="J45" s="100">
        <v>99.051776733649149</v>
      </c>
      <c r="K45" s="101">
        <v>97.453422721330867</v>
      </c>
    </row>
    <row r="46" spans="1:11" ht="11.1" customHeight="1">
      <c r="A46" s="98">
        <v>47</v>
      </c>
      <c r="B46" s="99">
        <v>99.453420576083928</v>
      </c>
      <c r="C46" s="100">
        <v>99.176551262942525</v>
      </c>
      <c r="D46" s="100">
        <v>95.159310900116026</v>
      </c>
      <c r="E46" s="101">
        <v>103.91429747290786</v>
      </c>
      <c r="F46" s="94"/>
      <c r="G46" s="98">
        <v>47</v>
      </c>
      <c r="H46" s="99">
        <v>98.304360730403602</v>
      </c>
      <c r="I46" s="100">
        <v>98.41199804473743</v>
      </c>
      <c r="J46" s="100">
        <v>94.243854238292116</v>
      </c>
      <c r="K46" s="101">
        <v>99.467975486487759</v>
      </c>
    </row>
    <row r="47" spans="1:11" ht="11.1" customHeight="1">
      <c r="A47" s="98">
        <v>48</v>
      </c>
      <c r="B47" s="99">
        <v>100.95589773440416</v>
      </c>
      <c r="C47" s="100">
        <v>98.641564737049734</v>
      </c>
      <c r="D47" s="100">
        <v>96.970018343290576</v>
      </c>
      <c r="E47" s="101">
        <v>99.367341285101375</v>
      </c>
      <c r="F47" s="94"/>
      <c r="G47" s="98">
        <v>48</v>
      </c>
      <c r="H47" s="99">
        <v>99.724654151860406</v>
      </c>
      <c r="I47" s="100">
        <v>97.840656706487792</v>
      </c>
      <c r="J47" s="100">
        <v>96.026519814821981</v>
      </c>
      <c r="K47" s="101">
        <v>95.022151446994997</v>
      </c>
    </row>
    <row r="48" spans="1:11" ht="11.1" customHeight="1">
      <c r="A48" s="98">
        <v>49</v>
      </c>
      <c r="B48" s="99">
        <v>100.56903044659443</v>
      </c>
      <c r="C48" s="100">
        <v>100.91563752123247</v>
      </c>
      <c r="D48" s="100">
        <v>100.17741801150413</v>
      </c>
      <c r="E48" s="101">
        <v>105.64846357292336</v>
      </c>
      <c r="F48" s="94"/>
      <c r="G48" s="98">
        <v>49</v>
      </c>
      <c r="H48" s="99">
        <v>99.265124374943397</v>
      </c>
      <c r="I48" s="100">
        <v>100.04249057429337</v>
      </c>
      <c r="J48" s="100">
        <v>99.180392705677619</v>
      </c>
      <c r="K48" s="101">
        <v>100.96086787825919</v>
      </c>
    </row>
    <row r="49" spans="1:11" ht="11.1" customHeight="1">
      <c r="A49" s="102">
        <v>50</v>
      </c>
      <c r="B49" s="103">
        <v>100.79061612123206</v>
      </c>
      <c r="C49" s="104">
        <v>100.37108624457278</v>
      </c>
      <c r="D49" s="104">
        <v>99.034963203120668</v>
      </c>
      <c r="E49" s="105">
        <v>106.44946172601412</v>
      </c>
      <c r="F49" s="94"/>
      <c r="G49" s="102">
        <v>50</v>
      </c>
      <c r="H49" s="103">
        <v>99.337087512834771</v>
      </c>
      <c r="I49" s="104">
        <v>99.380433980157989</v>
      </c>
      <c r="J49" s="104">
        <v>97.960159963532377</v>
      </c>
      <c r="K49" s="105">
        <v>101.6563987448156</v>
      </c>
    </row>
    <row r="50" spans="1:11" ht="11.1" customHeight="1">
      <c r="A50" s="98">
        <v>51</v>
      </c>
      <c r="B50" s="99">
        <v>98.592973896066809</v>
      </c>
      <c r="C50" s="100">
        <v>100.16292435233663</v>
      </c>
      <c r="D50" s="100">
        <v>99.19719832957945</v>
      </c>
      <c r="E50" s="101">
        <v>104.60304105050756</v>
      </c>
      <c r="F50" s="94"/>
      <c r="G50" s="98">
        <v>51</v>
      </c>
      <c r="H50" s="99">
        <v>97.024437893408901</v>
      </c>
      <c r="I50" s="100">
        <v>99.04962429715583</v>
      </c>
      <c r="J50" s="100">
        <v>98.029275771638495</v>
      </c>
      <c r="K50" s="101">
        <v>99.822697688686219</v>
      </c>
    </row>
    <row r="51" spans="1:11" ht="11.1" customHeight="1">
      <c r="A51" s="98">
        <v>52</v>
      </c>
      <c r="B51" s="99">
        <v>100.91574217391602</v>
      </c>
      <c r="C51" s="100">
        <v>98.638410555827434</v>
      </c>
      <c r="D51" s="100">
        <v>95.457526717232597</v>
      </c>
      <c r="E51" s="101">
        <v>97.818904497134127</v>
      </c>
      <c r="F51" s="94"/>
      <c r="G51" s="98">
        <v>52</v>
      </c>
      <c r="H51" s="99">
        <v>99.15676460654123</v>
      </c>
      <c r="I51" s="100">
        <v>97.416461904757298</v>
      </c>
      <c r="J51" s="100">
        <v>94.243663522946676</v>
      </c>
      <c r="K51" s="101">
        <v>93.281089952969921</v>
      </c>
    </row>
    <row r="52" spans="1:11" ht="11.1" customHeight="1">
      <c r="A52" s="98">
        <v>53</v>
      </c>
      <c r="B52" s="99">
        <v>98.731851629153383</v>
      </c>
      <c r="C52" s="100">
        <v>99.300769810121665</v>
      </c>
      <c r="D52" s="100">
        <v>95.332625667587848</v>
      </c>
      <c r="E52" s="101">
        <v>99.697520789540533</v>
      </c>
      <c r="F52" s="94"/>
      <c r="G52" s="98">
        <v>53</v>
      </c>
      <c r="H52" s="99">
        <v>96.868607464568058</v>
      </c>
      <c r="I52" s="100">
        <v>97.941274411862651</v>
      </c>
      <c r="J52" s="100">
        <v>94.028371570896823</v>
      </c>
      <c r="K52" s="101">
        <v>95.002005857735966</v>
      </c>
    </row>
    <row r="53" spans="1:11" ht="11.1" customHeight="1">
      <c r="A53" s="98">
        <v>54</v>
      </c>
      <c r="B53" s="99">
        <v>96.108139839941003</v>
      </c>
      <c r="C53" s="100">
        <v>100.26500812917838</v>
      </c>
      <c r="D53" s="100">
        <v>95.921411854390641</v>
      </c>
      <c r="E53" s="101">
        <v>97.327880704024722</v>
      </c>
      <c r="F53" s="94"/>
      <c r="G53" s="98">
        <v>54</v>
      </c>
      <c r="H53" s="99">
        <v>94.141668122356094</v>
      </c>
      <c r="I53" s="100">
        <v>98.758679368552222</v>
      </c>
      <c r="J53" s="100">
        <v>94.514338963161748</v>
      </c>
      <c r="K53" s="101">
        <v>92.67332135252633</v>
      </c>
    </row>
    <row r="54" spans="1:11" ht="11.1" customHeight="1">
      <c r="A54" s="102">
        <v>55</v>
      </c>
      <c r="B54" s="103">
        <v>97.196313238761761</v>
      </c>
      <c r="C54" s="104"/>
      <c r="D54" s="104">
        <v>97.801549909443224</v>
      </c>
      <c r="E54" s="105">
        <v>99.839948881946157</v>
      </c>
      <c r="F54" s="94"/>
      <c r="G54" s="102">
        <v>55</v>
      </c>
      <c r="H54" s="103">
        <v>95.049559333721916</v>
      </c>
      <c r="I54" s="104"/>
      <c r="J54" s="104">
        <v>96.267934332275587</v>
      </c>
      <c r="K54" s="105">
        <v>94.990890110586676</v>
      </c>
    </row>
    <row r="55" spans="1:11" ht="11.1" customHeight="1">
      <c r="A55" s="98">
        <v>56</v>
      </c>
      <c r="B55" s="99">
        <v>97.695271724876037</v>
      </c>
      <c r="C55" s="100">
        <v>96.055740196033938</v>
      </c>
      <c r="D55" s="100">
        <v>96.224520112483788</v>
      </c>
      <c r="E55" s="101">
        <v>98.616942592219345</v>
      </c>
      <c r="F55" s="94"/>
      <c r="G55" s="98">
        <v>56</v>
      </c>
      <c r="H55" s="99">
        <v>95.374980838886458</v>
      </c>
      <c r="I55" s="100">
        <v>94.347466998603863</v>
      </c>
      <c r="J55" s="100">
        <v>94.615877676181796</v>
      </c>
      <c r="K55" s="101">
        <v>93.751888379382478</v>
      </c>
    </row>
    <row r="56" spans="1:11" ht="11.1" customHeight="1">
      <c r="A56" s="98">
        <v>57</v>
      </c>
      <c r="B56" s="99">
        <v>98.133149444188433</v>
      </c>
      <c r="C56" s="100">
        <v>97.691108230475876</v>
      </c>
      <c r="D56" s="100">
        <v>96.146567287627448</v>
      </c>
      <c r="E56" s="101">
        <v>101.35834781676552</v>
      </c>
      <c r="F56" s="94"/>
      <c r="G56" s="98">
        <v>57</v>
      </c>
      <c r="H56" s="99">
        <v>95.635378354497249</v>
      </c>
      <c r="I56" s="100">
        <v>95.814032333550742</v>
      </c>
      <c r="J56" s="100">
        <v>94.437076807470604</v>
      </c>
      <c r="K56" s="101">
        <v>96.278485204437857</v>
      </c>
    </row>
    <row r="57" spans="1:11" ht="11.1" customHeight="1">
      <c r="A57" s="98">
        <v>58</v>
      </c>
      <c r="B57" s="99">
        <v>96.88704541645717</v>
      </c>
      <c r="C57" s="100">
        <v>99.938038416181968</v>
      </c>
      <c r="D57" s="100">
        <v>97.540401481231285</v>
      </c>
      <c r="E57" s="101">
        <v>100.44266969767412</v>
      </c>
      <c r="F57" s="94"/>
      <c r="G57" s="98">
        <v>58</v>
      </c>
      <c r="H57" s="99">
        <v>94.252110566448778</v>
      </c>
      <c r="I57" s="100">
        <v>97.871372924562223</v>
      </c>
      <c r="J57" s="100">
        <v>95.69988984238141</v>
      </c>
      <c r="K57" s="101">
        <v>95.327709151017771</v>
      </c>
    </row>
    <row r="58" spans="1:11" ht="11.1" customHeight="1">
      <c r="A58" s="98">
        <v>59</v>
      </c>
      <c r="B58" s="99">
        <v>99.441359049824413</v>
      </c>
      <c r="C58" s="100">
        <v>100.10175728634918</v>
      </c>
      <c r="D58" s="100">
        <v>92.925435994971124</v>
      </c>
      <c r="E58" s="101">
        <v>97.397600837564227</v>
      </c>
      <c r="F58" s="94"/>
      <c r="G58" s="98">
        <v>59</v>
      </c>
      <c r="H58" s="99">
        <v>96.559453704537248</v>
      </c>
      <c r="I58" s="100">
        <v>97.881431704172201</v>
      </c>
      <c r="J58" s="100">
        <v>91.06821479527926</v>
      </c>
      <c r="K58" s="101">
        <v>92.357011170253699</v>
      </c>
    </row>
    <row r="59" spans="1:11" ht="11.1" customHeight="1">
      <c r="A59" s="102">
        <v>60</v>
      </c>
      <c r="B59" s="103">
        <v>100.31323032098427</v>
      </c>
      <c r="C59" s="104">
        <v>100.08633821483369</v>
      </c>
      <c r="D59" s="104">
        <v>100.17029457268723</v>
      </c>
      <c r="E59" s="105">
        <v>101.78681268846219</v>
      </c>
      <c r="F59" s="94"/>
      <c r="G59" s="102">
        <v>60</v>
      </c>
      <c r="H59" s="103">
        <v>97.222636765694773</v>
      </c>
      <c r="I59" s="104">
        <v>97.712349874638278</v>
      </c>
      <c r="J59" s="104">
        <v>98.053507538389752</v>
      </c>
      <c r="K59" s="105">
        <v>96.432381673313657</v>
      </c>
    </row>
    <row r="60" spans="1:11" ht="11.1" customHeight="1">
      <c r="A60" s="98">
        <v>61</v>
      </c>
      <c r="B60" s="99">
        <v>100.95225947186279</v>
      </c>
      <c r="C60" s="100">
        <v>99.733853089184848</v>
      </c>
      <c r="D60" s="100">
        <v>99.149975960523548</v>
      </c>
      <c r="E60" s="101">
        <v>99.310716402451277</v>
      </c>
      <c r="F60" s="94"/>
      <c r="G60" s="98">
        <v>61</v>
      </c>
      <c r="H60" s="99">
        <v>97.652837988761519</v>
      </c>
      <c r="I60" s="100">
        <v>97.210880952777728</v>
      </c>
      <c r="J60" s="100">
        <v>96.938180797438449</v>
      </c>
      <c r="K60" s="101">
        <v>93.999565230318609</v>
      </c>
    </row>
    <row r="61" spans="1:11" ht="11.1" customHeight="1">
      <c r="A61" s="98">
        <v>62</v>
      </c>
      <c r="B61" s="99">
        <v>103.04110504622925</v>
      </c>
      <c r="C61" s="100">
        <v>101.94662030149311</v>
      </c>
      <c r="D61" s="100">
        <v>100.76078216896387</v>
      </c>
      <c r="E61" s="101">
        <v>97.494053642680214</v>
      </c>
      <c r="F61" s="94"/>
      <c r="G61" s="98">
        <v>62</v>
      </c>
      <c r="H61" s="99">
        <v>99.475541591554759</v>
      </c>
      <c r="I61" s="100">
        <v>99.202715407250025</v>
      </c>
      <c r="J61" s="100">
        <v>98.391453163039998</v>
      </c>
      <c r="K61" s="101">
        <v>92.192223043045047</v>
      </c>
    </row>
    <row r="62" spans="1:11" ht="11.1" customHeight="1">
      <c r="A62" s="98">
        <v>63</v>
      </c>
      <c r="B62" s="99">
        <v>97.654349132113481</v>
      </c>
      <c r="C62" s="100">
        <v>99.345021548044329</v>
      </c>
      <c r="D62" s="100">
        <v>96.960432803879485</v>
      </c>
      <c r="E62" s="101">
        <v>102.96565937484776</v>
      </c>
      <c r="F62" s="94"/>
      <c r="G62" s="98">
        <v>63</v>
      </c>
      <c r="H62" s="99">
        <v>94.095177165500672</v>
      </c>
      <c r="I62" s="100">
        <v>96.506220303127094</v>
      </c>
      <c r="J62" s="100">
        <v>94.560311712556384</v>
      </c>
      <c r="K62" s="101">
        <v>97.270809739924317</v>
      </c>
    </row>
    <row r="63" spans="1:11" ht="11.1" customHeight="1">
      <c r="A63" s="98">
        <v>64</v>
      </c>
      <c r="B63" s="99">
        <v>96.823660562414631</v>
      </c>
      <c r="C63" s="100">
        <v>106.65245259034783</v>
      </c>
      <c r="D63" s="100">
        <v>99.677111768122103</v>
      </c>
      <c r="E63" s="101">
        <v>98.558376617746262</v>
      </c>
      <c r="F63" s="94"/>
      <c r="G63" s="98">
        <v>64</v>
      </c>
      <c r="H63" s="99">
        <v>93.099381382981846</v>
      </c>
      <c r="I63" s="100">
        <v>103.4231353007596</v>
      </c>
      <c r="J63" s="100">
        <v>97.082861040848883</v>
      </c>
      <c r="K63" s="101">
        <v>93.013203066768341</v>
      </c>
    </row>
    <row r="64" spans="1:11" ht="11.1" customHeight="1">
      <c r="A64" s="102">
        <v>65</v>
      </c>
      <c r="B64" s="103">
        <v>100.61398323621478</v>
      </c>
      <c r="C64" s="104">
        <v>100.48600997329169</v>
      </c>
      <c r="D64" s="104">
        <v>98.483680431377465</v>
      </c>
      <c r="E64" s="105">
        <v>103.44630901023079</v>
      </c>
      <c r="F64" s="94"/>
      <c r="G64" s="102">
        <v>65</v>
      </c>
      <c r="H64" s="103">
        <v>96.535613578616591</v>
      </c>
      <c r="I64" s="104">
        <v>97.267644965399995</v>
      </c>
      <c r="J64" s="104">
        <v>95.79167016009157</v>
      </c>
      <c r="K64" s="105">
        <v>97.524413871670973</v>
      </c>
    </row>
    <row r="65" spans="1:11" ht="11.1" customHeight="1">
      <c r="A65" s="98">
        <v>66</v>
      </c>
      <c r="B65" s="99">
        <v>99.486434890161618</v>
      </c>
      <c r="C65" s="100">
        <v>97.724228241700573</v>
      </c>
      <c r="D65" s="100">
        <v>98.098975955965855</v>
      </c>
      <c r="E65" s="101">
        <v>101.88749563921517</v>
      </c>
      <c r="F65" s="94"/>
      <c r="G65" s="98">
        <v>66</v>
      </c>
      <c r="H65" s="99">
        <v>95.242395120493455</v>
      </c>
      <c r="I65" s="100">
        <v>94.418771530851998</v>
      </c>
      <c r="J65" s="100">
        <v>95.285575644227436</v>
      </c>
      <c r="K65" s="101">
        <v>95.951604018535846</v>
      </c>
    </row>
    <row r="66" spans="1:11" ht="11.1" customHeight="1">
      <c r="A66" s="98">
        <v>67</v>
      </c>
      <c r="B66" s="99">
        <v>96.668054637045742</v>
      </c>
      <c r="C66" s="100">
        <v>98.912774693547007</v>
      </c>
      <c r="D66" s="100">
        <v>100.71283011339121</v>
      </c>
      <c r="E66" s="101">
        <v>98.971829474595282</v>
      </c>
      <c r="F66" s="94"/>
      <c r="G66" s="98">
        <v>67</v>
      </c>
      <c r="H66" s="99">
        <v>92.333389817190294</v>
      </c>
      <c r="I66" s="100">
        <v>95.384571199708347</v>
      </c>
      <c r="J66" s="100">
        <v>97.685205231072729</v>
      </c>
      <c r="K66" s="101">
        <v>93.102421452466288</v>
      </c>
    </row>
    <row r="67" spans="1:11" ht="11.1" customHeight="1">
      <c r="A67" s="98">
        <v>68</v>
      </c>
      <c r="B67" s="99">
        <v>101.12036352315189</v>
      </c>
      <c r="C67" s="100">
        <v>96.460800238798782</v>
      </c>
      <c r="D67" s="100">
        <v>98.006571154507498</v>
      </c>
      <c r="E67" s="101">
        <v>95.327280788200909</v>
      </c>
      <c r="F67" s="94"/>
      <c r="G67" s="98">
        <v>68</v>
      </c>
      <c r="H67" s="99">
        <v>96.359534607374584</v>
      </c>
      <c r="I67" s="100">
        <v>92.837097622594953</v>
      </c>
      <c r="J67" s="100">
        <v>94.920883492137378</v>
      </c>
      <c r="K67" s="101">
        <v>89.571305009486608</v>
      </c>
    </row>
    <row r="68" spans="1:11" ht="11.1" customHeight="1">
      <c r="A68" s="98">
        <v>69</v>
      </c>
      <c r="B68" s="99">
        <v>98.960292851144118</v>
      </c>
      <c r="C68" s="100">
        <v>94.244332886311426</v>
      </c>
      <c r="D68" s="100">
        <v>96.961180155517411</v>
      </c>
      <c r="E68" s="101">
        <v>100.79781751697099</v>
      </c>
      <c r="F68" s="94"/>
      <c r="G68" s="98">
        <v>69</v>
      </c>
      <c r="H68" s="99">
        <v>94.07341718821138</v>
      </c>
      <c r="I68" s="100">
        <v>90.520107649297259</v>
      </c>
      <c r="J68" s="100">
        <v>93.766448677250722</v>
      </c>
      <c r="K68" s="101">
        <v>94.599459484885244</v>
      </c>
    </row>
    <row r="69" spans="1:11" ht="11.1" customHeight="1">
      <c r="A69" s="102">
        <v>70</v>
      </c>
      <c r="B69" s="103">
        <v>99.980544326509445</v>
      </c>
      <c r="C69" s="104">
        <v>100.02431360238336</v>
      </c>
      <c r="D69" s="104">
        <v>101.42773271476284</v>
      </c>
      <c r="E69" s="105">
        <v>98.107544705645964</v>
      </c>
      <c r="F69" s="94"/>
      <c r="G69" s="102">
        <v>70</v>
      </c>
      <c r="H69" s="103">
        <v>94.806812393797117</v>
      </c>
      <c r="I69" s="104">
        <v>95.87105490609062</v>
      </c>
      <c r="J69" s="104">
        <v>97.932939068138054</v>
      </c>
      <c r="K69" s="105">
        <v>91.96200675427832</v>
      </c>
    </row>
    <row r="70" spans="1:11" ht="11.1" customHeight="1">
      <c r="A70" s="98">
        <v>71</v>
      </c>
      <c r="B70" s="99">
        <v>97.698259804757498</v>
      </c>
      <c r="C70" s="100">
        <v>101.21091632026025</v>
      </c>
      <c r="D70" s="100">
        <v>95.459529123034841</v>
      </c>
      <c r="E70" s="101">
        <v>101.74529177575589</v>
      </c>
      <c r="F70" s="94"/>
      <c r="G70" s="98">
        <v>71</v>
      </c>
      <c r="H70" s="99">
        <v>92.405055370026972</v>
      </c>
      <c r="I70" s="100">
        <v>96.799500046538228</v>
      </c>
      <c r="J70" s="100">
        <v>92.022150051430799</v>
      </c>
      <c r="K70" s="101">
        <v>95.251242002925522</v>
      </c>
    </row>
    <row r="71" spans="1:11" ht="11.1" customHeight="1">
      <c r="A71" s="98">
        <v>72</v>
      </c>
      <c r="B71" s="99">
        <v>93.883510439782953</v>
      </c>
      <c r="C71" s="100">
        <v>100.12317350850854</v>
      </c>
      <c r="D71" s="100">
        <v>96.863439225916451</v>
      </c>
      <c r="E71" s="101">
        <v>104.35606221640357</v>
      </c>
      <c r="F71" s="94"/>
      <c r="G71" s="98">
        <v>72</v>
      </c>
      <c r="H71" s="99">
        <v>88.562175095016926</v>
      </c>
      <c r="I71" s="100">
        <v>95.546453793367462</v>
      </c>
      <c r="J71" s="100">
        <v>93.220509827543495</v>
      </c>
      <c r="K71" s="101">
        <v>97.567490555376835</v>
      </c>
    </row>
    <row r="72" spans="1:11" ht="11.1" customHeight="1">
      <c r="A72" s="98">
        <v>73</v>
      </c>
      <c r="B72" s="99">
        <v>95.893584038901707</v>
      </c>
      <c r="C72" s="100">
        <v>99.732984114453544</v>
      </c>
      <c r="D72" s="100">
        <v>96.763877863114573</v>
      </c>
      <c r="E72" s="101">
        <v>95.795523282426913</v>
      </c>
      <c r="F72" s="94"/>
      <c r="G72" s="98">
        <v>73</v>
      </c>
      <c r="H72" s="99">
        <v>90.224997314126057</v>
      </c>
      <c r="I72" s="100">
        <v>94.955895855921199</v>
      </c>
      <c r="J72" s="100">
        <v>92.965054835123922</v>
      </c>
      <c r="K72" s="101">
        <v>89.442433154743483</v>
      </c>
    </row>
    <row r="73" spans="1:11" ht="11.1" customHeight="1">
      <c r="A73" s="98">
        <v>74</v>
      </c>
      <c r="B73" s="99">
        <v>96.914664891352999</v>
      </c>
      <c r="C73" s="100">
        <v>99.383082247254634</v>
      </c>
      <c r="D73" s="100">
        <v>93.744075730404006</v>
      </c>
      <c r="E73" s="101">
        <v>96.468090101124915</v>
      </c>
      <c r="F73" s="94"/>
      <c r="G73" s="98">
        <v>74</v>
      </c>
      <c r="H73" s="99">
        <v>90.92915018190962</v>
      </c>
      <c r="I73" s="100">
        <v>94.456503506723649</v>
      </c>
      <c r="J73" s="100">
        <v>89.960373973001268</v>
      </c>
      <c r="K73" s="101">
        <v>89.986228396853875</v>
      </c>
    </row>
    <row r="74" spans="1:11" ht="11.1" customHeight="1">
      <c r="A74" s="102">
        <v>75</v>
      </c>
      <c r="B74" s="103">
        <v>102.90114004729283</v>
      </c>
      <c r="C74" s="104">
        <v>100.23999768676927</v>
      </c>
      <c r="D74" s="104">
        <v>98.064042026027948</v>
      </c>
      <c r="E74" s="105">
        <v>95.684230216658293</v>
      </c>
      <c r="F74" s="94"/>
      <c r="G74" s="102">
        <v>75</v>
      </c>
      <c r="H74" s="103">
        <v>96.309749546822417</v>
      </c>
      <c r="I74" s="104">
        <v>95.216296635385675</v>
      </c>
      <c r="J74" s="104">
        <v>94.113571407950573</v>
      </c>
      <c r="K74" s="105">
        <v>89.175632357305219</v>
      </c>
    </row>
    <row r="75" spans="1:11" ht="11.1" customHeight="1">
      <c r="A75" s="98">
        <v>76</v>
      </c>
      <c r="B75" s="99">
        <v>94.784483780005218</v>
      </c>
      <c r="C75" s="100">
        <v>101.14489350554197</v>
      </c>
      <c r="D75" s="100">
        <v>103.48497576303272</v>
      </c>
      <c r="E75" s="101">
        <v>100.43776402075027</v>
      </c>
      <c r="F75" s="94"/>
      <c r="G75" s="98">
        <v>76</v>
      </c>
      <c r="H75" s="99">
        <v>88.613194504661735</v>
      </c>
      <c r="I75" s="100">
        <v>96.140579079007054</v>
      </c>
      <c r="J75" s="100">
        <v>99.453069133916316</v>
      </c>
      <c r="K75" s="101">
        <v>93.509861998893712</v>
      </c>
    </row>
    <row r="76" spans="1:11" ht="11.1" customHeight="1">
      <c r="A76" s="98">
        <v>77</v>
      </c>
      <c r="B76" s="99">
        <v>92.628667007765472</v>
      </c>
      <c r="C76" s="100">
        <v>100.31165508443678</v>
      </c>
      <c r="D76" s="100">
        <v>94.721699254528247</v>
      </c>
      <c r="E76" s="101">
        <v>107.13668654064288</v>
      </c>
      <c r="F76" s="94"/>
      <c r="G76" s="98">
        <v>77</v>
      </c>
      <c r="H76" s="99">
        <v>86.606999722388395</v>
      </c>
      <c r="I76" s="100">
        <v>95.538774910488826</v>
      </c>
      <c r="J76" s="100">
        <v>91.282161561585781</v>
      </c>
      <c r="K76" s="101">
        <v>99.647947786388585</v>
      </c>
    </row>
    <row r="77" spans="1:11" ht="11.1" customHeight="1">
      <c r="A77" s="98">
        <v>78</v>
      </c>
      <c r="B77" s="99">
        <v>106.76361957525393</v>
      </c>
      <c r="C77" s="100">
        <v>89.720089096978143</v>
      </c>
      <c r="D77" s="100">
        <v>97.583371279677209</v>
      </c>
      <c r="E77" s="101">
        <v>85.169774493393675</v>
      </c>
      <c r="F77" s="94"/>
      <c r="G77" s="98">
        <v>78</v>
      </c>
      <c r="H77" s="99">
        <v>99.980139385404257</v>
      </c>
      <c r="I77" s="100">
        <v>85.741766152241183</v>
      </c>
      <c r="J77" s="100">
        <v>94.437350377633535</v>
      </c>
      <c r="K77" s="101">
        <v>79.125757473310927</v>
      </c>
    </row>
    <row r="78" spans="1:11" ht="11.1" customHeight="1">
      <c r="A78" s="98">
        <v>79</v>
      </c>
      <c r="B78" s="99">
        <v>90.471515532369878</v>
      </c>
      <c r="C78" s="100">
        <v>85.119952018537816</v>
      </c>
      <c r="D78" s="100">
        <v>92.283572419042855</v>
      </c>
      <c r="E78" s="101">
        <v>86.674993013195476</v>
      </c>
      <c r="F78" s="94"/>
      <c r="G78" s="98">
        <v>79</v>
      </c>
      <c r="H78" s="99">
        <v>84.974641878879495</v>
      </c>
      <c r="I78" s="100">
        <v>81.744580255728494</v>
      </c>
      <c r="J78" s="100">
        <v>89.826550716938499</v>
      </c>
      <c r="K78" s="101">
        <v>80.418000195061879</v>
      </c>
    </row>
    <row r="79" spans="1:11" ht="11.1" customHeight="1">
      <c r="A79" s="102">
        <v>80</v>
      </c>
      <c r="B79" s="103">
        <v>89.80480803615491</v>
      </c>
      <c r="C79" s="104">
        <v>93.154247874649997</v>
      </c>
      <c r="D79" s="104">
        <v>95.382133183014304</v>
      </c>
      <c r="E79" s="105">
        <v>107.49123979469901</v>
      </c>
      <c r="F79" s="94"/>
      <c r="G79" s="102">
        <v>80</v>
      </c>
      <c r="H79" s="103">
        <v>84.633094520265033</v>
      </c>
      <c r="I79" s="104">
        <v>89.946501600009881</v>
      </c>
      <c r="J79" s="104">
        <v>93.437927443586304</v>
      </c>
      <c r="K79" s="105">
        <v>99.580715550376226</v>
      </c>
    </row>
    <row r="80" spans="1:11" ht="11.1" customHeight="1">
      <c r="A80" s="98">
        <v>81</v>
      </c>
      <c r="B80" s="99">
        <v>86.928643624376249</v>
      </c>
      <c r="C80" s="100">
        <v>103.00395178622719</v>
      </c>
      <c r="D80" s="100">
        <v>96.823217962545371</v>
      </c>
      <c r="E80" s="101">
        <v>96.941903522582436</v>
      </c>
      <c r="F80" s="94"/>
      <c r="G80" s="98">
        <v>81</v>
      </c>
      <c r="H80" s="99">
        <v>82.159203207806868</v>
      </c>
      <c r="I80" s="100">
        <v>99.945705319313632</v>
      </c>
      <c r="J80" s="100">
        <v>95.416868297404037</v>
      </c>
      <c r="K80" s="101">
        <v>89.652199670510242</v>
      </c>
    </row>
    <row r="81" spans="1:11" ht="11.1" customHeight="1">
      <c r="A81" s="98">
        <v>82</v>
      </c>
      <c r="B81" s="99">
        <v>89.979067707424562</v>
      </c>
      <c r="C81" s="100">
        <v>93.257235429223101</v>
      </c>
      <c r="D81" s="100">
        <v>91.508315580720122</v>
      </c>
      <c r="E81" s="101">
        <v>99.35811599891899</v>
      </c>
      <c r="F81" s="94"/>
      <c r="G81" s="98">
        <v>82</v>
      </c>
      <c r="H81" s="99">
        <v>85.244856228199893</v>
      </c>
      <c r="I81" s="100">
        <v>90.884540280028247</v>
      </c>
      <c r="J81" s="100">
        <v>90.679446349130046</v>
      </c>
      <c r="K81" s="101">
        <v>91.724288146709</v>
      </c>
    </row>
    <row r="82" spans="1:11" ht="11.1" customHeight="1">
      <c r="A82" s="98">
        <v>83</v>
      </c>
      <c r="B82" s="99">
        <v>95.594730017552635</v>
      </c>
      <c r="C82" s="100">
        <v>96.78601303845862</v>
      </c>
      <c r="D82" s="100">
        <v>91.564191076153961</v>
      </c>
      <c r="E82" s="101">
        <v>86.048905283708848</v>
      </c>
      <c r="F82" s="94"/>
      <c r="G82" s="98">
        <v>83</v>
      </c>
      <c r="H82" s="99">
        <v>90.698769526851336</v>
      </c>
      <c r="I82" s="100">
        <v>94.683973509713269</v>
      </c>
      <c r="J82" s="100">
        <v>91.198364695826186</v>
      </c>
      <c r="K82" s="101">
        <v>79.275634766837484</v>
      </c>
    </row>
    <row r="83" spans="1:11" ht="11.1" customHeight="1">
      <c r="A83" s="98">
        <v>84</v>
      </c>
      <c r="B83" s="99">
        <v>73.347088665727256</v>
      </c>
      <c r="C83" s="100"/>
      <c r="D83" s="100">
        <v>92.206234205889132</v>
      </c>
      <c r="E83" s="101">
        <v>87.308013171356706</v>
      </c>
      <c r="F83" s="94"/>
      <c r="G83" s="98">
        <v>84</v>
      </c>
      <c r="H83" s="99">
        <v>69.651678715516127</v>
      </c>
      <c r="I83" s="100"/>
      <c r="J83" s="100">
        <v>92.265595857444566</v>
      </c>
      <c r="K83" s="101">
        <v>80.246197903044873</v>
      </c>
    </row>
    <row r="84" spans="1:11" ht="11.1" customHeight="1">
      <c r="A84" s="102">
        <v>85</v>
      </c>
      <c r="B84" s="103">
        <v>67.758307946859176</v>
      </c>
      <c r="C84" s="104">
        <v>94.638012980279456</v>
      </c>
      <c r="D84" s="104">
        <v>89.825603931077694</v>
      </c>
      <c r="E84" s="105">
        <v>105.32377799723147</v>
      </c>
      <c r="F84" s="94"/>
      <c r="G84" s="102">
        <v>85</v>
      </c>
      <c r="H84" s="103">
        <v>64.358908275335253</v>
      </c>
      <c r="I84" s="104">
        <v>93.123804772594994</v>
      </c>
      <c r="J84" s="104">
        <v>90.259754283046817</v>
      </c>
      <c r="K84" s="105">
        <v>96.540894021672159</v>
      </c>
    </row>
    <row r="85" spans="1:11" ht="11.1" customHeight="1">
      <c r="A85" s="98">
        <v>86</v>
      </c>
      <c r="B85" s="99">
        <v>87.556694931966078</v>
      </c>
      <c r="C85" s="100"/>
      <c r="D85" s="100"/>
      <c r="E85" s="101">
        <v>88.964297034454802</v>
      </c>
      <c r="F85" s="94"/>
      <c r="G85" s="98">
        <v>86</v>
      </c>
      <c r="H85" s="99">
        <v>83.105091359321648</v>
      </c>
      <c r="I85" s="100"/>
      <c r="J85" s="100"/>
      <c r="K85" s="101">
        <v>81.287387320924381</v>
      </c>
    </row>
    <row r="86" spans="1:11" ht="11.1" customHeight="1">
      <c r="A86" s="98">
        <v>87</v>
      </c>
      <c r="B86" s="99"/>
      <c r="C86" s="100"/>
      <c r="D86" s="100">
        <v>77.090956555518304</v>
      </c>
      <c r="E86" s="101">
        <v>86.312203850877665</v>
      </c>
      <c r="F86" s="94"/>
      <c r="G86" s="98">
        <v>87</v>
      </c>
      <c r="H86" s="99"/>
      <c r="I86" s="100"/>
      <c r="J86" s="100">
        <v>77.993714567886101</v>
      </c>
      <c r="K86" s="101">
        <v>78.593921564485086</v>
      </c>
    </row>
    <row r="87" spans="1:11" ht="11.1" customHeight="1">
      <c r="A87" s="98">
        <v>88</v>
      </c>
      <c r="B87" s="99"/>
      <c r="C87" s="100"/>
      <c r="D87" s="100"/>
      <c r="E87" s="101">
        <v>81.01034547477505</v>
      </c>
      <c r="F87" s="94"/>
      <c r="G87" s="98">
        <v>88</v>
      </c>
      <c r="H87" s="99"/>
      <c r="I87" s="100"/>
      <c r="J87" s="100"/>
      <c r="K87" s="101">
        <v>73.468076226533469</v>
      </c>
    </row>
    <row r="88" spans="1:11" ht="11.1" customHeight="1">
      <c r="A88" s="98">
        <v>89</v>
      </c>
      <c r="B88" s="99"/>
      <c r="C88" s="100"/>
      <c r="D88" s="100"/>
      <c r="E88" s="101">
        <v>85.615341325025796</v>
      </c>
      <c r="F88" s="94"/>
      <c r="G88" s="98">
        <v>89</v>
      </c>
      <c r="H88" s="99"/>
      <c r="I88" s="100"/>
      <c r="J88" s="100"/>
      <c r="K88" s="101">
        <v>77.271372008512529</v>
      </c>
    </row>
    <row r="89" spans="1:11" ht="11.1" customHeight="1">
      <c r="A89" s="102">
        <v>90</v>
      </c>
      <c r="B89" s="103"/>
      <c r="C89" s="104"/>
      <c r="D89" s="104"/>
      <c r="E89" s="105">
        <v>84.723649287095057</v>
      </c>
      <c r="F89" s="94"/>
      <c r="G89" s="102">
        <v>90</v>
      </c>
      <c r="H89" s="103"/>
      <c r="I89" s="104"/>
      <c r="J89" s="104"/>
      <c r="K89" s="105">
        <v>76.025591308803058</v>
      </c>
    </row>
    <row r="90" spans="1:11" ht="11.1" customHeight="1">
      <c r="A90" s="98">
        <v>91</v>
      </c>
      <c r="B90" s="99"/>
      <c r="C90" s="100"/>
      <c r="D90" s="100"/>
      <c r="E90" s="101"/>
      <c r="F90" s="94"/>
      <c r="G90" s="98">
        <v>91</v>
      </c>
      <c r="H90" s="99"/>
      <c r="I90" s="100"/>
      <c r="J90" s="100"/>
      <c r="K90" s="101"/>
    </row>
    <row r="91" spans="1:11" ht="11.1" customHeight="1">
      <c r="A91" s="98">
        <v>92</v>
      </c>
      <c r="B91" s="99"/>
      <c r="C91" s="100"/>
      <c r="D91" s="100"/>
      <c r="E91" s="101"/>
      <c r="F91" s="94"/>
      <c r="G91" s="98">
        <v>92</v>
      </c>
      <c r="H91" s="99"/>
      <c r="I91" s="100"/>
      <c r="J91" s="100"/>
      <c r="K91" s="101"/>
    </row>
    <row r="92" spans="1:11" ht="11.1" customHeight="1">
      <c r="A92" s="98">
        <v>93</v>
      </c>
      <c r="B92" s="99">
        <v>108.15965973555694</v>
      </c>
      <c r="C92" s="100"/>
      <c r="D92" s="100">
        <v>76.718059674025966</v>
      </c>
      <c r="E92" s="101"/>
      <c r="F92" s="94"/>
      <c r="G92" s="98">
        <v>93</v>
      </c>
      <c r="H92" s="99">
        <v>98.120548513800387</v>
      </c>
      <c r="I92" s="100"/>
      <c r="J92" s="100">
        <v>77.790309777239742</v>
      </c>
      <c r="K92" s="101"/>
    </row>
    <row r="93" spans="1:11" ht="11.1" customHeight="1">
      <c r="A93" s="98">
        <v>94</v>
      </c>
      <c r="B93" s="99"/>
      <c r="C93" s="100"/>
      <c r="D93" s="100"/>
      <c r="E93" s="101"/>
      <c r="F93" s="94"/>
      <c r="G93" s="98">
        <v>94</v>
      </c>
      <c r="H93" s="99"/>
      <c r="I93" s="100"/>
      <c r="J93" s="100"/>
      <c r="K93" s="101"/>
    </row>
    <row r="94" spans="1:11" ht="11.1" customHeight="1">
      <c r="A94" s="102">
        <v>95</v>
      </c>
      <c r="B94" s="103"/>
      <c r="C94" s="104"/>
      <c r="D94" s="104"/>
      <c r="E94" s="105"/>
      <c r="F94" s="94"/>
      <c r="G94" s="102">
        <v>95</v>
      </c>
      <c r="H94" s="103"/>
      <c r="I94" s="104"/>
      <c r="J94" s="104"/>
      <c r="K94" s="105"/>
    </row>
    <row r="95" spans="1:11" ht="11.1" customHeight="1">
      <c r="A95" s="98">
        <v>96</v>
      </c>
      <c r="B95" s="99"/>
      <c r="C95" s="100"/>
      <c r="D95" s="100"/>
      <c r="E95" s="101"/>
      <c r="F95" s="94"/>
      <c r="G95" s="98">
        <v>96</v>
      </c>
      <c r="H95" s="99"/>
      <c r="I95" s="100"/>
      <c r="J95" s="100"/>
      <c r="K95" s="101"/>
    </row>
    <row r="96" spans="1:11" ht="11.1" customHeight="1">
      <c r="A96" s="98">
        <v>97</v>
      </c>
      <c r="B96" s="99"/>
      <c r="C96" s="100"/>
      <c r="D96" s="100"/>
      <c r="E96" s="101"/>
      <c r="F96" s="94"/>
      <c r="G96" s="98">
        <v>97</v>
      </c>
      <c r="H96" s="99"/>
      <c r="I96" s="100"/>
      <c r="J96" s="100"/>
      <c r="K96" s="101"/>
    </row>
    <row r="97" spans="1:11" ht="11.1" customHeight="1">
      <c r="A97" s="98">
        <v>98</v>
      </c>
      <c r="B97" s="99"/>
      <c r="C97" s="100"/>
      <c r="D97" s="100"/>
      <c r="E97" s="101"/>
      <c r="F97" s="94"/>
      <c r="G97" s="98">
        <v>98</v>
      </c>
      <c r="H97" s="99"/>
      <c r="I97" s="100"/>
      <c r="J97" s="100"/>
      <c r="K97" s="101"/>
    </row>
    <row r="98" spans="1:11" ht="11.1" customHeight="1">
      <c r="A98" s="98">
        <v>99</v>
      </c>
      <c r="B98" s="99"/>
      <c r="C98" s="100"/>
      <c r="D98" s="100"/>
      <c r="E98" s="101"/>
      <c r="F98" s="94"/>
      <c r="G98" s="98">
        <v>99</v>
      </c>
      <c r="H98" s="99"/>
      <c r="I98" s="100"/>
      <c r="J98" s="100"/>
      <c r="K98" s="101"/>
    </row>
    <row r="99" spans="1:11" ht="11.1" customHeight="1" thickBot="1">
      <c r="A99" s="106">
        <v>100</v>
      </c>
      <c r="B99" s="107"/>
      <c r="C99" s="108"/>
      <c r="D99" s="108"/>
      <c r="E99" s="109"/>
      <c r="F99" s="94"/>
      <c r="G99" s="106">
        <v>100</v>
      </c>
      <c r="H99" s="107"/>
      <c r="I99" s="108"/>
      <c r="J99" s="108"/>
      <c r="K99" s="109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2:R38"/>
  <sheetViews>
    <sheetView workbookViewId="0">
      <selection activeCell="E41" sqref="E41"/>
    </sheetView>
  </sheetViews>
  <sheetFormatPr defaultRowHeight="15"/>
  <cols>
    <col min="2" max="2" width="4.77734375" customWidth="1"/>
    <col min="3" max="5" width="6.77734375" customWidth="1"/>
    <col min="6" max="6" width="7.109375" customWidth="1"/>
    <col min="7" max="7" width="2.44140625" customWidth="1"/>
    <col min="8" max="10" width="6.77734375" customWidth="1"/>
    <col min="13" max="13" width="2.5546875" customWidth="1"/>
    <col min="14" max="14" width="4.77734375" customWidth="1"/>
    <col min="15" max="15" width="6.77734375" customWidth="1"/>
    <col min="16" max="16" width="5.5546875" customWidth="1"/>
    <col min="17" max="18" width="7.5546875" customWidth="1"/>
  </cols>
  <sheetData>
    <row r="2" spans="2:18" ht="24" thickBot="1">
      <c r="B2" s="123" t="s">
        <v>138</v>
      </c>
      <c r="C2" s="44"/>
      <c r="D2" s="1"/>
    </row>
    <row r="3" spans="2:18" ht="12.95" customHeight="1" thickBot="1">
      <c r="B3" s="45" t="s">
        <v>69</v>
      </c>
      <c r="C3" s="45" t="s">
        <v>115</v>
      </c>
      <c r="D3" s="46" t="s">
        <v>120</v>
      </c>
      <c r="E3" s="46" t="s">
        <v>9</v>
      </c>
      <c r="F3" s="111" t="s">
        <v>10</v>
      </c>
      <c r="H3" s="45" t="s">
        <v>69</v>
      </c>
      <c r="I3" s="45" t="s">
        <v>115</v>
      </c>
      <c r="J3" s="46" t="s">
        <v>120</v>
      </c>
      <c r="K3" s="46" t="s">
        <v>9</v>
      </c>
      <c r="L3" s="111" t="s">
        <v>10</v>
      </c>
      <c r="N3" s="45" t="s">
        <v>69</v>
      </c>
      <c r="O3" s="45" t="s">
        <v>115</v>
      </c>
      <c r="P3" s="46" t="s">
        <v>120</v>
      </c>
      <c r="Q3" s="46" t="s">
        <v>9</v>
      </c>
      <c r="R3" s="111" t="s">
        <v>10</v>
      </c>
    </row>
    <row r="4" spans="2:18" ht="12.95" customHeight="1">
      <c r="B4" s="53">
        <v>5</v>
      </c>
      <c r="C4" s="74">
        <v>75.009418507685083</v>
      </c>
      <c r="D4" s="74"/>
      <c r="E4" s="74"/>
      <c r="F4" s="112">
        <v>65.882146124897304</v>
      </c>
      <c r="H4" s="54">
        <v>40</v>
      </c>
      <c r="I4" s="77">
        <v>96.11527236963633</v>
      </c>
      <c r="J4" s="78">
        <v>96.338170268187994</v>
      </c>
      <c r="K4" s="78">
        <v>96.453185588355552</v>
      </c>
      <c r="L4" s="114">
        <v>95.184095940695258</v>
      </c>
      <c r="N4" s="54">
        <v>75</v>
      </c>
      <c r="O4" s="77">
        <v>96.265360355143116</v>
      </c>
      <c r="P4" s="78">
        <v>98.275454760217329</v>
      </c>
      <c r="Q4" s="78">
        <v>96.097158353967686</v>
      </c>
      <c r="R4" s="114">
        <v>90.046430488566557</v>
      </c>
    </row>
    <row r="5" spans="2:18" ht="12.95" customHeight="1">
      <c r="B5" s="49">
        <v>6</v>
      </c>
      <c r="C5" s="75">
        <v>90.178722829079575</v>
      </c>
      <c r="D5" s="76">
        <v>80.110344516737428</v>
      </c>
      <c r="E5" s="76">
        <v>63.705465531597682</v>
      </c>
      <c r="F5" s="113">
        <v>77.492639200719267</v>
      </c>
      <c r="H5" s="49">
        <v>41</v>
      </c>
      <c r="I5" s="75">
        <v>95.263101418215996</v>
      </c>
      <c r="J5" s="76">
        <v>95.571189088332773</v>
      </c>
      <c r="K5" s="76">
        <v>97.53773565947202</v>
      </c>
      <c r="L5" s="113">
        <v>97.006753640036663</v>
      </c>
      <c r="N5" s="49">
        <v>76</v>
      </c>
      <c r="O5" s="75">
        <v>88.405896014710095</v>
      </c>
      <c r="P5" s="76">
        <v>99.062498639251402</v>
      </c>
      <c r="Q5" s="76">
        <v>101.38993365905282</v>
      </c>
      <c r="R5" s="113">
        <v>94.347027993140586</v>
      </c>
    </row>
    <row r="6" spans="2:18" ht="12.95" customHeight="1">
      <c r="B6" s="49">
        <v>7</v>
      </c>
      <c r="C6" s="75">
        <v>88.655941899338472</v>
      </c>
      <c r="D6" s="76">
        <v>82.674323580942939</v>
      </c>
      <c r="E6" s="76">
        <v>94.843040586420912</v>
      </c>
      <c r="F6" s="113">
        <v>77.057829088713063</v>
      </c>
      <c r="H6" s="49">
        <v>42</v>
      </c>
      <c r="I6" s="75">
        <v>96.479689174238388</v>
      </c>
      <c r="J6" s="76">
        <v>96.927014224571877</v>
      </c>
      <c r="K6" s="76">
        <v>95.189978831179488</v>
      </c>
      <c r="L6" s="113">
        <v>96.408026772123392</v>
      </c>
      <c r="N6" s="49">
        <v>77</v>
      </c>
      <c r="O6" s="75">
        <v>86.126992598036296</v>
      </c>
      <c r="P6" s="76">
        <v>98.143655888929402</v>
      </c>
      <c r="Q6" s="76">
        <v>92.910554211455889</v>
      </c>
      <c r="R6" s="113">
        <v>100.45683440917968</v>
      </c>
    </row>
    <row r="7" spans="2:18" ht="12.95" customHeight="1">
      <c r="B7" s="49">
        <v>8</v>
      </c>
      <c r="C7" s="75">
        <v>89.686389169285391</v>
      </c>
      <c r="D7" s="76">
        <v>82.285675429307418</v>
      </c>
      <c r="E7" s="76">
        <v>79.596700285420923</v>
      </c>
      <c r="F7" s="113">
        <v>88.924255752682484</v>
      </c>
      <c r="H7" s="49">
        <v>43</v>
      </c>
      <c r="I7" s="75">
        <v>94.197547993172265</v>
      </c>
      <c r="J7" s="76">
        <v>96.5374662967549</v>
      </c>
      <c r="K7" s="76">
        <v>95.878094825788637</v>
      </c>
      <c r="L7" s="113">
        <v>95.510832192052348</v>
      </c>
      <c r="N7" s="49">
        <v>78</v>
      </c>
      <c r="O7" s="75">
        <v>98.951073943032767</v>
      </c>
      <c r="P7" s="76">
        <v>87.68582650154751</v>
      </c>
      <c r="Q7" s="76">
        <v>95.946919574113394</v>
      </c>
      <c r="R7" s="113">
        <v>79.6997412058668</v>
      </c>
    </row>
    <row r="8" spans="2:18" ht="12.95" customHeight="1">
      <c r="B8" s="49">
        <v>9</v>
      </c>
      <c r="C8" s="75">
        <v>95.500235840311504</v>
      </c>
      <c r="D8" s="76">
        <v>98.918075397748495</v>
      </c>
      <c r="E8" s="76">
        <v>83.810658097698166</v>
      </c>
      <c r="F8" s="113">
        <v>86.963435070455674</v>
      </c>
      <c r="H8" s="49">
        <v>44</v>
      </c>
      <c r="I8" s="75">
        <v>97.293826036882052</v>
      </c>
      <c r="J8" s="76">
        <v>97.052152840716516</v>
      </c>
      <c r="K8" s="76">
        <v>96.316442649688994</v>
      </c>
      <c r="L8" s="113">
        <v>96.160562599295389</v>
      </c>
      <c r="N8" s="49">
        <v>79</v>
      </c>
      <c r="O8" s="75">
        <v>83.586167338374921</v>
      </c>
      <c r="P8" s="76">
        <v>83.153726614213724</v>
      </c>
      <c r="Q8" s="76">
        <v>91.07436107506021</v>
      </c>
      <c r="R8" s="113">
        <v>80.929193440035945</v>
      </c>
    </row>
    <row r="9" spans="2:18" ht="12.95" customHeight="1">
      <c r="B9" s="54">
        <v>10</v>
      </c>
      <c r="C9" s="77">
        <v>94.923754048053482</v>
      </c>
      <c r="D9" s="78">
        <v>100.01473293950609</v>
      </c>
      <c r="E9" s="78">
        <v>71.842391896207573</v>
      </c>
      <c r="F9" s="114">
        <v>90.419180315242528</v>
      </c>
      <c r="H9" s="54">
        <v>45</v>
      </c>
      <c r="I9" s="77">
        <v>94.749123356728319</v>
      </c>
      <c r="J9" s="78">
        <v>96.087476349018033</v>
      </c>
      <c r="K9" s="78">
        <v>97.354767442057238</v>
      </c>
      <c r="L9" s="114">
        <v>95.224225568036232</v>
      </c>
      <c r="N9" s="54">
        <v>80</v>
      </c>
      <c r="O9" s="77">
        <v>82.732966836873089</v>
      </c>
      <c r="P9" s="78">
        <v>91.038969230779216</v>
      </c>
      <c r="Q9" s="78">
        <v>94.532640003758104</v>
      </c>
      <c r="R9" s="114">
        <v>100.12029715556325</v>
      </c>
    </row>
    <row r="10" spans="2:18" ht="12.95" customHeight="1">
      <c r="B10" s="49">
        <v>11</v>
      </c>
      <c r="C10" s="75">
        <v>95.251303254992905</v>
      </c>
      <c r="D10" s="76"/>
      <c r="E10" s="76">
        <v>87.254252535174317</v>
      </c>
      <c r="F10" s="113">
        <v>92.399586441058375</v>
      </c>
      <c r="H10" s="49">
        <v>46</v>
      </c>
      <c r="I10" s="75">
        <v>95.699816247711738</v>
      </c>
      <c r="J10" s="76">
        <v>95.189105972933348</v>
      </c>
      <c r="K10" s="76">
        <v>99.385501880779145</v>
      </c>
      <c r="L10" s="113">
        <v>97.601351585919247</v>
      </c>
      <c r="N10" s="49">
        <v>81</v>
      </c>
      <c r="O10" s="75">
        <v>79.790699808565364</v>
      </c>
      <c r="P10" s="76">
        <v>100.62964855758733</v>
      </c>
      <c r="Q10" s="76">
        <v>96.317860758645963</v>
      </c>
      <c r="R10" s="113">
        <v>90.049502289473949</v>
      </c>
    </row>
    <row r="11" spans="2:18" ht="12.95" customHeight="1">
      <c r="B11" s="49">
        <v>12</v>
      </c>
      <c r="C11" s="75">
        <v>89.426768358831055</v>
      </c>
      <c r="D11" s="76">
        <v>99.130138481535425</v>
      </c>
      <c r="E11" s="76">
        <v>94.295757486352784</v>
      </c>
      <c r="F11" s="113">
        <v>87.636081577122425</v>
      </c>
      <c r="H11" s="49">
        <v>47</v>
      </c>
      <c r="I11" s="75">
        <v>98.304360730403602</v>
      </c>
      <c r="J11" s="76">
        <v>98.927581531546792</v>
      </c>
      <c r="K11" s="76">
        <v>94.595780767023797</v>
      </c>
      <c r="L11" s="113">
        <v>99.642442446341278</v>
      </c>
      <c r="N11" s="49">
        <v>82</v>
      </c>
      <c r="O11" s="75">
        <v>82.217275575604432</v>
      </c>
      <c r="P11" s="76">
        <v>91.035594917612798</v>
      </c>
      <c r="Q11" s="76">
        <v>91.31900782738353</v>
      </c>
      <c r="R11" s="113">
        <v>92.034908246010616</v>
      </c>
    </row>
    <row r="12" spans="2:18" ht="12.95" customHeight="1">
      <c r="B12" s="49">
        <v>13</v>
      </c>
      <c r="C12" s="75">
        <v>96.393490850016533</v>
      </c>
      <c r="D12" s="76">
        <v>92.669874062659503</v>
      </c>
      <c r="E12" s="76">
        <v>97.988711560158123</v>
      </c>
      <c r="F12" s="113">
        <v>90.869629850922792</v>
      </c>
      <c r="H12" s="49">
        <v>48</v>
      </c>
      <c r="I12" s="75">
        <v>99.724654151860406</v>
      </c>
      <c r="J12" s="76">
        <v>98.423812938513223</v>
      </c>
      <c r="K12" s="76">
        <v>96.431830017305984</v>
      </c>
      <c r="L12" s="113">
        <v>95.201319212589368</v>
      </c>
      <c r="N12" s="49">
        <v>83</v>
      </c>
      <c r="O12" s="75">
        <v>86.885463091182771</v>
      </c>
      <c r="P12" s="76">
        <v>94.34247854071468</v>
      </c>
      <c r="Q12" s="76">
        <v>91.593007501354933</v>
      </c>
      <c r="R12" s="113">
        <v>79.455732243589893</v>
      </c>
    </row>
    <row r="13" spans="2:18" ht="12.95" customHeight="1">
      <c r="B13" s="49">
        <v>14</v>
      </c>
      <c r="C13" s="75">
        <v>95.900024981631773</v>
      </c>
      <c r="D13" s="76">
        <v>98.352243263357693</v>
      </c>
      <c r="E13" s="76">
        <v>96.917594378462439</v>
      </c>
      <c r="F13" s="113">
        <v>95.384059542756631</v>
      </c>
      <c r="H13" s="49">
        <v>49</v>
      </c>
      <c r="I13" s="75">
        <v>99.265124374943397</v>
      </c>
      <c r="J13" s="76">
        <v>100.71279201867725</v>
      </c>
      <c r="K13" s="76">
        <v>99.648540210020002</v>
      </c>
      <c r="L13" s="113">
        <v>101.17625710907967</v>
      </c>
      <c r="N13" s="49">
        <v>84</v>
      </c>
      <c r="O13" s="75">
        <v>66.240737230995123</v>
      </c>
      <c r="P13" s="76"/>
      <c r="Q13" s="76">
        <v>92.378229341705946</v>
      </c>
      <c r="R13" s="113">
        <v>80.332372943748297</v>
      </c>
    </row>
    <row r="14" spans="2:18" ht="12.95" customHeight="1">
      <c r="B14" s="54">
        <v>15</v>
      </c>
      <c r="C14" s="77">
        <v>95.551567649647112</v>
      </c>
      <c r="D14" s="78">
        <v>96.446528348920225</v>
      </c>
      <c r="E14" s="78">
        <v>98.2035675608915</v>
      </c>
      <c r="F14" s="114">
        <v>95.835558684152417</v>
      </c>
      <c r="H14" s="54">
        <v>50</v>
      </c>
      <c r="I14" s="77">
        <v>99.337087512834771</v>
      </c>
      <c r="J14" s="78">
        <v>100.12157619967101</v>
      </c>
      <c r="K14" s="78">
        <v>98.472632084346955</v>
      </c>
      <c r="L14" s="114">
        <v>101.89909819611628</v>
      </c>
      <c r="N14" s="54">
        <v>85</v>
      </c>
      <c r="O14" s="77">
        <v>60.731187041088816</v>
      </c>
      <c r="P14" s="78">
        <v>91.805570933549163</v>
      </c>
      <c r="Q14" s="78">
        <v>90.069252480001126</v>
      </c>
      <c r="R14" s="114">
        <v>96.519257783657437</v>
      </c>
    </row>
    <row r="15" spans="2:18" ht="12.95" customHeight="1">
      <c r="B15" s="49">
        <v>16</v>
      </c>
      <c r="C15" s="75">
        <v>99.596219390462153</v>
      </c>
      <c r="D15" s="76">
        <v>96.62759089364593</v>
      </c>
      <c r="E15" s="76">
        <v>96.315335225745841</v>
      </c>
      <c r="F15" s="113">
        <v>92.893663337357765</v>
      </c>
      <c r="H15" s="49">
        <v>51</v>
      </c>
      <c r="I15" s="75">
        <v>97.024437893408901</v>
      </c>
      <c r="J15" s="76">
        <v>99.865127207321095</v>
      </c>
      <c r="K15" s="76">
        <v>98.593440572350033</v>
      </c>
      <c r="L15" s="113">
        <v>100.0870221241962</v>
      </c>
      <c r="N15" s="49">
        <v>86</v>
      </c>
      <c r="O15" s="75">
        <v>77.791630814617093</v>
      </c>
      <c r="P15" s="76"/>
      <c r="Q15" s="76"/>
      <c r="R15" s="113">
        <v>81.153816496688123</v>
      </c>
    </row>
    <row r="16" spans="2:18" ht="12.95" customHeight="1">
      <c r="B16" s="49">
        <v>17</v>
      </c>
      <c r="C16" s="75">
        <v>100.04516711833784</v>
      </c>
      <c r="D16" s="76">
        <v>98.55994177381902</v>
      </c>
      <c r="E16" s="76">
        <v>97.347395453264483</v>
      </c>
      <c r="F16" s="113">
        <v>96.60897159066046</v>
      </c>
      <c r="H16" s="49">
        <v>52</v>
      </c>
      <c r="I16" s="75">
        <v>99.15676460654123</v>
      </c>
      <c r="J16" s="76">
        <v>98.295916074730812</v>
      </c>
      <c r="K16" s="76">
        <v>94.836598141406341</v>
      </c>
      <c r="L16" s="113">
        <v>93.553014772095864</v>
      </c>
      <c r="N16" s="49">
        <v>87</v>
      </c>
      <c r="O16" s="75"/>
      <c r="P16" s="76"/>
      <c r="Q16" s="76">
        <v>77.242398968837662</v>
      </c>
      <c r="R16" s="113">
        <v>78.341644779216367</v>
      </c>
    </row>
    <row r="17" spans="2:18" ht="12.95" customHeight="1">
      <c r="B17" s="49">
        <v>18</v>
      </c>
      <c r="C17" s="75">
        <v>98.293727395770929</v>
      </c>
      <c r="D17" s="76">
        <v>97.389339623757166</v>
      </c>
      <c r="E17" s="76">
        <v>98.382186426396828</v>
      </c>
      <c r="F17" s="113">
        <v>95.967256279252737</v>
      </c>
      <c r="H17" s="49">
        <v>53</v>
      </c>
      <c r="I17" s="75">
        <v>96.868607464568058</v>
      </c>
      <c r="J17" s="76">
        <v>98.905195566003997</v>
      </c>
      <c r="K17" s="76">
        <v>94.671641864729324</v>
      </c>
      <c r="L17" s="113">
        <v>95.304988867204315</v>
      </c>
      <c r="N17" s="49">
        <v>88</v>
      </c>
      <c r="O17" s="75"/>
      <c r="P17" s="76"/>
      <c r="Q17" s="76"/>
      <c r="R17" s="113">
        <v>73.10380340599481</v>
      </c>
    </row>
    <row r="18" spans="2:18" ht="12.95" customHeight="1">
      <c r="B18" s="49">
        <v>19</v>
      </c>
      <c r="C18" s="75">
        <v>99.43883277216608</v>
      </c>
      <c r="D18" s="76">
        <v>97.746507965722756</v>
      </c>
      <c r="E18" s="76">
        <v>97.62224697215693</v>
      </c>
      <c r="F18" s="113">
        <v>94.392270786784138</v>
      </c>
      <c r="H18" s="49">
        <v>54</v>
      </c>
      <c r="I18" s="75">
        <v>94.141668122356094</v>
      </c>
      <c r="J18" s="76">
        <v>99.81304249348338</v>
      </c>
      <c r="K18" s="76">
        <v>95.214194333484954</v>
      </c>
      <c r="L18" s="113">
        <v>92.994949681777555</v>
      </c>
      <c r="N18" s="49">
        <v>89</v>
      </c>
      <c r="O18" s="75"/>
      <c r="P18" s="76"/>
      <c r="Q18" s="76"/>
      <c r="R18" s="113">
        <v>76.735658114942694</v>
      </c>
    </row>
    <row r="19" spans="2:18" ht="12.95" customHeight="1">
      <c r="B19" s="54">
        <v>20</v>
      </c>
      <c r="C19" s="77">
        <v>98.773690078037902</v>
      </c>
      <c r="D19" s="78">
        <v>98.484848484848484</v>
      </c>
      <c r="E19" s="78">
        <v>97.742595773502245</v>
      </c>
      <c r="F19" s="114">
        <v>95.029239766081858</v>
      </c>
      <c r="H19" s="54">
        <v>55</v>
      </c>
      <c r="I19" s="77">
        <v>95.049559333721916</v>
      </c>
      <c r="J19" s="78"/>
      <c r="K19" s="78">
        <v>97.036401152054282</v>
      </c>
      <c r="L19" s="114">
        <v>95.347998720024989</v>
      </c>
      <c r="N19" s="54">
        <v>90</v>
      </c>
      <c r="O19" s="77"/>
      <c r="P19" s="78"/>
      <c r="Q19" s="78"/>
      <c r="R19" s="114">
        <v>75.326660902346092</v>
      </c>
    </row>
    <row r="20" spans="2:18" ht="12.95" customHeight="1">
      <c r="B20" s="49">
        <v>21</v>
      </c>
      <c r="C20" s="75">
        <v>96.619411123227906</v>
      </c>
      <c r="D20" s="76">
        <v>96.347273689782952</v>
      </c>
      <c r="E20" s="76">
        <v>97.766199780580862</v>
      </c>
      <c r="F20" s="113">
        <v>94.94040663706474</v>
      </c>
      <c r="H20" s="49">
        <v>56</v>
      </c>
      <c r="I20" s="75">
        <v>95.374980838886458</v>
      </c>
      <c r="J20" s="76">
        <v>95.518201990557344</v>
      </c>
      <c r="K20" s="76">
        <v>95.427235196374468</v>
      </c>
      <c r="L20" s="113">
        <v>94.132150463517135</v>
      </c>
      <c r="N20" s="49">
        <v>91</v>
      </c>
      <c r="O20" s="75"/>
      <c r="P20" s="76"/>
      <c r="Q20" s="76"/>
      <c r="R20" s="113"/>
    </row>
    <row r="21" spans="2:18" ht="12.95" customHeight="1">
      <c r="B21" s="49">
        <v>22</v>
      </c>
      <c r="C21" s="75">
        <v>100</v>
      </c>
      <c r="D21" s="76">
        <v>98.8056460369164</v>
      </c>
      <c r="E21" s="76">
        <v>97.410358565737056</v>
      </c>
      <c r="F21" s="113">
        <v>96.818398474737833</v>
      </c>
      <c r="H21" s="49">
        <v>57</v>
      </c>
      <c r="I21" s="75">
        <v>95.635378354497249</v>
      </c>
      <c r="J21" s="76">
        <v>97.089191359061971</v>
      </c>
      <c r="K21" s="76">
        <v>95.304332166586121</v>
      </c>
      <c r="L21" s="113">
        <v>96.69833905220203</v>
      </c>
      <c r="N21" s="49">
        <v>92</v>
      </c>
      <c r="O21" s="75"/>
      <c r="P21" s="76"/>
      <c r="Q21" s="76"/>
      <c r="R21" s="113"/>
    </row>
    <row r="22" spans="2:18" ht="12.95" customHeight="1">
      <c r="B22" s="49">
        <v>23</v>
      </c>
      <c r="C22" s="75">
        <v>98.883928571428555</v>
      </c>
      <c r="D22" s="76">
        <v>99.020674646354735</v>
      </c>
      <c r="E22" s="76">
        <v>97.240865026099925</v>
      </c>
      <c r="F22" s="113">
        <v>97.061283000836212</v>
      </c>
      <c r="H22" s="49">
        <v>58</v>
      </c>
      <c r="I22" s="75">
        <v>94.252110566448778</v>
      </c>
      <c r="J22" s="76">
        <v>99.264298831353742</v>
      </c>
      <c r="K22" s="76">
        <v>96.638477973615622</v>
      </c>
      <c r="L22" s="113">
        <v>95.77327828171353</v>
      </c>
      <c r="N22" s="49">
        <v>93</v>
      </c>
      <c r="O22" s="75">
        <v>84.805488657170159</v>
      </c>
      <c r="P22" s="76"/>
      <c r="Q22" s="76">
        <v>73.959532867658012</v>
      </c>
      <c r="R22" s="113"/>
    </row>
    <row r="23" spans="2:18" ht="12.95" customHeight="1">
      <c r="B23" s="49">
        <v>24</v>
      </c>
      <c r="C23" s="75">
        <v>99.216125419932808</v>
      </c>
      <c r="D23" s="76">
        <v>99.020674646354735</v>
      </c>
      <c r="E23" s="76">
        <v>96.544916090819328</v>
      </c>
      <c r="F23" s="113">
        <v>97.445430558887011</v>
      </c>
      <c r="H23" s="49">
        <v>59</v>
      </c>
      <c r="I23" s="75">
        <v>96.559453704537248</v>
      </c>
      <c r="J23" s="76">
        <v>99.367297840098914</v>
      </c>
      <c r="K23" s="76">
        <v>92.019743033456223</v>
      </c>
      <c r="L23" s="113">
        <v>92.818441279866803</v>
      </c>
      <c r="N23" s="49">
        <v>94</v>
      </c>
      <c r="O23" s="75"/>
      <c r="P23" s="76"/>
      <c r="Q23" s="76"/>
      <c r="R23" s="113"/>
    </row>
    <row r="24" spans="2:18" ht="12.95" customHeight="1">
      <c r="B24" s="54">
        <v>25</v>
      </c>
      <c r="C24" s="77">
        <v>98.994413407821241</v>
      </c>
      <c r="D24" s="78">
        <v>99.562363238512035</v>
      </c>
      <c r="E24" s="78">
        <v>97.604790419161674</v>
      </c>
      <c r="F24" s="114">
        <v>96.945471900727838</v>
      </c>
      <c r="H24" s="54">
        <v>60</v>
      </c>
      <c r="I24" s="77">
        <v>97.222636765694773</v>
      </c>
      <c r="J24" s="78">
        <v>99.290780141843967</v>
      </c>
      <c r="K24" s="78">
        <v>99.142568838699901</v>
      </c>
      <c r="L24" s="114">
        <v>96.946119673392388</v>
      </c>
      <c r="N24" s="54">
        <v>95</v>
      </c>
      <c r="O24" s="77"/>
      <c r="P24" s="78"/>
      <c r="Q24" s="78"/>
      <c r="R24" s="114"/>
    </row>
    <row r="25" spans="2:18" ht="12.95" customHeight="1">
      <c r="B25" s="49">
        <v>26</v>
      </c>
      <c r="C25" s="75">
        <v>99.216125419932808</v>
      </c>
      <c r="D25" s="76">
        <v>97.954790096878369</v>
      </c>
      <c r="E25" s="76">
        <v>100</v>
      </c>
      <c r="F25" s="113">
        <v>96.233566267914256</v>
      </c>
      <c r="H25" s="49">
        <v>61</v>
      </c>
      <c r="I25" s="75">
        <v>97.652837988761519</v>
      </c>
      <c r="J25" s="76">
        <v>98.878436025651894</v>
      </c>
      <c r="K25" s="76">
        <v>98.080421733779048</v>
      </c>
      <c r="L25" s="113">
        <v>94.532386388360223</v>
      </c>
      <c r="N25" s="49">
        <v>96</v>
      </c>
      <c r="O25" s="75"/>
      <c r="P25" s="76"/>
      <c r="Q25" s="76"/>
      <c r="R25" s="113"/>
    </row>
    <row r="26" spans="2:18" ht="12.95" customHeight="1">
      <c r="B26" s="49">
        <v>27</v>
      </c>
      <c r="C26" s="75">
        <v>98.773690078037902</v>
      </c>
      <c r="D26" s="76">
        <v>98.538170005414159</v>
      </c>
      <c r="E26" s="76">
        <v>97.897897897897892</v>
      </c>
      <c r="F26" s="113">
        <v>97.282088122605373</v>
      </c>
      <c r="H26" s="49">
        <v>62</v>
      </c>
      <c r="I26" s="75">
        <v>99.475541591554759</v>
      </c>
      <c r="J26" s="76">
        <v>101.0064011419273</v>
      </c>
      <c r="K26" s="76">
        <v>99.619223851653544</v>
      </c>
      <c r="L26" s="113">
        <v>92.74715215445984</v>
      </c>
      <c r="N26" s="49">
        <v>97</v>
      </c>
      <c r="O26" s="75"/>
      <c r="P26" s="76"/>
      <c r="Q26" s="76"/>
      <c r="R26" s="113"/>
    </row>
    <row r="27" spans="2:18" ht="12.95" customHeight="1">
      <c r="B27" s="49">
        <v>28</v>
      </c>
      <c r="C27" s="75">
        <v>97.362637362637358</v>
      </c>
      <c r="D27" s="76">
        <v>99.453551912568315</v>
      </c>
      <c r="E27" s="76">
        <v>98.563869992441425</v>
      </c>
      <c r="F27" s="113">
        <v>98.640281655942701</v>
      </c>
      <c r="H27" s="49">
        <v>63</v>
      </c>
      <c r="I27" s="75">
        <v>94.095177165500672</v>
      </c>
      <c r="J27" s="76">
        <v>98.362852998337544</v>
      </c>
      <c r="K27" s="76">
        <v>95.80787640666388</v>
      </c>
      <c r="L27" s="113">
        <v>97.891462476521724</v>
      </c>
      <c r="N27" s="49">
        <v>98</v>
      </c>
      <c r="O27" s="75"/>
      <c r="P27" s="76"/>
      <c r="Q27" s="76"/>
      <c r="R27" s="113"/>
    </row>
    <row r="28" spans="2:18" ht="12.95" customHeight="1">
      <c r="B28" s="49">
        <v>29</v>
      </c>
      <c r="C28" s="75">
        <v>99.887260428410372</v>
      </c>
      <c r="D28" s="76">
        <v>100</v>
      </c>
      <c r="E28" s="76">
        <v>99.037974683544292</v>
      </c>
      <c r="F28" s="113">
        <v>100.01230920728703</v>
      </c>
      <c r="H28" s="49">
        <v>64</v>
      </c>
      <c r="I28" s="75">
        <v>93.099381382981846</v>
      </c>
      <c r="J28" s="76">
        <v>105.52523154671</v>
      </c>
      <c r="K28" s="76">
        <v>98.435100809545688</v>
      </c>
      <c r="L28" s="113">
        <v>93.641324201039538</v>
      </c>
      <c r="N28" s="49">
        <v>99</v>
      </c>
      <c r="O28" s="75"/>
      <c r="P28" s="76"/>
      <c r="Q28" s="76"/>
      <c r="R28" s="113"/>
    </row>
    <row r="29" spans="2:18" ht="12.95" customHeight="1" thickBot="1">
      <c r="B29" s="54">
        <v>30</v>
      </c>
      <c r="C29" s="77">
        <v>98.008849557522097</v>
      </c>
      <c r="D29" s="78">
        <v>98.698481561822121</v>
      </c>
      <c r="E29" s="78">
        <v>97.609726919073481</v>
      </c>
      <c r="F29" s="114">
        <v>97.691475291571479</v>
      </c>
      <c r="H29" s="54">
        <v>65</v>
      </c>
      <c r="I29" s="77">
        <v>96.535613578616591</v>
      </c>
      <c r="J29" s="78">
        <v>99.353384156410613</v>
      </c>
      <c r="K29" s="78">
        <v>97.198419541772054</v>
      </c>
      <c r="L29" s="114">
        <v>98.220431938765174</v>
      </c>
      <c r="N29" s="119">
        <v>100</v>
      </c>
      <c r="O29" s="120"/>
      <c r="P29" s="121"/>
      <c r="Q29" s="121"/>
      <c r="R29" s="122"/>
    </row>
    <row r="30" spans="2:18" ht="12.95" customHeight="1">
      <c r="B30" s="49">
        <v>31</v>
      </c>
      <c r="C30" s="75">
        <v>96.744239677629821</v>
      </c>
      <c r="D30" s="76">
        <v>98.451274895325184</v>
      </c>
      <c r="E30" s="76">
        <v>97.907698468315132</v>
      </c>
      <c r="F30" s="113">
        <v>98.361478153776474</v>
      </c>
      <c r="H30" s="49">
        <v>66</v>
      </c>
      <c r="I30" s="75">
        <v>95.242395120493455</v>
      </c>
      <c r="J30" s="76">
        <v>96.552082686779201</v>
      </c>
      <c r="K30" s="76">
        <v>96.759132978807088</v>
      </c>
      <c r="L30" s="113">
        <v>96.674377613331501</v>
      </c>
    </row>
    <row r="31" spans="2:18" ht="12.95" customHeight="1">
      <c r="B31" s="49">
        <v>32</v>
      </c>
      <c r="C31" s="75">
        <v>99.093506914735968</v>
      </c>
      <c r="D31" s="76">
        <v>97.694595422256725</v>
      </c>
      <c r="E31" s="76">
        <v>98.364798376679104</v>
      </c>
      <c r="F31" s="113">
        <v>96.94812088291161</v>
      </c>
      <c r="H31" s="49">
        <v>67</v>
      </c>
      <c r="I31" s="75">
        <v>92.333389817190294</v>
      </c>
      <c r="J31" s="76">
        <v>97.65273934713241</v>
      </c>
      <c r="K31" s="76">
        <v>99.274262507948052</v>
      </c>
      <c r="L31" s="113">
        <v>93.841756303734797</v>
      </c>
    </row>
    <row r="32" spans="2:18" ht="12.95" customHeight="1">
      <c r="B32" s="49">
        <v>33</v>
      </c>
      <c r="C32" s="75">
        <v>97.053824890143503</v>
      </c>
      <c r="D32" s="76">
        <v>98.147466568519192</v>
      </c>
      <c r="E32" s="76">
        <v>98.601979197805349</v>
      </c>
      <c r="F32" s="113">
        <v>98.146747809364584</v>
      </c>
      <c r="H32" s="49">
        <v>68</v>
      </c>
      <c r="I32" s="75">
        <v>96.359534607374584</v>
      </c>
      <c r="J32" s="76">
        <v>95.15802506315984</v>
      </c>
      <c r="K32" s="76">
        <v>96.543462697131162</v>
      </c>
      <c r="L32" s="113">
        <v>90.320360817224397</v>
      </c>
    </row>
    <row r="33" spans="2:12" ht="12.95" customHeight="1">
      <c r="B33" s="49">
        <v>34</v>
      </c>
      <c r="C33" s="75">
        <v>98.19509436814559</v>
      </c>
      <c r="D33" s="76">
        <v>97.609558013731316</v>
      </c>
      <c r="E33" s="76">
        <v>97.359870103217901</v>
      </c>
      <c r="F33" s="113">
        <v>96.152742388637662</v>
      </c>
      <c r="H33" s="49">
        <v>69</v>
      </c>
      <c r="I33" s="75">
        <v>94.07341718821138</v>
      </c>
      <c r="J33" s="76">
        <v>92.897003254968084</v>
      </c>
      <c r="K33" s="76">
        <v>95.449224013912186</v>
      </c>
      <c r="L33" s="113">
        <v>95.431754162727231</v>
      </c>
    </row>
    <row r="34" spans="2:12" ht="12.95" customHeight="1">
      <c r="B34" s="54">
        <v>35</v>
      </c>
      <c r="C34" s="77">
        <v>96.619358440916869</v>
      </c>
      <c r="D34" s="78">
        <v>97.855302117491973</v>
      </c>
      <c r="E34" s="78">
        <v>96.157606446433462</v>
      </c>
      <c r="F34" s="114">
        <v>96.414290247240643</v>
      </c>
      <c r="H34" s="54">
        <v>70</v>
      </c>
      <c r="I34" s="77">
        <v>94.806812393797117</v>
      </c>
      <c r="J34" s="78">
        <v>98.512835085725087</v>
      </c>
      <c r="K34" s="78">
        <v>99.776589198510905</v>
      </c>
      <c r="L34" s="114">
        <v>92.812474069622624</v>
      </c>
    </row>
    <row r="35" spans="2:12" ht="12.95" customHeight="1">
      <c r="B35" s="49">
        <v>36</v>
      </c>
      <c r="C35" s="75">
        <v>96.276364891334836</v>
      </c>
      <c r="D35" s="76">
        <v>99.017517722231474</v>
      </c>
      <c r="E35" s="76">
        <v>93.747865690366041</v>
      </c>
      <c r="F35" s="113">
        <v>98.263673036353779</v>
      </c>
      <c r="H35" s="49">
        <v>71</v>
      </c>
      <c r="I35" s="75">
        <v>92.405055370026972</v>
      </c>
      <c r="J35" s="76">
        <v>99.59641562350366</v>
      </c>
      <c r="K35" s="76">
        <v>93.838009114376447</v>
      </c>
      <c r="L35" s="113">
        <v>96.17643908065979</v>
      </c>
    </row>
    <row r="36" spans="2:12" ht="12.95" customHeight="1">
      <c r="B36" s="49">
        <v>37</v>
      </c>
      <c r="C36" s="75">
        <v>96.513845815318675</v>
      </c>
      <c r="D36" s="76">
        <v>96.894581889231375</v>
      </c>
      <c r="E36" s="76">
        <v>95.663946056098553</v>
      </c>
      <c r="F36" s="113">
        <v>97.130198913322857</v>
      </c>
      <c r="H36" s="49">
        <v>72</v>
      </c>
      <c r="I36" s="75">
        <v>88.562175095016926</v>
      </c>
      <c r="J36" s="76">
        <v>98.439144596285914</v>
      </c>
      <c r="K36" s="76">
        <v>95.147325856679828</v>
      </c>
      <c r="L36" s="113">
        <v>98.562140317939509</v>
      </c>
    </row>
    <row r="37" spans="2:12" ht="12.95" customHeight="1">
      <c r="B37" s="49">
        <v>38</v>
      </c>
      <c r="C37" s="75">
        <v>97.535800923045358</v>
      </c>
      <c r="D37" s="76">
        <v>97.780952614275833</v>
      </c>
      <c r="E37" s="76">
        <v>99.148579316430357</v>
      </c>
      <c r="F37" s="113">
        <v>95.725142519126649</v>
      </c>
      <c r="H37" s="49">
        <v>73</v>
      </c>
      <c r="I37" s="75">
        <v>90.224997314126057</v>
      </c>
      <c r="J37" s="76">
        <v>97.96615269424413</v>
      </c>
      <c r="K37" s="76">
        <v>94.976528269938441</v>
      </c>
      <c r="L37" s="113">
        <v>90.398807719277102</v>
      </c>
    </row>
    <row r="38" spans="2:12" ht="12.95" customHeight="1" thickBot="1">
      <c r="B38" s="115">
        <v>39</v>
      </c>
      <c r="C38" s="116">
        <v>96.326335359158065</v>
      </c>
      <c r="D38" s="117">
        <v>97.858553740906686</v>
      </c>
      <c r="E38" s="117">
        <v>97.457262299943565</v>
      </c>
      <c r="F38" s="118">
        <v>97.532849844090279</v>
      </c>
      <c r="H38" s="115">
        <v>74</v>
      </c>
      <c r="I38" s="116">
        <v>90.92915018190962</v>
      </c>
      <c r="J38" s="117">
        <v>97.530443431271038</v>
      </c>
      <c r="K38" s="117">
        <v>91.939416155095017</v>
      </c>
      <c r="L38" s="118">
        <v>90.936375382850528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6"/>
  <sheetViews>
    <sheetView zoomScale="87" zoomScaleNormal="87" workbookViewId="0">
      <selection activeCell="J14" sqref="J14"/>
    </sheetView>
  </sheetViews>
  <sheetFormatPr defaultColWidth="9.6640625" defaultRowHeight="15"/>
  <cols>
    <col min="1" max="3" width="9.6640625" style="1" customWidth="1"/>
    <col min="4" max="4" width="11.5546875" style="1" customWidth="1"/>
    <col min="5" max="5" width="9.6640625" style="1" customWidth="1"/>
    <col min="6" max="6" width="10.6640625" style="1" customWidth="1"/>
    <col min="7" max="7" width="11.6640625" style="1" customWidth="1"/>
    <col min="8" max="8" width="10.6640625" style="1" customWidth="1"/>
    <col min="9" max="9" width="13.21875" style="1" customWidth="1"/>
    <col min="10" max="10" width="12.33203125" style="1" customWidth="1"/>
    <col min="11" max="11" width="13" style="1" customWidth="1"/>
    <col min="12" max="12" width="13.44140625" style="1" customWidth="1"/>
    <col min="13" max="15" width="9.6640625" style="1"/>
    <col min="16" max="16" width="12.109375" style="1" customWidth="1"/>
    <col min="17" max="17" width="17.6640625" style="1" customWidth="1"/>
    <col min="18" max="18" width="18.77734375" style="1" customWidth="1"/>
    <col min="19" max="19" width="19" style="1" customWidth="1"/>
    <col min="20" max="20" width="22.44140625" style="1" customWidth="1"/>
    <col min="21" max="21" width="29.44140625" style="1" customWidth="1"/>
    <col min="22" max="16384" width="9.6640625" style="1"/>
  </cols>
  <sheetData>
    <row r="1" spans="1:21" ht="31.5">
      <c r="A1" s="216" t="s">
        <v>1951</v>
      </c>
      <c r="B1" s="217"/>
      <c r="C1" s="218"/>
      <c r="D1" s="219" t="s">
        <v>32</v>
      </c>
      <c r="E1" s="219" t="s">
        <v>71</v>
      </c>
      <c r="F1" s="219" t="s">
        <v>72</v>
      </c>
      <c r="G1" s="219" t="s">
        <v>73</v>
      </c>
      <c r="H1" s="219" t="s">
        <v>74</v>
      </c>
      <c r="I1" s="219" t="s">
        <v>75</v>
      </c>
      <c r="J1" s="232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</row>
    <row r="2" spans="1:21" ht="15.95" customHeight="1">
      <c r="A2" s="216"/>
      <c r="B2" s="217"/>
      <c r="C2" s="218"/>
      <c r="D2" s="219"/>
      <c r="E2" s="219"/>
      <c r="F2" s="263">
        <f>(+H$3-H$4)*F$4/2</f>
        <v>1.7799999999999936E-3</v>
      </c>
      <c r="G2" s="264">
        <f>(+I$4-I$3)*G$4/2</f>
        <v>1.8899999999999997E-2</v>
      </c>
      <c r="H2" s="33"/>
      <c r="I2" s="33"/>
      <c r="J2" s="232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</row>
    <row r="3" spans="1:21" ht="15.95" customHeight="1">
      <c r="A3" s="216"/>
      <c r="B3" s="217"/>
      <c r="C3" s="218"/>
      <c r="D3" s="219"/>
      <c r="E3" s="219"/>
      <c r="F3" s="265">
        <f>F4/(2*(+H3-H4))</f>
        <v>1.1125000000000039E-2</v>
      </c>
      <c r="G3" s="266">
        <f>G4/(2*(+I4-I3))</f>
        <v>6.4814814814814835E-4</v>
      </c>
      <c r="H3" s="31">
        <v>18.5</v>
      </c>
      <c r="I3" s="31">
        <v>29.6</v>
      </c>
      <c r="J3" s="251" t="s">
        <v>148</v>
      </c>
      <c r="K3" s="220"/>
      <c r="L3" s="220"/>
      <c r="M3" s="220"/>
      <c r="N3" s="220"/>
      <c r="O3" s="220"/>
      <c r="P3" s="220"/>
      <c r="Q3" s="220"/>
      <c r="R3" s="220"/>
      <c r="S3" s="220"/>
      <c r="T3" s="220"/>
      <c r="U3" s="220"/>
    </row>
    <row r="4" spans="1:21" ht="15.75">
      <c r="A4" s="217"/>
      <c r="B4" s="217"/>
      <c r="C4" s="217"/>
      <c r="D4" s="252">
        <f>Parameters!G13</f>
        <v>8.9004629629629625E-3</v>
      </c>
      <c r="E4" s="225">
        <f>D4*1440</f>
        <v>12.816666666666666</v>
      </c>
      <c r="F4" s="34">
        <v>8.8999999999999999E-3</v>
      </c>
      <c r="G4" s="319">
        <v>7.0000000000000001E-3</v>
      </c>
      <c r="H4" s="31">
        <v>18.100000000000001</v>
      </c>
      <c r="I4" s="31">
        <v>35</v>
      </c>
      <c r="J4" s="253" t="s">
        <v>56</v>
      </c>
      <c r="K4" s="220"/>
      <c r="L4" s="220"/>
      <c r="M4" s="220"/>
      <c r="N4" s="220"/>
      <c r="O4" s="220"/>
      <c r="P4" s="220"/>
      <c r="Q4" s="220"/>
      <c r="R4" s="220"/>
      <c r="S4" s="220"/>
      <c r="T4" s="220"/>
      <c r="U4" s="220"/>
    </row>
    <row r="5" spans="1:21" ht="15.75">
      <c r="A5" s="217"/>
      <c r="B5" s="217"/>
      <c r="C5" s="217"/>
      <c r="D5" s="224"/>
      <c r="E5" s="217">
        <f>OC*60</f>
        <v>769</v>
      </c>
      <c r="F5" s="34">
        <v>2.3999999999999998E-3</v>
      </c>
      <c r="G5" s="319">
        <v>2.9999999999999997E-4</v>
      </c>
      <c r="H5" s="31">
        <v>16.7</v>
      </c>
      <c r="I5" s="31">
        <v>67.3</v>
      </c>
      <c r="J5" s="253" t="s">
        <v>57</v>
      </c>
      <c r="K5" s="220"/>
      <c r="L5" s="220"/>
      <c r="M5" s="220"/>
      <c r="N5" s="220"/>
      <c r="O5" s="220"/>
      <c r="P5" s="220"/>
      <c r="Q5" s="220"/>
      <c r="R5" s="220"/>
      <c r="S5" s="220"/>
      <c r="T5" s="220"/>
      <c r="U5" s="220"/>
    </row>
    <row r="6" spans="1:21" ht="63">
      <c r="A6" s="228" t="s">
        <v>69</v>
      </c>
      <c r="B6" s="228" t="s">
        <v>393</v>
      </c>
      <c r="C6" s="228" t="s">
        <v>394</v>
      </c>
      <c r="D6" s="228" t="s">
        <v>408</v>
      </c>
      <c r="E6" s="228" t="s">
        <v>400</v>
      </c>
      <c r="F6" s="228" t="s">
        <v>382</v>
      </c>
      <c r="G6" s="228" t="s">
        <v>413</v>
      </c>
      <c r="H6" s="228" t="s">
        <v>381</v>
      </c>
      <c r="I6" s="471" t="s">
        <v>69</v>
      </c>
      <c r="J6" s="321" t="s">
        <v>409</v>
      </c>
      <c r="K6" s="147" t="s">
        <v>396</v>
      </c>
      <c r="L6" s="320" t="s">
        <v>384</v>
      </c>
      <c r="M6" s="322" t="s">
        <v>237</v>
      </c>
      <c r="N6" s="322" t="s">
        <v>238</v>
      </c>
      <c r="O6" s="323" t="s">
        <v>239</v>
      </c>
      <c r="P6" s="323" t="s">
        <v>240</v>
      </c>
      <c r="Q6" s="324" t="s">
        <v>241</v>
      </c>
      <c r="R6" s="323" t="s">
        <v>242</v>
      </c>
      <c r="S6" s="323" t="s">
        <v>243</v>
      </c>
      <c r="T6" s="325" t="s">
        <v>244</v>
      </c>
    </row>
    <row r="7" spans="1:21">
      <c r="A7" s="220">
        <v>1</v>
      </c>
      <c r="C7" s="220"/>
      <c r="D7" s="220"/>
      <c r="E7" s="220"/>
      <c r="F7" s="220"/>
      <c r="G7" s="220"/>
      <c r="H7" s="220"/>
      <c r="I7" s="220">
        <v>1</v>
      </c>
      <c r="J7" s="327"/>
      <c r="K7" s="148"/>
      <c r="L7" s="326"/>
      <c r="M7" s="326"/>
      <c r="N7" s="326"/>
      <c r="O7" s="326"/>
      <c r="P7" s="326"/>
      <c r="Q7" s="326"/>
      <c r="R7" s="326"/>
      <c r="S7" s="326"/>
      <c r="T7" s="326"/>
    </row>
    <row r="8" spans="1:21">
      <c r="A8" s="220">
        <v>2</v>
      </c>
      <c r="C8" s="220"/>
      <c r="D8" s="220"/>
      <c r="E8" s="220"/>
      <c r="F8" s="220"/>
      <c r="G8" s="220"/>
      <c r="H8" s="220"/>
      <c r="I8" s="220">
        <v>2</v>
      </c>
      <c r="J8" s="327"/>
      <c r="K8" s="148"/>
      <c r="L8" s="326"/>
      <c r="M8" s="326"/>
      <c r="N8" s="326"/>
      <c r="O8" s="326"/>
      <c r="P8" s="326"/>
      <c r="Q8" s="326"/>
      <c r="R8" s="326"/>
      <c r="S8" s="326"/>
      <c r="T8" s="326"/>
    </row>
    <row r="9" spans="1:21">
      <c r="A9" s="220">
        <v>3</v>
      </c>
      <c r="B9" s="88">
        <v>2.7118055555555555E-2</v>
      </c>
      <c r="C9" s="227">
        <f>B9*1440</f>
        <v>39.049999999999997</v>
      </c>
      <c r="D9" s="227">
        <f t="shared" ref="D9:D41" si="0">OC/E9</f>
        <v>31.003064021931948</v>
      </c>
      <c r="E9" s="232">
        <f t="shared" ref="E9:E32" si="1">ROUND(1-IF(A9&gt;=H$3,0,IF(A9&gt;=H$4,F$3*(A9-H$3)^2,F$2+F$4*(H$4-A9)+(A9&lt;H$5)*F$5*(H$5-A9)^2)),4)</f>
        <v>0.41339999999999999</v>
      </c>
      <c r="F9" s="232">
        <v>26.429452900041138</v>
      </c>
      <c r="G9" s="232">
        <v>39.049999999999997</v>
      </c>
      <c r="H9" s="233"/>
      <c r="I9" s="220">
        <v>3</v>
      </c>
      <c r="J9" s="328"/>
      <c r="K9" s="149">
        <f t="shared" ref="K9:K40" si="2">100*D9/+C9</f>
        <v>79.393249736061335</v>
      </c>
      <c r="L9" s="329">
        <v>2.7118055555555555E-2</v>
      </c>
      <c r="M9" s="330" t="s">
        <v>1397</v>
      </c>
      <c r="N9" s="330" t="s">
        <v>421</v>
      </c>
      <c r="O9" s="330" t="s">
        <v>155</v>
      </c>
      <c r="P9" s="388">
        <v>41414</v>
      </c>
      <c r="Q9" s="332"/>
      <c r="R9" s="330" t="s">
        <v>1398</v>
      </c>
      <c r="S9" s="388">
        <v>42868</v>
      </c>
      <c r="T9" s="332"/>
    </row>
    <row r="10" spans="1:21">
      <c r="A10" s="220">
        <v>4</v>
      </c>
      <c r="B10" s="88">
        <v>2.0312500000000001E-2</v>
      </c>
      <c r="C10" s="227">
        <f>B10*1440</f>
        <v>29.25</v>
      </c>
      <c r="D10" s="227">
        <f t="shared" si="0"/>
        <v>26.393465129049975</v>
      </c>
      <c r="E10" s="232">
        <f t="shared" si="1"/>
        <v>0.48559999999999998</v>
      </c>
      <c r="F10" s="232">
        <v>23.440350237139729</v>
      </c>
      <c r="G10" s="232">
        <v>29.25</v>
      </c>
      <c r="H10" s="233">
        <f t="shared" ref="H10:H73" si="3">((F10-D10)/F10)</f>
        <v>-0.12598424776227216</v>
      </c>
      <c r="I10" s="220">
        <v>4</v>
      </c>
      <c r="J10" s="328"/>
      <c r="K10" s="149">
        <f t="shared" si="2"/>
        <v>90.23406881726487</v>
      </c>
      <c r="L10" s="329">
        <v>2.0312500000000001E-2</v>
      </c>
      <c r="M10" s="330" t="s">
        <v>1397</v>
      </c>
      <c r="N10" s="330" t="s">
        <v>421</v>
      </c>
      <c r="O10" s="330" t="s">
        <v>155</v>
      </c>
      <c r="P10" s="388">
        <v>41414</v>
      </c>
      <c r="Q10" s="332"/>
      <c r="R10" s="330" t="s">
        <v>1399</v>
      </c>
      <c r="S10" s="388">
        <v>43015</v>
      </c>
      <c r="T10" s="332"/>
    </row>
    <row r="11" spans="1:21">
      <c r="A11" s="220">
        <v>5</v>
      </c>
      <c r="B11" s="88">
        <v>1.6759259259259258E-2</v>
      </c>
      <c r="C11" s="227">
        <f t="shared" ref="C11:C74" si="4">B11*1440</f>
        <v>24.133333333333333</v>
      </c>
      <c r="D11" s="227">
        <f t="shared" si="0"/>
        <v>23.172422105707223</v>
      </c>
      <c r="E11" s="232">
        <f t="shared" si="1"/>
        <v>0.55310000000000004</v>
      </c>
      <c r="F11" s="232">
        <v>21.197624546354341</v>
      </c>
      <c r="G11" s="232">
        <v>24.133333333333333</v>
      </c>
      <c r="H11" s="233">
        <f t="shared" si="3"/>
        <v>-9.3161266963402128E-2</v>
      </c>
      <c r="I11" s="220">
        <v>5</v>
      </c>
      <c r="J11" s="328">
        <f t="shared" ref="J11:J42" si="5">100*F11/+C11</f>
        <v>87.835460827435114</v>
      </c>
      <c r="K11" s="149">
        <f t="shared" si="2"/>
        <v>96.018323642433245</v>
      </c>
      <c r="L11" s="333">
        <v>1.6759259259259258E-2</v>
      </c>
      <c r="M11" s="330" t="s">
        <v>224</v>
      </c>
      <c r="N11" s="330" t="s">
        <v>1400</v>
      </c>
      <c r="O11" s="330" t="s">
        <v>155</v>
      </c>
      <c r="P11" s="388">
        <v>39764</v>
      </c>
      <c r="Q11" s="332"/>
      <c r="R11" s="330" t="s">
        <v>1401</v>
      </c>
      <c r="S11" s="388">
        <v>41930</v>
      </c>
      <c r="T11" s="332"/>
    </row>
    <row r="12" spans="1:21">
      <c r="A12" s="220">
        <v>6</v>
      </c>
      <c r="B12" s="88">
        <v>1.511574074074074E-2</v>
      </c>
      <c r="C12" s="227">
        <f t="shared" si="4"/>
        <v>21.766666666666666</v>
      </c>
      <c r="D12" s="227">
        <f>OC/E12</f>
        <v>20.813034535022194</v>
      </c>
      <c r="E12" s="232">
        <f t="shared" si="1"/>
        <v>0.61580000000000001</v>
      </c>
      <c r="F12" s="232">
        <v>19.463798848833687</v>
      </c>
      <c r="G12" s="232">
        <v>21.766666666666666</v>
      </c>
      <c r="H12" s="233">
        <f t="shared" si="3"/>
        <v>-6.9320264593124695E-2</v>
      </c>
      <c r="I12" s="220">
        <v>6</v>
      </c>
      <c r="J12" s="328">
        <f t="shared" si="5"/>
        <v>89.420209106433489</v>
      </c>
      <c r="K12" s="149">
        <f t="shared" si="2"/>
        <v>95.618841661663978</v>
      </c>
      <c r="L12" s="333">
        <v>1.511574074074074E-2</v>
      </c>
      <c r="M12" s="330" t="s">
        <v>1402</v>
      </c>
      <c r="N12" s="330" t="s">
        <v>1403</v>
      </c>
      <c r="O12" s="330" t="s">
        <v>155</v>
      </c>
      <c r="P12" s="388">
        <v>40428</v>
      </c>
      <c r="Q12" s="332"/>
      <c r="R12" s="330" t="s">
        <v>1404</v>
      </c>
      <c r="S12" s="388">
        <v>42715</v>
      </c>
      <c r="T12" s="332"/>
    </row>
    <row r="13" spans="1:21">
      <c r="A13" s="220">
        <v>7</v>
      </c>
      <c r="B13" s="88">
        <v>1.3217592592592593E-2</v>
      </c>
      <c r="C13" s="227">
        <f t="shared" si="4"/>
        <v>19.033333333333335</v>
      </c>
      <c r="D13" s="227">
        <f t="shared" si="0"/>
        <v>19.027117973079967</v>
      </c>
      <c r="E13" s="232">
        <f t="shared" si="1"/>
        <v>0.67359999999999998</v>
      </c>
      <c r="F13" s="232">
        <v>18.093494790199944</v>
      </c>
      <c r="G13" s="232">
        <v>19.033333333333335</v>
      </c>
      <c r="H13" s="233">
        <f t="shared" si="3"/>
        <v>-5.1599936535516908E-2</v>
      </c>
      <c r="I13" s="220">
        <v>7</v>
      </c>
      <c r="J13" s="328">
        <f t="shared" si="5"/>
        <v>95.062144256742258</v>
      </c>
      <c r="K13" s="149">
        <f t="shared" si="2"/>
        <v>99.967344867320307</v>
      </c>
      <c r="L13" s="333">
        <v>1.3217592592592593E-2</v>
      </c>
      <c r="M13" s="330" t="s">
        <v>1405</v>
      </c>
      <c r="N13" s="330" t="s">
        <v>1406</v>
      </c>
      <c r="O13" s="330" t="s">
        <v>155</v>
      </c>
      <c r="P13" s="388">
        <v>39388</v>
      </c>
      <c r="Q13" s="332"/>
      <c r="R13" s="330" t="s">
        <v>1407</v>
      </c>
      <c r="S13" s="388">
        <v>42309</v>
      </c>
      <c r="T13" s="332"/>
    </row>
    <row r="14" spans="1:21">
      <c r="A14" s="220">
        <v>8</v>
      </c>
      <c r="B14" s="88">
        <v>1.2962962962962963E-2</v>
      </c>
      <c r="C14" s="227">
        <f t="shared" si="4"/>
        <v>18.666666666666668</v>
      </c>
      <c r="D14" s="227">
        <f t="shared" si="0"/>
        <v>17.636805651116919</v>
      </c>
      <c r="E14" s="232">
        <f t="shared" si="1"/>
        <v>0.72670000000000001</v>
      </c>
      <c r="F14" s="232">
        <v>16.992859032002116</v>
      </c>
      <c r="G14" s="232">
        <v>18.666666666666668</v>
      </c>
      <c r="H14" s="233">
        <f t="shared" si="3"/>
        <v>-3.7895131001915522E-2</v>
      </c>
      <c r="I14" s="220">
        <v>8</v>
      </c>
      <c r="J14" s="328">
        <f t="shared" si="5"/>
        <v>91.033173385725618</v>
      </c>
      <c r="K14" s="149">
        <f t="shared" si="2"/>
        <v>94.482887416697778</v>
      </c>
      <c r="L14" s="333">
        <v>1.2962962962962963E-2</v>
      </c>
      <c r="M14" s="330" t="s">
        <v>1405</v>
      </c>
      <c r="N14" s="330" t="s">
        <v>1406</v>
      </c>
      <c r="O14" s="330" t="s">
        <v>155</v>
      </c>
      <c r="P14" s="388">
        <v>39388</v>
      </c>
      <c r="Q14" s="332"/>
      <c r="R14" s="330" t="s">
        <v>157</v>
      </c>
      <c r="S14" s="388">
        <v>42672</v>
      </c>
      <c r="T14" s="332"/>
    </row>
    <row r="15" spans="1:21">
      <c r="A15" s="220">
        <v>9</v>
      </c>
      <c r="B15" s="88">
        <v>1.2418981481481482E-2</v>
      </c>
      <c r="C15" s="227">
        <f t="shared" si="4"/>
        <v>17.883333333333333</v>
      </c>
      <c r="D15" s="227">
        <f t="shared" si="0"/>
        <v>16.539768572288896</v>
      </c>
      <c r="E15" s="232">
        <f t="shared" si="1"/>
        <v>0.77490000000000003</v>
      </c>
      <c r="F15" s="232">
        <v>16.098722124780757</v>
      </c>
      <c r="G15" s="232">
        <v>17.883333333333333</v>
      </c>
      <c r="H15" s="233">
        <f t="shared" si="3"/>
        <v>-2.7396363766614518E-2</v>
      </c>
      <c r="I15" s="220">
        <v>9</v>
      </c>
      <c r="J15" s="328">
        <f t="shared" si="5"/>
        <v>90.020813372492583</v>
      </c>
      <c r="K15" s="149">
        <f t="shared" si="2"/>
        <v>92.487056322211913</v>
      </c>
      <c r="L15" s="333">
        <v>1.2418981481481482E-2</v>
      </c>
      <c r="M15" s="330" t="s">
        <v>1405</v>
      </c>
      <c r="N15" s="330" t="s">
        <v>1406</v>
      </c>
      <c r="O15" s="330" t="s">
        <v>155</v>
      </c>
      <c r="P15" s="388">
        <v>39388</v>
      </c>
      <c r="Q15" s="332"/>
      <c r="R15" s="330" t="s">
        <v>1408</v>
      </c>
      <c r="S15" s="388">
        <v>43030</v>
      </c>
      <c r="T15" s="332"/>
    </row>
    <row r="16" spans="1:21">
      <c r="A16" s="220">
        <v>10</v>
      </c>
      <c r="B16" s="88">
        <v>1.2361111111111111E-2</v>
      </c>
      <c r="C16" s="227">
        <f t="shared" si="4"/>
        <v>17.8</v>
      </c>
      <c r="D16" s="227">
        <f t="shared" si="0"/>
        <v>15.660638644509612</v>
      </c>
      <c r="E16" s="232">
        <f t="shared" si="1"/>
        <v>0.81840000000000002</v>
      </c>
      <c r="F16" s="232">
        <v>15.367137048552976</v>
      </c>
      <c r="G16" s="232">
        <v>17.8</v>
      </c>
      <c r="H16" s="233">
        <f t="shared" si="3"/>
        <v>-1.9099302298750124E-2</v>
      </c>
      <c r="I16" s="220">
        <v>10</v>
      </c>
      <c r="J16" s="328">
        <f t="shared" si="5"/>
        <v>86.332230609848182</v>
      </c>
      <c r="K16" s="149">
        <f t="shared" si="2"/>
        <v>87.981115980391081</v>
      </c>
      <c r="L16" s="333">
        <v>1.2361111111111111E-2</v>
      </c>
      <c r="M16" s="330" t="s">
        <v>1409</v>
      </c>
      <c r="N16" s="330" t="s">
        <v>1410</v>
      </c>
      <c r="O16" s="330" t="s">
        <v>155</v>
      </c>
      <c r="P16" s="388">
        <v>36827</v>
      </c>
      <c r="Q16" s="332"/>
      <c r="R16" s="330" t="s">
        <v>1411</v>
      </c>
      <c r="S16" s="388">
        <v>40489</v>
      </c>
      <c r="T16" s="332"/>
    </row>
    <row r="17" spans="1:20">
      <c r="A17" s="220">
        <v>11</v>
      </c>
      <c r="B17" s="88">
        <v>1.1539351851851851E-2</v>
      </c>
      <c r="C17" s="227">
        <f t="shared" si="4"/>
        <v>16.616666666666667</v>
      </c>
      <c r="D17" s="227">
        <f t="shared" si="0"/>
        <v>14.95352545405048</v>
      </c>
      <c r="E17" s="232">
        <f t="shared" si="1"/>
        <v>0.85709999999999997</v>
      </c>
      <c r="F17" s="232">
        <v>14.766720294185244</v>
      </c>
      <c r="G17" s="232">
        <v>16.616666666666667</v>
      </c>
      <c r="H17" s="233">
        <f t="shared" si="3"/>
        <v>-1.2650416351340687E-2</v>
      </c>
      <c r="I17" s="220">
        <v>11</v>
      </c>
      <c r="J17" s="328">
        <f t="shared" si="5"/>
        <v>88.866922532709594</v>
      </c>
      <c r="K17" s="149">
        <f t="shared" si="2"/>
        <v>89.991126102610707</v>
      </c>
      <c r="L17" s="333">
        <v>1.1539351851851851E-2</v>
      </c>
      <c r="M17" s="330" t="s">
        <v>1412</v>
      </c>
      <c r="N17" s="330" t="s">
        <v>1413</v>
      </c>
      <c r="O17" s="330" t="s">
        <v>155</v>
      </c>
      <c r="P17" s="388">
        <v>38566</v>
      </c>
      <c r="Q17" s="332"/>
      <c r="R17" s="330" t="s">
        <v>1414</v>
      </c>
      <c r="S17" s="388">
        <v>42884</v>
      </c>
      <c r="T17" s="332"/>
    </row>
    <row r="18" spans="1:20">
      <c r="A18" s="220">
        <v>12</v>
      </c>
      <c r="B18" s="88">
        <v>1.1377314814814814E-2</v>
      </c>
      <c r="C18" s="227">
        <f t="shared" si="4"/>
        <v>16.383333333333333</v>
      </c>
      <c r="D18" s="227">
        <f t="shared" si="0"/>
        <v>14.386201219740336</v>
      </c>
      <c r="E18" s="232">
        <f t="shared" si="1"/>
        <v>0.89090000000000003</v>
      </c>
      <c r="F18" s="232">
        <v>14.274605643190402</v>
      </c>
      <c r="G18" s="232">
        <v>16.383333333333333</v>
      </c>
      <c r="H18" s="233">
        <f t="shared" si="3"/>
        <v>-7.8177694949611593E-3</v>
      </c>
      <c r="I18" s="220">
        <v>12</v>
      </c>
      <c r="J18" s="328">
        <f t="shared" si="5"/>
        <v>87.128823864844776</v>
      </c>
      <c r="K18" s="149">
        <f t="shared" si="2"/>
        <v>87.80997692618719</v>
      </c>
      <c r="L18" s="333">
        <v>1.1377314814814814E-2</v>
      </c>
      <c r="M18" s="330" t="s">
        <v>1415</v>
      </c>
      <c r="N18" s="330" t="s">
        <v>1416</v>
      </c>
      <c r="O18" s="330" t="s">
        <v>155</v>
      </c>
      <c r="P18" s="388">
        <v>38428</v>
      </c>
      <c r="Q18" s="332"/>
      <c r="R18" s="330" t="s">
        <v>1417</v>
      </c>
      <c r="S18" s="388">
        <v>43050</v>
      </c>
      <c r="T18" s="332"/>
    </row>
    <row r="19" spans="1:20">
      <c r="A19" s="220">
        <v>13</v>
      </c>
      <c r="B19" s="88">
        <v>1.125E-2</v>
      </c>
      <c r="C19" s="227">
        <f t="shared" si="4"/>
        <v>16.2</v>
      </c>
      <c r="D19" s="227">
        <f t="shared" si="0"/>
        <v>13.931159420289854</v>
      </c>
      <c r="E19" s="232">
        <f t="shared" si="1"/>
        <v>0.92</v>
      </c>
      <c r="F19" s="232">
        <v>13.873893327575036</v>
      </c>
      <c r="G19" s="232">
        <v>16.199999999999996</v>
      </c>
      <c r="H19" s="233">
        <f t="shared" si="3"/>
        <v>-4.1276151807364903E-3</v>
      </c>
      <c r="I19" s="220">
        <v>13</v>
      </c>
      <c r="J19" s="328">
        <f t="shared" si="5"/>
        <v>85.641316836882936</v>
      </c>
      <c r="K19" s="149">
        <f t="shared" si="2"/>
        <v>85.994811236357123</v>
      </c>
      <c r="L19" s="333">
        <v>1.125E-2</v>
      </c>
      <c r="M19" s="330" t="s">
        <v>1412</v>
      </c>
      <c r="N19" s="330" t="s">
        <v>1418</v>
      </c>
      <c r="O19" s="330" t="s">
        <v>155</v>
      </c>
      <c r="P19" s="388">
        <v>38126</v>
      </c>
      <c r="Q19" s="332"/>
      <c r="R19" s="330" t="s">
        <v>177</v>
      </c>
      <c r="S19" s="388">
        <v>42995</v>
      </c>
      <c r="T19" s="332"/>
    </row>
    <row r="20" spans="1:20">
      <c r="A20" s="220">
        <v>14</v>
      </c>
      <c r="B20" s="88">
        <v>1.0497685185185185E-2</v>
      </c>
      <c r="C20" s="227">
        <f t="shared" si="4"/>
        <v>15.116666666666665</v>
      </c>
      <c r="D20" s="227">
        <f t="shared" si="0"/>
        <v>13.574101532161265</v>
      </c>
      <c r="E20" s="232">
        <f t="shared" si="1"/>
        <v>0.94420000000000004</v>
      </c>
      <c r="F20" s="232">
        <v>13.551993250369119</v>
      </c>
      <c r="G20" s="232">
        <v>15.116666666666669</v>
      </c>
      <c r="H20" s="233">
        <f t="shared" si="3"/>
        <v>-1.6313675327091926E-3</v>
      </c>
      <c r="I20" s="220">
        <v>14</v>
      </c>
      <c r="J20" s="328">
        <f t="shared" si="5"/>
        <v>89.649348955032764</v>
      </c>
      <c r="K20" s="149">
        <f t="shared" si="2"/>
        <v>89.795599992246522</v>
      </c>
      <c r="L20" s="333">
        <v>1.0497685185185185E-2</v>
      </c>
      <c r="M20" s="330" t="s">
        <v>1419</v>
      </c>
      <c r="N20" s="330" t="s">
        <v>1420</v>
      </c>
      <c r="O20" s="330" t="s">
        <v>158</v>
      </c>
      <c r="P20" s="388">
        <v>32932</v>
      </c>
      <c r="Q20" s="332"/>
      <c r="R20" s="330" t="s">
        <v>159</v>
      </c>
      <c r="S20" s="388">
        <v>38394</v>
      </c>
      <c r="T20" s="332"/>
    </row>
    <row r="21" spans="1:20">
      <c r="A21" s="220">
        <v>15</v>
      </c>
      <c r="B21" s="88">
        <v>1.0532407407407407E-2</v>
      </c>
      <c r="C21" s="227">
        <f t="shared" si="4"/>
        <v>15.166666666666666</v>
      </c>
      <c r="D21" s="227">
        <f t="shared" si="0"/>
        <v>13.299436200754037</v>
      </c>
      <c r="E21" s="232">
        <f t="shared" si="1"/>
        <v>0.9637</v>
      </c>
      <c r="F21" s="232">
        <v>13.299523908093562</v>
      </c>
      <c r="G21" s="232">
        <v>15.166666666666666</v>
      </c>
      <c r="H21" s="233">
        <f t="shared" si="3"/>
        <v>6.594772875371977E-6</v>
      </c>
      <c r="I21" s="220">
        <v>15</v>
      </c>
      <c r="J21" s="328">
        <f t="shared" si="5"/>
        <v>87.689168624792714</v>
      </c>
      <c r="K21" s="149">
        <f t="shared" si="2"/>
        <v>87.688590334642001</v>
      </c>
      <c r="L21" s="333">
        <v>1.0532407407407407E-2</v>
      </c>
      <c r="M21" s="330" t="s">
        <v>1421</v>
      </c>
      <c r="N21" s="330" t="s">
        <v>1422</v>
      </c>
      <c r="O21" s="330" t="s">
        <v>158</v>
      </c>
      <c r="P21" s="388">
        <v>29324</v>
      </c>
      <c r="Q21" s="332"/>
      <c r="R21" s="330" t="s">
        <v>159</v>
      </c>
      <c r="S21" s="388">
        <v>35106</v>
      </c>
      <c r="T21" s="332"/>
    </row>
    <row r="22" spans="1:20">
      <c r="A22" s="220">
        <v>16</v>
      </c>
      <c r="B22" s="88">
        <v>9.2013888888888892E-3</v>
      </c>
      <c r="C22" s="227">
        <f t="shared" si="4"/>
        <v>13.25</v>
      </c>
      <c r="D22" s="227">
        <f t="shared" si="0"/>
        <v>13.099618424638866</v>
      </c>
      <c r="E22" s="232">
        <f t="shared" si="1"/>
        <v>0.97840000000000005</v>
      </c>
      <c r="F22" s="232">
        <v>13.109569475617221</v>
      </c>
      <c r="G22" s="232">
        <v>13.25</v>
      </c>
      <c r="H22" s="233">
        <f t="shared" si="3"/>
        <v>7.5906771743062152E-4</v>
      </c>
      <c r="I22" s="220">
        <v>16</v>
      </c>
      <c r="J22" s="328">
        <f t="shared" si="5"/>
        <v>98.940146985790335</v>
      </c>
      <c r="K22" s="149">
        <f t="shared" si="2"/>
        <v>98.865044714255589</v>
      </c>
      <c r="L22" s="333">
        <v>9.2013888888888892E-3</v>
      </c>
      <c r="M22" s="330" t="s">
        <v>1423</v>
      </c>
      <c r="N22" s="330" t="s">
        <v>1424</v>
      </c>
      <c r="O22" s="330" t="s">
        <v>163</v>
      </c>
      <c r="P22" s="388">
        <v>32774</v>
      </c>
      <c r="Q22" s="332" t="s">
        <v>164</v>
      </c>
      <c r="R22" s="330" t="s">
        <v>165</v>
      </c>
      <c r="S22" s="388">
        <v>38816</v>
      </c>
      <c r="T22" s="332"/>
    </row>
    <row r="23" spans="1:20">
      <c r="A23" s="220">
        <v>17</v>
      </c>
      <c r="B23" s="88">
        <v>9.1898148148148156E-3</v>
      </c>
      <c r="C23" s="227">
        <f t="shared" si="4"/>
        <v>13.233333333333334</v>
      </c>
      <c r="D23" s="227">
        <f t="shared" si="0"/>
        <v>12.967084850937542</v>
      </c>
      <c r="E23" s="232">
        <f t="shared" si="1"/>
        <v>0.98839999999999995</v>
      </c>
      <c r="F23" s="232">
        <v>12.951017939931466</v>
      </c>
      <c r="G23" s="232">
        <v>13.233333333333333</v>
      </c>
      <c r="H23" s="233">
        <f t="shared" si="3"/>
        <v>-1.2405905914574997E-3</v>
      </c>
      <c r="I23" s="220">
        <v>17</v>
      </c>
      <c r="J23" s="328">
        <f t="shared" si="5"/>
        <v>97.866634306786892</v>
      </c>
      <c r="K23" s="149">
        <f t="shared" si="2"/>
        <v>97.988046732525504</v>
      </c>
      <c r="L23" s="333">
        <v>9.1898148148148156E-3</v>
      </c>
      <c r="M23" s="330" t="s">
        <v>1425</v>
      </c>
      <c r="N23" s="330" t="s">
        <v>1426</v>
      </c>
      <c r="O23" s="330" t="s">
        <v>163</v>
      </c>
      <c r="P23" s="388">
        <v>34465</v>
      </c>
      <c r="Q23" s="332" t="s">
        <v>164</v>
      </c>
      <c r="R23" s="330" t="s">
        <v>165</v>
      </c>
      <c r="S23" s="388">
        <v>41000</v>
      </c>
      <c r="T23" s="332"/>
    </row>
    <row r="24" spans="1:20">
      <c r="A24" s="220">
        <v>18</v>
      </c>
      <c r="B24" s="88">
        <v>9.0277777777777769E-3</v>
      </c>
      <c r="C24" s="227">
        <f t="shared" si="4"/>
        <v>12.999999999999998</v>
      </c>
      <c r="D24" s="227">
        <f t="shared" si="0"/>
        <v>12.851365353120091</v>
      </c>
      <c r="E24" s="232">
        <f t="shared" si="1"/>
        <v>0.99729999999999996</v>
      </c>
      <c r="F24" s="232">
        <v>12.855339910424329</v>
      </c>
      <c r="G24" s="232">
        <v>13.000000000000002</v>
      </c>
      <c r="H24" s="233">
        <f t="shared" si="3"/>
        <v>3.0917559021639276E-4</v>
      </c>
      <c r="I24" s="220">
        <v>18</v>
      </c>
      <c r="J24" s="328">
        <f t="shared" si="5"/>
        <v>98.887230080187166</v>
      </c>
      <c r="K24" s="149">
        <f t="shared" si="2"/>
        <v>98.856656562462248</v>
      </c>
      <c r="L24" s="333">
        <v>9.0277777777777769E-3</v>
      </c>
      <c r="M24" s="330" t="s">
        <v>1427</v>
      </c>
      <c r="N24" s="330" t="s">
        <v>1428</v>
      </c>
      <c r="O24" s="330" t="s">
        <v>160</v>
      </c>
      <c r="P24" s="388">
        <v>29858</v>
      </c>
      <c r="Q24" s="332" t="s">
        <v>164</v>
      </c>
      <c r="R24" s="330" t="s">
        <v>165</v>
      </c>
      <c r="S24" s="388">
        <v>36611</v>
      </c>
      <c r="T24" s="332"/>
    </row>
    <row r="25" spans="1:20" ht="15.75" customHeight="1">
      <c r="A25" s="220">
        <v>19</v>
      </c>
      <c r="B25" s="88">
        <v>9.0277777777777769E-3</v>
      </c>
      <c r="C25" s="227">
        <f t="shared" si="4"/>
        <v>12.999999999999998</v>
      </c>
      <c r="D25" s="227">
        <f t="shared" si="0"/>
        <v>12.816666666666666</v>
      </c>
      <c r="E25" s="232">
        <f t="shared" si="1"/>
        <v>1</v>
      </c>
      <c r="F25" s="232">
        <v>12.85</v>
      </c>
      <c r="G25" s="232">
        <v>13.000000000000002</v>
      </c>
      <c r="H25" s="233">
        <f t="shared" si="3"/>
        <v>2.5940337224383825E-3</v>
      </c>
      <c r="I25" s="220">
        <v>19</v>
      </c>
      <c r="J25" s="328">
        <f t="shared" si="5"/>
        <v>98.846153846153854</v>
      </c>
      <c r="K25" s="149">
        <f t="shared" si="2"/>
        <v>98.589743589743605</v>
      </c>
      <c r="L25" s="333">
        <v>9.0277777777777769E-3</v>
      </c>
      <c r="M25" s="330" t="s">
        <v>1427</v>
      </c>
      <c r="N25" s="330" t="s">
        <v>1428</v>
      </c>
      <c r="O25" s="330" t="s">
        <v>160</v>
      </c>
      <c r="P25" s="388">
        <v>29858</v>
      </c>
      <c r="Q25" s="332" t="s">
        <v>164</v>
      </c>
      <c r="R25" s="330" t="s">
        <v>165</v>
      </c>
      <c r="S25" s="388">
        <v>36982</v>
      </c>
      <c r="T25" s="332"/>
    </row>
    <row r="26" spans="1:20">
      <c r="A26" s="220">
        <v>20</v>
      </c>
      <c r="B26" s="88">
        <v>8.9004629629629625E-3</v>
      </c>
      <c r="C26" s="227">
        <f t="shared" si="4"/>
        <v>12.816666666666666</v>
      </c>
      <c r="D26" s="227">
        <f t="shared" si="0"/>
        <v>12.816666666666666</v>
      </c>
      <c r="E26" s="232">
        <f t="shared" si="1"/>
        <v>1</v>
      </c>
      <c r="F26" s="232">
        <v>12.85</v>
      </c>
      <c r="G26" s="232">
        <v>13.25</v>
      </c>
      <c r="H26" s="233">
        <f t="shared" si="3"/>
        <v>2.5940337224383825E-3</v>
      </c>
      <c r="I26" s="220">
        <v>20</v>
      </c>
      <c r="J26" s="328">
        <f t="shared" si="5"/>
        <v>100.26007802340702</v>
      </c>
      <c r="K26" s="149">
        <f t="shared" si="2"/>
        <v>100.00000000000001</v>
      </c>
      <c r="L26" s="470">
        <v>8.9004629629629625E-3</v>
      </c>
      <c r="M26" s="390" t="s">
        <v>1429</v>
      </c>
      <c r="N26" s="390" t="s">
        <v>1430</v>
      </c>
      <c r="O26" s="390" t="s">
        <v>163</v>
      </c>
      <c r="P26" s="391">
        <v>36950</v>
      </c>
      <c r="Q26" s="392" t="s">
        <v>397</v>
      </c>
      <c r="R26" s="390" t="s">
        <v>398</v>
      </c>
      <c r="S26" s="391">
        <v>44561</v>
      </c>
      <c r="T26" s="392" t="s">
        <v>387</v>
      </c>
    </row>
    <row r="27" spans="1:20">
      <c r="A27" s="220">
        <v>21</v>
      </c>
      <c r="B27" s="88">
        <v>9.1550925925925931E-3</v>
      </c>
      <c r="C27" s="227">
        <f t="shared" si="4"/>
        <v>13.183333333333334</v>
      </c>
      <c r="D27" s="227">
        <f t="shared" si="0"/>
        <v>12.816666666666666</v>
      </c>
      <c r="E27" s="232">
        <f t="shared" si="1"/>
        <v>1</v>
      </c>
      <c r="F27" s="232">
        <v>12.85</v>
      </c>
      <c r="G27" s="232">
        <v>13.183333333333334</v>
      </c>
      <c r="H27" s="233">
        <f t="shared" si="3"/>
        <v>2.5940337224383825E-3</v>
      </c>
      <c r="I27" s="220">
        <v>21</v>
      </c>
      <c r="J27" s="328">
        <f t="shared" si="5"/>
        <v>97.471554993678879</v>
      </c>
      <c r="K27" s="149">
        <f t="shared" si="2"/>
        <v>97.218710493046785</v>
      </c>
      <c r="L27" s="333">
        <v>9.1550925925925931E-3</v>
      </c>
      <c r="M27" s="330" t="s">
        <v>1431</v>
      </c>
      <c r="N27" s="330" t="s">
        <v>1432</v>
      </c>
      <c r="O27" s="330" t="s">
        <v>163</v>
      </c>
      <c r="P27" s="388">
        <v>32836</v>
      </c>
      <c r="Q27" s="332" t="s">
        <v>164</v>
      </c>
      <c r="R27" s="330" t="s">
        <v>165</v>
      </c>
      <c r="S27" s="388">
        <v>40636</v>
      </c>
      <c r="T27" s="332"/>
    </row>
    <row r="28" spans="1:20">
      <c r="A28" s="220">
        <v>22</v>
      </c>
      <c r="B28" s="88">
        <v>9.1550925925925931E-3</v>
      </c>
      <c r="C28" s="227">
        <f t="shared" si="4"/>
        <v>13.183333333333334</v>
      </c>
      <c r="D28" s="227">
        <f t="shared" si="0"/>
        <v>12.816666666666666</v>
      </c>
      <c r="E28" s="232">
        <f t="shared" si="1"/>
        <v>1</v>
      </c>
      <c r="F28" s="232">
        <v>12.85</v>
      </c>
      <c r="G28" s="232">
        <v>13.183333333333334</v>
      </c>
      <c r="H28" s="233">
        <f t="shared" si="3"/>
        <v>2.5940337224383825E-3</v>
      </c>
      <c r="I28" s="220">
        <v>22</v>
      </c>
      <c r="J28" s="328">
        <f t="shared" si="5"/>
        <v>97.471554993678879</v>
      </c>
      <c r="K28" s="149">
        <f t="shared" si="2"/>
        <v>97.218710493046785</v>
      </c>
      <c r="L28" s="333">
        <v>9.1550925925925931E-3</v>
      </c>
      <c r="M28" s="330" t="s">
        <v>1431</v>
      </c>
      <c r="N28" s="330" t="s">
        <v>1432</v>
      </c>
      <c r="O28" s="330" t="s">
        <v>163</v>
      </c>
      <c r="P28" s="388">
        <v>32836</v>
      </c>
      <c r="Q28" s="332" t="s">
        <v>164</v>
      </c>
      <c r="R28" s="330" t="s">
        <v>165</v>
      </c>
      <c r="S28" s="388">
        <v>41000</v>
      </c>
      <c r="T28" s="332"/>
    </row>
    <row r="29" spans="1:20">
      <c r="A29" s="220">
        <v>23</v>
      </c>
      <c r="B29" s="88">
        <v>8.9236111111111113E-3</v>
      </c>
      <c r="C29" s="227">
        <f t="shared" si="4"/>
        <v>12.85</v>
      </c>
      <c r="D29" s="227">
        <f t="shared" si="0"/>
        <v>12.816666666666666</v>
      </c>
      <c r="E29" s="232">
        <f t="shared" si="1"/>
        <v>1</v>
      </c>
      <c r="F29" s="232">
        <v>12.85</v>
      </c>
      <c r="G29" s="232">
        <v>13.333333333333336</v>
      </c>
      <c r="H29" s="233">
        <f t="shared" si="3"/>
        <v>2.5940337224383825E-3</v>
      </c>
      <c r="I29" s="220">
        <v>23</v>
      </c>
      <c r="J29" s="328">
        <f t="shared" si="5"/>
        <v>100</v>
      </c>
      <c r="K29" s="149">
        <f t="shared" si="2"/>
        <v>99.740596627756176</v>
      </c>
      <c r="L29" s="333">
        <v>8.9236111111111113E-3</v>
      </c>
      <c r="M29" s="330" t="s">
        <v>1433</v>
      </c>
      <c r="N29" s="330" t="s">
        <v>1434</v>
      </c>
      <c r="O29" s="330" t="s">
        <v>1435</v>
      </c>
      <c r="P29" s="388">
        <v>35320</v>
      </c>
      <c r="Q29" s="332" t="s">
        <v>1436</v>
      </c>
      <c r="R29" s="330" t="s">
        <v>399</v>
      </c>
      <c r="S29" s="388">
        <v>43877</v>
      </c>
      <c r="T29" s="332"/>
    </row>
    <row r="30" spans="1:20">
      <c r="A30" s="220">
        <v>24</v>
      </c>
      <c r="B30" s="88">
        <v>9.1435185185185178E-3</v>
      </c>
      <c r="C30" s="227">
        <f t="shared" si="4"/>
        <v>13.166666666666666</v>
      </c>
      <c r="D30" s="227">
        <f t="shared" si="0"/>
        <v>12.816666666666666</v>
      </c>
      <c r="E30" s="232">
        <f t="shared" si="1"/>
        <v>1</v>
      </c>
      <c r="F30" s="232">
        <v>12.85</v>
      </c>
      <c r="G30" s="232">
        <v>13.166666666666666</v>
      </c>
      <c r="H30" s="233">
        <f t="shared" si="3"/>
        <v>2.5940337224383825E-3</v>
      </c>
      <c r="I30" s="220">
        <v>24</v>
      </c>
      <c r="J30" s="328">
        <f t="shared" si="5"/>
        <v>97.594936708860757</v>
      </c>
      <c r="K30" s="149">
        <f t="shared" si="2"/>
        <v>97.341772151898738</v>
      </c>
      <c r="L30" s="333">
        <v>9.1435185185185178E-3</v>
      </c>
      <c r="M30" s="330" t="s">
        <v>1431</v>
      </c>
      <c r="N30" s="330" t="s">
        <v>1437</v>
      </c>
      <c r="O30" s="330" t="s">
        <v>163</v>
      </c>
      <c r="P30" s="388">
        <v>29567</v>
      </c>
      <c r="Q30" s="332" t="s">
        <v>164</v>
      </c>
      <c r="R30" s="330" t="s">
        <v>165</v>
      </c>
      <c r="S30" s="388">
        <v>38445</v>
      </c>
      <c r="T30" s="332"/>
    </row>
    <row r="31" spans="1:20">
      <c r="A31" s="220">
        <v>25</v>
      </c>
      <c r="B31" s="88">
        <v>9.1550925925925931E-3</v>
      </c>
      <c r="C31" s="227">
        <f t="shared" si="4"/>
        <v>13.183333333333334</v>
      </c>
      <c r="D31" s="227">
        <f t="shared" si="0"/>
        <v>12.816666666666666</v>
      </c>
      <c r="E31" s="232">
        <f t="shared" si="1"/>
        <v>1</v>
      </c>
      <c r="F31" s="232">
        <v>12.85</v>
      </c>
      <c r="G31" s="232">
        <v>13.183333333333334</v>
      </c>
      <c r="H31" s="233">
        <f t="shared" si="3"/>
        <v>2.5940337224383825E-3</v>
      </c>
      <c r="I31" s="220">
        <v>25</v>
      </c>
      <c r="J31" s="328">
        <f t="shared" si="5"/>
        <v>97.471554993678879</v>
      </c>
      <c r="K31" s="149">
        <f t="shared" si="2"/>
        <v>97.218710493046785</v>
      </c>
      <c r="L31" s="333">
        <v>9.1550925925925931E-3</v>
      </c>
      <c r="M31" s="330" t="s">
        <v>1438</v>
      </c>
      <c r="N31" s="330" t="s">
        <v>1439</v>
      </c>
      <c r="O31" s="330" t="s">
        <v>160</v>
      </c>
      <c r="P31" s="388">
        <v>30991</v>
      </c>
      <c r="Q31" s="332" t="s">
        <v>164</v>
      </c>
      <c r="R31" s="330" t="s">
        <v>165</v>
      </c>
      <c r="S31" s="388">
        <v>40279</v>
      </c>
      <c r="T31" s="332"/>
    </row>
    <row r="32" spans="1:20">
      <c r="A32" s="220">
        <v>26</v>
      </c>
      <c r="B32" s="88">
        <v>9.1898148148148156E-3</v>
      </c>
      <c r="C32" s="227">
        <f t="shared" si="4"/>
        <v>13.233333333333334</v>
      </c>
      <c r="D32" s="227">
        <f t="shared" si="0"/>
        <v>12.816666666666666</v>
      </c>
      <c r="E32" s="232">
        <f t="shared" si="1"/>
        <v>1</v>
      </c>
      <c r="F32" s="232">
        <v>12.85</v>
      </c>
      <c r="G32" s="232">
        <v>13.233333333333333</v>
      </c>
      <c r="H32" s="233">
        <f t="shared" si="3"/>
        <v>2.5940337224383825E-3</v>
      </c>
      <c r="I32" s="220">
        <v>26</v>
      </c>
      <c r="J32" s="328">
        <f t="shared" si="5"/>
        <v>97.103274559193949</v>
      </c>
      <c r="K32" s="149">
        <f t="shared" si="2"/>
        <v>96.851385390428206</v>
      </c>
      <c r="L32" s="333">
        <v>9.1898148148148156E-3</v>
      </c>
      <c r="M32" s="330" t="s">
        <v>1438</v>
      </c>
      <c r="N32" s="330" t="s">
        <v>1439</v>
      </c>
      <c r="O32" s="330" t="s">
        <v>160</v>
      </c>
      <c r="P32" s="388">
        <v>30991</v>
      </c>
      <c r="Q32" s="332" t="s">
        <v>164</v>
      </c>
      <c r="R32" s="330" t="s">
        <v>165</v>
      </c>
      <c r="S32" s="388">
        <v>40636</v>
      </c>
      <c r="T32" s="332"/>
    </row>
    <row r="33" spans="1:20">
      <c r="A33" s="220">
        <v>27</v>
      </c>
      <c r="B33" s="88">
        <v>9.1898148148148156E-3</v>
      </c>
      <c r="C33" s="227">
        <f t="shared" si="4"/>
        <v>13.233333333333334</v>
      </c>
      <c r="D33" s="227">
        <f t="shared" si="0"/>
        <v>12.816666666666666</v>
      </c>
      <c r="E33" s="232">
        <f t="shared" ref="E33:E64" si="6">ROUND(1-IF(A33&lt;I$3,0,IF(A33&lt;I$4,G$3*(A33-I$3)^2,G$2+G$4*(A33-I$4)+(A33&gt;I$5)*G$5*(A33-I$5)^2)),4)</f>
        <v>1</v>
      </c>
      <c r="F33" s="232">
        <v>12.85</v>
      </c>
      <c r="G33" s="232">
        <v>13.233333333333333</v>
      </c>
      <c r="H33" s="233">
        <f t="shared" si="3"/>
        <v>2.5940337224383825E-3</v>
      </c>
      <c r="I33" s="220">
        <v>27</v>
      </c>
      <c r="J33" s="328">
        <f t="shared" si="5"/>
        <v>97.103274559193949</v>
      </c>
      <c r="K33" s="149">
        <f t="shared" si="2"/>
        <v>96.851385390428206</v>
      </c>
      <c r="L33" s="333">
        <v>9.1898148148148156E-3</v>
      </c>
      <c r="M33" s="330" t="s">
        <v>1438</v>
      </c>
      <c r="N33" s="330" t="s">
        <v>1439</v>
      </c>
      <c r="O33" s="330" t="s">
        <v>160</v>
      </c>
      <c r="P33" s="388">
        <v>30991</v>
      </c>
      <c r="Q33" s="332" t="s">
        <v>164</v>
      </c>
      <c r="R33" s="330" t="s">
        <v>165</v>
      </c>
      <c r="S33" s="388">
        <v>41000</v>
      </c>
      <c r="T33" s="332"/>
    </row>
    <row r="34" spans="1:20">
      <c r="A34" s="220">
        <v>28</v>
      </c>
      <c r="B34" s="88">
        <v>9.2129629629629627E-3</v>
      </c>
      <c r="C34" s="227">
        <f t="shared" si="4"/>
        <v>13.266666666666666</v>
      </c>
      <c r="D34" s="227">
        <f t="shared" si="0"/>
        <v>12.816666666666666</v>
      </c>
      <c r="E34" s="232">
        <f t="shared" si="6"/>
        <v>1</v>
      </c>
      <c r="F34" s="232">
        <v>12.85</v>
      </c>
      <c r="G34" s="232">
        <v>13.266666666666666</v>
      </c>
      <c r="H34" s="233">
        <f t="shared" si="3"/>
        <v>2.5940337224383825E-3</v>
      </c>
      <c r="I34" s="220">
        <v>28</v>
      </c>
      <c r="J34" s="328">
        <f t="shared" si="5"/>
        <v>96.859296482412063</v>
      </c>
      <c r="K34" s="149">
        <f t="shared" si="2"/>
        <v>96.608040201005039</v>
      </c>
      <c r="L34" s="333">
        <v>9.2129629629629627E-3</v>
      </c>
      <c r="M34" s="330" t="s">
        <v>1440</v>
      </c>
      <c r="N34" s="330" t="s">
        <v>1441</v>
      </c>
      <c r="O34" s="330" t="s">
        <v>160</v>
      </c>
      <c r="P34" s="388">
        <v>25379</v>
      </c>
      <c r="Q34" s="332" t="s">
        <v>164</v>
      </c>
      <c r="R34" s="330" t="s">
        <v>165</v>
      </c>
      <c r="S34" s="388">
        <v>35883</v>
      </c>
      <c r="T34" s="332"/>
    </row>
    <row r="35" spans="1:20">
      <c r="A35" s="220">
        <v>29</v>
      </c>
      <c r="B35" s="88">
        <v>9.2824074074074076E-3</v>
      </c>
      <c r="C35" s="227">
        <f t="shared" si="4"/>
        <v>13.366666666666667</v>
      </c>
      <c r="D35" s="227">
        <f t="shared" si="0"/>
        <v>12.816666666666666</v>
      </c>
      <c r="E35" s="232">
        <f t="shared" si="6"/>
        <v>1</v>
      </c>
      <c r="F35" s="232">
        <v>12.85</v>
      </c>
      <c r="G35" s="232">
        <v>13.366666666666667</v>
      </c>
      <c r="H35" s="233">
        <f t="shared" si="3"/>
        <v>2.5940337224383825E-3</v>
      </c>
      <c r="I35" s="220">
        <v>29</v>
      </c>
      <c r="J35" s="328">
        <f t="shared" si="5"/>
        <v>96.134663341645876</v>
      </c>
      <c r="K35" s="149">
        <f t="shared" si="2"/>
        <v>95.885286783042403</v>
      </c>
      <c r="L35" s="333">
        <v>9.2824074074074076E-3</v>
      </c>
      <c r="M35" s="330" t="s">
        <v>1442</v>
      </c>
      <c r="N35" s="330" t="s">
        <v>1443</v>
      </c>
      <c r="O35" s="330" t="s">
        <v>155</v>
      </c>
      <c r="P35" s="388">
        <v>31410</v>
      </c>
      <c r="Q35" s="332"/>
      <c r="R35" s="330" t="s">
        <v>170</v>
      </c>
      <c r="S35" s="388">
        <v>42112</v>
      </c>
      <c r="T35" s="332"/>
    </row>
    <row r="36" spans="1:20">
      <c r="A36" s="220">
        <v>30</v>
      </c>
      <c r="B36" s="88">
        <v>9.3402777777777772E-3</v>
      </c>
      <c r="C36" s="227">
        <f t="shared" si="4"/>
        <v>13.45</v>
      </c>
      <c r="D36" s="227">
        <f t="shared" si="0"/>
        <v>12.817948461512817</v>
      </c>
      <c r="E36" s="232">
        <f t="shared" si="6"/>
        <v>0.99990000000000001</v>
      </c>
      <c r="F36" s="232">
        <v>12.851124473391422</v>
      </c>
      <c r="G36" s="232">
        <v>13.45</v>
      </c>
      <c r="H36" s="233">
        <f t="shared" si="3"/>
        <v>2.5815649009779274E-3</v>
      </c>
      <c r="I36" s="220">
        <v>30</v>
      </c>
      <c r="J36" s="328">
        <f t="shared" si="5"/>
        <v>95.547393854211336</v>
      </c>
      <c r="K36" s="149">
        <f t="shared" si="2"/>
        <v>95.300732055857381</v>
      </c>
      <c r="L36" s="333">
        <v>9.3402777777777772E-3</v>
      </c>
      <c r="M36" s="330" t="s">
        <v>1444</v>
      </c>
      <c r="N36" s="330" t="s">
        <v>1445</v>
      </c>
      <c r="O36" s="330" t="s">
        <v>1381</v>
      </c>
      <c r="P36" s="388">
        <v>24165</v>
      </c>
      <c r="Q36" s="332"/>
      <c r="R36" s="330" t="s">
        <v>165</v>
      </c>
      <c r="S36" s="388">
        <v>35155</v>
      </c>
      <c r="T36" s="332"/>
    </row>
    <row r="37" spans="1:20">
      <c r="A37" s="220">
        <v>31</v>
      </c>
      <c r="B37" s="88">
        <v>9.2592592592592587E-3</v>
      </c>
      <c r="C37" s="227">
        <f t="shared" si="4"/>
        <v>13.333333333333332</v>
      </c>
      <c r="D37" s="227">
        <f t="shared" si="0"/>
        <v>12.833350021694869</v>
      </c>
      <c r="E37" s="232">
        <f t="shared" si="6"/>
        <v>0.99870000000000003</v>
      </c>
      <c r="F37" s="232">
        <v>12.863788373162482</v>
      </c>
      <c r="G37" s="232">
        <v>13.333333333333336</v>
      </c>
      <c r="H37" s="233">
        <f t="shared" si="3"/>
        <v>2.3662043081426609E-3</v>
      </c>
      <c r="I37" s="220">
        <v>31</v>
      </c>
      <c r="J37" s="328">
        <f t="shared" si="5"/>
        <v>96.478412798718622</v>
      </c>
      <c r="K37" s="149">
        <f t="shared" si="2"/>
        <v>96.250125162711527</v>
      </c>
      <c r="L37" s="333">
        <v>9.2592592592592587E-3</v>
      </c>
      <c r="M37" s="330" t="s">
        <v>1442</v>
      </c>
      <c r="N37" s="330" t="s">
        <v>1443</v>
      </c>
      <c r="O37" s="330" t="s">
        <v>155</v>
      </c>
      <c r="P37" s="388">
        <v>31410</v>
      </c>
      <c r="Q37" s="332"/>
      <c r="R37" s="330" t="s">
        <v>170</v>
      </c>
      <c r="S37" s="388">
        <v>42840</v>
      </c>
      <c r="T37" s="332"/>
    </row>
    <row r="38" spans="1:20">
      <c r="A38" s="220">
        <v>32</v>
      </c>
      <c r="B38" s="88">
        <v>9.3287037037037036E-3</v>
      </c>
      <c r="C38" s="227">
        <f t="shared" si="4"/>
        <v>13.433333333333334</v>
      </c>
      <c r="D38" s="227">
        <f t="shared" si="0"/>
        <v>12.864264445113587</v>
      </c>
      <c r="E38" s="232">
        <f t="shared" si="6"/>
        <v>0.99629999999999996</v>
      </c>
      <c r="F38" s="232">
        <v>12.890605407032151</v>
      </c>
      <c r="G38" s="232">
        <v>13.433333333333334</v>
      </c>
      <c r="H38" s="233">
        <f t="shared" si="3"/>
        <v>2.0434231819860113E-3</v>
      </c>
      <c r="I38" s="220">
        <v>32</v>
      </c>
      <c r="J38" s="328">
        <f t="shared" si="5"/>
        <v>95.959841739693431</v>
      </c>
      <c r="K38" s="149">
        <f t="shared" si="2"/>
        <v>95.763755174542837</v>
      </c>
      <c r="L38" s="333">
        <v>9.3287037037037036E-3</v>
      </c>
      <c r="M38" s="330" t="s">
        <v>224</v>
      </c>
      <c r="N38" s="330" t="s">
        <v>1446</v>
      </c>
      <c r="O38" s="330" t="s">
        <v>160</v>
      </c>
      <c r="P38" s="388">
        <v>25165</v>
      </c>
      <c r="Q38" s="332"/>
      <c r="R38" s="330" t="s">
        <v>1447</v>
      </c>
      <c r="S38" s="388">
        <v>37045</v>
      </c>
      <c r="T38" s="332"/>
    </row>
    <row r="39" spans="1:20">
      <c r="A39" s="220">
        <v>33</v>
      </c>
      <c r="B39" s="88">
        <v>9.3749999999999997E-3</v>
      </c>
      <c r="C39" s="227">
        <f t="shared" si="4"/>
        <v>13.5</v>
      </c>
      <c r="D39" s="227">
        <f t="shared" si="0"/>
        <v>12.913518052057094</v>
      </c>
      <c r="E39" s="232">
        <f t="shared" si="6"/>
        <v>0.99250000000000005</v>
      </c>
      <c r="F39" s="232">
        <v>12.931752925526061</v>
      </c>
      <c r="G39" s="232">
        <v>13.5</v>
      </c>
      <c r="H39" s="233">
        <f t="shared" si="3"/>
        <v>1.4100852045334246E-3</v>
      </c>
      <c r="I39" s="220">
        <v>33</v>
      </c>
      <c r="J39" s="328">
        <f t="shared" si="5"/>
        <v>95.790762411304158</v>
      </c>
      <c r="K39" s="149">
        <f t="shared" si="2"/>
        <v>95.655689274497007</v>
      </c>
      <c r="L39" s="333">
        <v>9.3749999999999997E-3</v>
      </c>
      <c r="M39" s="330" t="s">
        <v>1448</v>
      </c>
      <c r="N39" s="330" t="s">
        <v>1449</v>
      </c>
      <c r="O39" s="330" t="s">
        <v>155</v>
      </c>
      <c r="P39" s="388">
        <v>20732</v>
      </c>
      <c r="Q39" s="332" t="s">
        <v>164</v>
      </c>
      <c r="R39" s="330" t="s">
        <v>165</v>
      </c>
      <c r="S39" s="388">
        <v>32957</v>
      </c>
      <c r="T39" s="332"/>
    </row>
    <row r="40" spans="1:20">
      <c r="A40" s="220">
        <v>34</v>
      </c>
      <c r="B40" s="88">
        <v>9.2939814814814812E-3</v>
      </c>
      <c r="C40" s="227">
        <f t="shared" si="4"/>
        <v>13.383333333333333</v>
      </c>
      <c r="D40" s="227">
        <f t="shared" si="0"/>
        <v>12.978902953586497</v>
      </c>
      <c r="E40" s="232">
        <f t="shared" si="6"/>
        <v>0.98750000000000004</v>
      </c>
      <c r="F40" s="232">
        <v>12.987505211425972</v>
      </c>
      <c r="G40" s="232">
        <v>13.383333333333333</v>
      </c>
      <c r="H40" s="233">
        <f t="shared" si="3"/>
        <v>6.6234874977434395E-4</v>
      </c>
      <c r="I40" s="220">
        <v>34</v>
      </c>
      <c r="J40" s="328">
        <f t="shared" si="5"/>
        <v>97.042380160094453</v>
      </c>
      <c r="K40" s="149">
        <f t="shared" si="2"/>
        <v>96.978104260920276</v>
      </c>
      <c r="L40" s="333">
        <v>9.2939814814814812E-3</v>
      </c>
      <c r="M40" s="330" t="s">
        <v>224</v>
      </c>
      <c r="N40" s="330" t="s">
        <v>1446</v>
      </c>
      <c r="O40" s="330" t="s">
        <v>160</v>
      </c>
      <c r="P40" s="388">
        <v>25165</v>
      </c>
      <c r="Q40" s="332" t="s">
        <v>164</v>
      </c>
      <c r="R40" s="330" t="s">
        <v>165</v>
      </c>
      <c r="S40" s="388">
        <v>37724</v>
      </c>
      <c r="T40" s="332"/>
    </row>
    <row r="41" spans="1:20">
      <c r="A41" s="220">
        <v>35</v>
      </c>
      <c r="B41" s="88">
        <v>9.3634259259259261E-3</v>
      </c>
      <c r="C41" s="227">
        <f t="shared" si="4"/>
        <v>13.483333333333334</v>
      </c>
      <c r="D41" s="227">
        <f t="shared" si="0"/>
        <v>13.063568103829036</v>
      </c>
      <c r="E41" s="232">
        <f t="shared" si="6"/>
        <v>0.98109999999999997</v>
      </c>
      <c r="F41" s="232">
        <v>13.058238090550244</v>
      </c>
      <c r="G41" s="232">
        <v>13.483333333333334</v>
      </c>
      <c r="H41" s="233">
        <f t="shared" si="3"/>
        <v>-4.0817246873827893E-4</v>
      </c>
      <c r="I41" s="220">
        <v>35</v>
      </c>
      <c r="J41" s="328">
        <f t="shared" si="5"/>
        <v>96.84725407082999</v>
      </c>
      <c r="K41" s="149">
        <f t="shared" ref="K41:K72" si="7">100*D41/+C41</f>
        <v>96.886784453614595</v>
      </c>
      <c r="L41" s="333">
        <v>9.3634259259259261E-3</v>
      </c>
      <c r="M41" s="330" t="s">
        <v>1450</v>
      </c>
      <c r="N41" s="330" t="s">
        <v>1451</v>
      </c>
      <c r="O41" s="330" t="s">
        <v>160</v>
      </c>
      <c r="P41" s="388">
        <v>25314</v>
      </c>
      <c r="Q41" s="332"/>
      <c r="R41" s="330" t="s">
        <v>1379</v>
      </c>
      <c r="S41" s="388">
        <v>38115</v>
      </c>
      <c r="T41" s="332"/>
    </row>
    <row r="42" spans="1:20">
      <c r="A42" s="220">
        <v>36</v>
      </c>
      <c r="B42" s="88">
        <v>9.5370370370370366E-3</v>
      </c>
      <c r="C42" s="227">
        <f t="shared" si="4"/>
        <v>13.733333333333333</v>
      </c>
      <c r="D42" s="227">
        <f t="shared" ref="D42:D73" si="8">OC/E42</f>
        <v>13.157444478664067</v>
      </c>
      <c r="E42" s="232">
        <f t="shared" si="6"/>
        <v>0.97409999999999997</v>
      </c>
      <c r="F42" s="232">
        <v>13.14443535188216</v>
      </c>
      <c r="G42" s="232">
        <v>13.733333333333333</v>
      </c>
      <c r="H42" s="233">
        <f t="shared" si="3"/>
        <v>-9.8970601883201833E-4</v>
      </c>
      <c r="I42" s="220">
        <v>36</v>
      </c>
      <c r="J42" s="328">
        <f t="shared" si="5"/>
        <v>95.711907902054563</v>
      </c>
      <c r="K42" s="149">
        <f t="shared" si="7"/>
        <v>95.806634553379141</v>
      </c>
      <c r="L42" s="333">
        <v>9.5370370370370366E-3</v>
      </c>
      <c r="M42" s="330" t="s">
        <v>1452</v>
      </c>
      <c r="N42" s="330" t="s">
        <v>1453</v>
      </c>
      <c r="O42" s="330" t="s">
        <v>172</v>
      </c>
      <c r="P42" s="388">
        <v>19018</v>
      </c>
      <c r="Q42" s="332"/>
      <c r="R42" s="330" t="s">
        <v>1454</v>
      </c>
      <c r="S42" s="388">
        <v>32239</v>
      </c>
      <c r="T42" s="332"/>
    </row>
    <row r="43" spans="1:20">
      <c r="A43" s="220">
        <v>37</v>
      </c>
      <c r="B43" s="88">
        <v>9.5949074074074079E-3</v>
      </c>
      <c r="C43" s="227">
        <f t="shared" si="4"/>
        <v>13.816666666666668</v>
      </c>
      <c r="D43" s="227">
        <f t="shared" si="8"/>
        <v>13.252679833178231</v>
      </c>
      <c r="E43" s="232">
        <f t="shared" si="6"/>
        <v>0.96709999999999996</v>
      </c>
      <c r="F43" s="232">
        <v>13.239233463836801</v>
      </c>
      <c r="G43" s="232">
        <v>13.816666666666668</v>
      </c>
      <c r="H43" s="233">
        <f t="shared" si="3"/>
        <v>-1.0156456095558246E-3</v>
      </c>
      <c r="I43" s="220">
        <v>37</v>
      </c>
      <c r="J43" s="328">
        <f t="shared" ref="J43:J74" si="9">100*F43/+C43</f>
        <v>95.820748833559463</v>
      </c>
      <c r="K43" s="149">
        <f t="shared" si="7"/>
        <v>95.918068756416616</v>
      </c>
      <c r="L43" s="333">
        <v>9.5949074074074079E-3</v>
      </c>
      <c r="M43" s="330" t="s">
        <v>1455</v>
      </c>
      <c r="N43" s="330" t="s">
        <v>1456</v>
      </c>
      <c r="O43" s="330" t="s">
        <v>172</v>
      </c>
      <c r="P43" s="388">
        <v>21042</v>
      </c>
      <c r="Q43" s="332"/>
      <c r="R43" s="330" t="s">
        <v>173</v>
      </c>
      <c r="S43" s="388">
        <v>34812</v>
      </c>
      <c r="T43" s="332"/>
    </row>
    <row r="44" spans="1:20">
      <c r="A44" s="220">
        <v>38</v>
      </c>
      <c r="B44" s="88">
        <v>9.4560185185185181E-3</v>
      </c>
      <c r="C44" s="227">
        <f t="shared" si="4"/>
        <v>13.616666666666665</v>
      </c>
      <c r="D44" s="227">
        <f t="shared" si="8"/>
        <v>13.349303891955699</v>
      </c>
      <c r="E44" s="232">
        <f t="shared" si="6"/>
        <v>0.96009999999999995</v>
      </c>
      <c r="F44" s="232">
        <v>13.335408883354088</v>
      </c>
      <c r="G44" s="232">
        <v>13.616666666666665</v>
      </c>
      <c r="H44" s="233">
        <f t="shared" si="3"/>
        <v>-1.041963446576885E-3</v>
      </c>
      <c r="I44" s="220">
        <v>38</v>
      </c>
      <c r="J44" s="328">
        <f t="shared" si="9"/>
        <v>97.934459363677519</v>
      </c>
      <c r="K44" s="149">
        <f t="shared" si="7"/>
        <v>98.036503490494738</v>
      </c>
      <c r="L44" s="333">
        <v>9.4560185185185181E-3</v>
      </c>
      <c r="M44" s="330" t="s">
        <v>1457</v>
      </c>
      <c r="N44" s="330" t="s">
        <v>1458</v>
      </c>
      <c r="O44" s="330" t="s">
        <v>160</v>
      </c>
      <c r="P44" s="388">
        <v>17944</v>
      </c>
      <c r="Q44" s="332" t="s">
        <v>164</v>
      </c>
      <c r="R44" s="330" t="s">
        <v>165</v>
      </c>
      <c r="S44" s="388">
        <v>31984</v>
      </c>
      <c r="T44" s="332"/>
    </row>
    <row r="45" spans="1:20">
      <c r="A45" s="220">
        <v>39</v>
      </c>
      <c r="B45" s="88">
        <v>9.3981481481481485E-3</v>
      </c>
      <c r="C45" s="227">
        <f t="shared" si="4"/>
        <v>13.533333333333333</v>
      </c>
      <c r="D45" s="227">
        <f t="shared" si="8"/>
        <v>13.447347252824118</v>
      </c>
      <c r="E45" s="232">
        <f t="shared" si="6"/>
        <v>0.95309999999999995</v>
      </c>
      <c r="F45" s="232">
        <v>13.432991846121681</v>
      </c>
      <c r="G45" s="232">
        <v>13.533333333333333</v>
      </c>
      <c r="H45" s="233">
        <f t="shared" si="3"/>
        <v>-1.0686678639339616E-3</v>
      </c>
      <c r="I45" s="220">
        <v>39</v>
      </c>
      <c r="J45" s="328">
        <f t="shared" si="9"/>
        <v>99.258560439322764</v>
      </c>
      <c r="K45" s="149">
        <f t="shared" si="7"/>
        <v>99.364634873084611</v>
      </c>
      <c r="L45" s="333">
        <v>9.3981481481481485E-3</v>
      </c>
      <c r="M45" s="330" t="s">
        <v>1459</v>
      </c>
      <c r="N45" s="330" t="s">
        <v>1460</v>
      </c>
      <c r="O45" s="330" t="s">
        <v>155</v>
      </c>
      <c r="P45" s="388">
        <v>27375</v>
      </c>
      <c r="Q45" s="332"/>
      <c r="R45" s="330" t="s">
        <v>318</v>
      </c>
      <c r="S45" s="388">
        <v>41902</v>
      </c>
      <c r="T45" s="332"/>
    </row>
    <row r="46" spans="1:20">
      <c r="A46" s="220">
        <v>40</v>
      </c>
      <c r="B46" s="88">
        <v>9.4907407407407406E-3</v>
      </c>
      <c r="C46" s="227">
        <f t="shared" si="4"/>
        <v>13.666666666666666</v>
      </c>
      <c r="D46" s="227">
        <f t="shared" si="8"/>
        <v>13.546841419159355</v>
      </c>
      <c r="E46" s="232">
        <f t="shared" si="6"/>
        <v>0.94610000000000005</v>
      </c>
      <c r="F46" s="232">
        <v>13.53201347935973</v>
      </c>
      <c r="G46" s="232">
        <v>13.666666666666666</v>
      </c>
      <c r="H46" s="233">
        <f t="shared" si="3"/>
        <v>-1.0957674423131556E-3</v>
      </c>
      <c r="I46" s="220">
        <v>40</v>
      </c>
      <c r="J46" s="328">
        <f t="shared" si="9"/>
        <v>99.014732775802912</v>
      </c>
      <c r="K46" s="149">
        <f t="shared" si="7"/>
        <v>99.123229896287967</v>
      </c>
      <c r="L46" s="333">
        <v>9.4907407407407406E-3</v>
      </c>
      <c r="M46" s="330" t="s">
        <v>1459</v>
      </c>
      <c r="N46" s="330" t="s">
        <v>1460</v>
      </c>
      <c r="O46" s="330" t="s">
        <v>155</v>
      </c>
      <c r="P46" s="388">
        <v>27375</v>
      </c>
      <c r="Q46" s="332" t="s">
        <v>164</v>
      </c>
      <c r="R46" s="330" t="s">
        <v>165</v>
      </c>
      <c r="S46" s="388">
        <v>42092</v>
      </c>
      <c r="T46" s="332"/>
    </row>
    <row r="47" spans="1:20">
      <c r="A47" s="220">
        <v>41</v>
      </c>
      <c r="B47" s="88">
        <v>9.479166666666667E-3</v>
      </c>
      <c r="C47" s="227">
        <f t="shared" si="4"/>
        <v>13.65</v>
      </c>
      <c r="D47" s="227">
        <f t="shared" si="8"/>
        <v>13.647818833635039</v>
      </c>
      <c r="E47" s="232">
        <f t="shared" si="6"/>
        <v>0.93910000000000005</v>
      </c>
      <c r="F47" s="232">
        <v>13.632505834924675</v>
      </c>
      <c r="G47" s="232">
        <v>13.633333333333333</v>
      </c>
      <c r="H47" s="233">
        <f t="shared" si="3"/>
        <v>-1.1232710182403943E-3</v>
      </c>
      <c r="I47" s="220">
        <v>41</v>
      </c>
      <c r="J47" s="328">
        <f t="shared" si="9"/>
        <v>99.871837618495789</v>
      </c>
      <c r="K47" s="149">
        <f t="shared" si="7"/>
        <v>99.984020759231058</v>
      </c>
      <c r="L47" s="333">
        <v>9.479166666666667E-3</v>
      </c>
      <c r="M47" s="330" t="s">
        <v>1459</v>
      </c>
      <c r="N47" s="330" t="s">
        <v>1460</v>
      </c>
      <c r="O47" s="330" t="s">
        <v>155</v>
      </c>
      <c r="P47" s="388">
        <v>27375</v>
      </c>
      <c r="Q47" s="332" t="s">
        <v>164</v>
      </c>
      <c r="R47" s="330" t="s">
        <v>165</v>
      </c>
      <c r="S47" s="388">
        <v>42463</v>
      </c>
      <c r="T47" s="332"/>
    </row>
    <row r="48" spans="1:20">
      <c r="A48" s="220">
        <v>42</v>
      </c>
      <c r="B48" s="88">
        <v>9.6643518518518511E-3</v>
      </c>
      <c r="C48" s="227">
        <f t="shared" si="4"/>
        <v>13.916666666666666</v>
      </c>
      <c r="D48" s="227">
        <f t="shared" si="8"/>
        <v>13.750312913492829</v>
      </c>
      <c r="E48" s="232">
        <f t="shared" si="6"/>
        <v>0.93210000000000004</v>
      </c>
      <c r="F48" s="232">
        <v>13.734501923899103</v>
      </c>
      <c r="G48" s="232">
        <v>13.916666666666666</v>
      </c>
      <c r="H48" s="233">
        <f t="shared" si="3"/>
        <v>-1.1511876936879542E-3</v>
      </c>
      <c r="I48" s="220">
        <v>42</v>
      </c>
      <c r="J48" s="328">
        <f t="shared" si="9"/>
        <v>98.691031788496545</v>
      </c>
      <c r="K48" s="149">
        <f t="shared" si="7"/>
        <v>98.804643689768824</v>
      </c>
      <c r="L48" s="333">
        <v>9.6643518518518511E-3</v>
      </c>
      <c r="M48" s="330" t="s">
        <v>1450</v>
      </c>
      <c r="N48" s="330" t="s">
        <v>1461</v>
      </c>
      <c r="O48" s="330" t="s">
        <v>338</v>
      </c>
      <c r="P48" s="388">
        <v>17935</v>
      </c>
      <c r="Q48" s="332"/>
      <c r="R48" s="330" t="s">
        <v>1462</v>
      </c>
      <c r="S48" s="388">
        <v>33285</v>
      </c>
      <c r="T48" s="332"/>
    </row>
    <row r="49" spans="1:20">
      <c r="A49" s="220">
        <v>43</v>
      </c>
      <c r="B49" s="88">
        <v>9.7569444444444448E-3</v>
      </c>
      <c r="C49" s="227">
        <f t="shared" si="4"/>
        <v>14.05</v>
      </c>
      <c r="D49" s="227">
        <f t="shared" si="8"/>
        <v>13.854358087413972</v>
      </c>
      <c r="E49" s="232">
        <f t="shared" si="6"/>
        <v>0.92510000000000003</v>
      </c>
      <c r="F49" s="232">
        <v>13.83803575274607</v>
      </c>
      <c r="G49" s="232">
        <v>14.05</v>
      </c>
      <c r="H49" s="233">
        <f t="shared" si="3"/>
        <v>-1.1795268461178697E-3</v>
      </c>
      <c r="I49" s="220">
        <v>43</v>
      </c>
      <c r="J49" s="328">
        <f t="shared" si="9"/>
        <v>98.491357670790535</v>
      </c>
      <c r="K49" s="149">
        <f t="shared" si="7"/>
        <v>98.607530871273823</v>
      </c>
      <c r="L49" s="333">
        <v>9.7569444444444448E-3</v>
      </c>
      <c r="M49" s="330" t="s">
        <v>1463</v>
      </c>
      <c r="N49" s="330" t="s">
        <v>1464</v>
      </c>
      <c r="O49" s="330" t="s">
        <v>160</v>
      </c>
      <c r="P49" s="388">
        <v>22144</v>
      </c>
      <c r="Q49" s="332"/>
      <c r="R49" s="330" t="s">
        <v>177</v>
      </c>
      <c r="S49" s="388">
        <v>37871</v>
      </c>
      <c r="T49" s="332"/>
    </row>
    <row r="50" spans="1:20">
      <c r="A50" s="220">
        <v>44</v>
      </c>
      <c r="B50" s="88">
        <v>1.0115740740740741E-2</v>
      </c>
      <c r="C50" s="227">
        <f t="shared" si="4"/>
        <v>14.566666666666666</v>
      </c>
      <c r="D50" s="227">
        <f t="shared" si="8"/>
        <v>13.959989834077623</v>
      </c>
      <c r="E50" s="232">
        <f t="shared" si="6"/>
        <v>0.91810000000000003</v>
      </c>
      <c r="F50" s="232">
        <v>13.943142361111111</v>
      </c>
      <c r="G50" s="232">
        <v>14.566666666666666</v>
      </c>
      <c r="H50" s="233">
        <f t="shared" si="3"/>
        <v>-1.2082981389834925E-3</v>
      </c>
      <c r="I50" s="220">
        <v>44</v>
      </c>
      <c r="J50" s="328">
        <f t="shared" si="9"/>
        <v>95.719512776506477</v>
      </c>
      <c r="K50" s="149">
        <f t="shared" si="7"/>
        <v>95.83517048565875</v>
      </c>
      <c r="L50" s="333">
        <v>1.0115740740740741E-2</v>
      </c>
      <c r="M50" s="330" t="s">
        <v>1448</v>
      </c>
      <c r="N50" s="330" t="s">
        <v>1465</v>
      </c>
      <c r="O50" s="330" t="s">
        <v>155</v>
      </c>
      <c r="P50" s="388">
        <v>18587</v>
      </c>
      <c r="Q50" s="332"/>
      <c r="R50" s="330" t="s">
        <v>249</v>
      </c>
      <c r="S50" s="388">
        <v>35015</v>
      </c>
      <c r="T50" s="332"/>
    </row>
    <row r="51" spans="1:20">
      <c r="A51" s="220">
        <v>45</v>
      </c>
      <c r="B51" s="88">
        <v>1.005787037037037E-2</v>
      </c>
      <c r="C51" s="227">
        <f t="shared" si="4"/>
        <v>14.483333333333333</v>
      </c>
      <c r="D51" s="227">
        <f t="shared" si="8"/>
        <v>14.067244722496616</v>
      </c>
      <c r="E51" s="232">
        <f t="shared" si="6"/>
        <v>0.91110000000000002</v>
      </c>
      <c r="F51" s="232">
        <v>14.049857861360158</v>
      </c>
      <c r="G51" s="232">
        <v>14.483333333333333</v>
      </c>
      <c r="H51" s="233">
        <f t="shared" si="3"/>
        <v>-1.2375115327163213E-3</v>
      </c>
      <c r="I51" s="220">
        <v>45</v>
      </c>
      <c r="J51" s="328">
        <f t="shared" si="9"/>
        <v>97.007073841381995</v>
      </c>
      <c r="K51" s="149">
        <f t="shared" si="7"/>
        <v>97.127121214015773</v>
      </c>
      <c r="L51" s="333">
        <v>1.005787037037037E-2</v>
      </c>
      <c r="M51" s="330" t="s">
        <v>1466</v>
      </c>
      <c r="N51" s="330" t="s">
        <v>1467</v>
      </c>
      <c r="O51" s="330" t="s">
        <v>155</v>
      </c>
      <c r="P51" s="388">
        <v>26375</v>
      </c>
      <c r="Q51" s="332" t="s">
        <v>1468</v>
      </c>
      <c r="R51" s="330" t="s">
        <v>216</v>
      </c>
      <c r="S51" s="388">
        <v>43009</v>
      </c>
      <c r="T51" s="332"/>
    </row>
    <row r="52" spans="1:20">
      <c r="A52" s="220">
        <v>46</v>
      </c>
      <c r="B52" s="88">
        <v>1.0300925925925925E-2</v>
      </c>
      <c r="C52" s="227">
        <f t="shared" si="4"/>
        <v>14.833333333333332</v>
      </c>
      <c r="D52" s="227">
        <f t="shared" si="8"/>
        <v>14.176160454227039</v>
      </c>
      <c r="E52" s="232">
        <f t="shared" si="6"/>
        <v>0.90410000000000001</v>
      </c>
      <c r="F52" s="232">
        <v>14.158219479947114</v>
      </c>
      <c r="G52" s="232">
        <v>14.833333333333334</v>
      </c>
      <c r="H52" s="233">
        <f t="shared" si="3"/>
        <v>-1.2671772962225957E-3</v>
      </c>
      <c r="I52" s="220">
        <v>46</v>
      </c>
      <c r="J52" s="328">
        <f t="shared" si="9"/>
        <v>95.448670651328854</v>
      </c>
      <c r="K52" s="149">
        <f t="shared" si="7"/>
        <v>95.569621039732866</v>
      </c>
      <c r="L52" s="333">
        <v>1.0300925925925925E-2</v>
      </c>
      <c r="M52" s="330" t="s">
        <v>1469</v>
      </c>
      <c r="N52" s="330" t="s">
        <v>1470</v>
      </c>
      <c r="O52" s="330" t="s">
        <v>155</v>
      </c>
      <c r="P52" s="388">
        <v>22451</v>
      </c>
      <c r="Q52" s="332" t="s">
        <v>164</v>
      </c>
      <c r="R52" s="330" t="s">
        <v>165</v>
      </c>
      <c r="S52" s="388">
        <v>39544</v>
      </c>
      <c r="T52" s="332"/>
    </row>
    <row r="53" spans="1:20">
      <c r="A53" s="220">
        <v>47</v>
      </c>
      <c r="B53" s="88">
        <v>1.0243055555555556E-2</v>
      </c>
      <c r="C53" s="227">
        <f t="shared" si="4"/>
        <v>14.75</v>
      </c>
      <c r="D53" s="227">
        <f t="shared" si="8"/>
        <v>14.28677590755397</v>
      </c>
      <c r="E53" s="232">
        <f t="shared" si="6"/>
        <v>0.89710000000000001</v>
      </c>
      <c r="F53" s="232">
        <v>14.268265600710636</v>
      </c>
      <c r="G53" s="232">
        <v>14.75</v>
      </c>
      <c r="H53" s="233">
        <f t="shared" si="3"/>
        <v>-1.2973060189187932E-3</v>
      </c>
      <c r="I53" s="220">
        <v>47</v>
      </c>
      <c r="J53" s="328">
        <f t="shared" si="9"/>
        <v>96.734004072614482</v>
      </c>
      <c r="K53" s="149">
        <f t="shared" si="7"/>
        <v>96.859497678332005</v>
      </c>
      <c r="L53" s="333">
        <v>1.0243055555555556E-2</v>
      </c>
      <c r="M53" s="330" t="s">
        <v>1471</v>
      </c>
      <c r="N53" s="330" t="s">
        <v>1472</v>
      </c>
      <c r="O53" s="330" t="s">
        <v>155</v>
      </c>
      <c r="P53" s="388">
        <v>22822</v>
      </c>
      <c r="Q53" s="332" t="s">
        <v>164</v>
      </c>
      <c r="R53" s="330" t="s">
        <v>165</v>
      </c>
      <c r="S53" s="388">
        <v>40279</v>
      </c>
      <c r="T53" s="332"/>
    </row>
    <row r="54" spans="1:20">
      <c r="A54" s="220">
        <v>48</v>
      </c>
      <c r="B54" s="88">
        <v>1.03125E-2</v>
      </c>
      <c r="C54" s="227">
        <f t="shared" si="4"/>
        <v>14.850000000000001</v>
      </c>
      <c r="D54" s="227">
        <f t="shared" si="8"/>
        <v>14.399131183762124</v>
      </c>
      <c r="E54" s="232">
        <f t="shared" si="6"/>
        <v>0.8901</v>
      </c>
      <c r="F54" s="232">
        <v>14.380035810205909</v>
      </c>
      <c r="G54" s="232">
        <v>14.850000000000001</v>
      </c>
      <c r="H54" s="233">
        <f t="shared" si="3"/>
        <v>-1.3279086233333899E-3</v>
      </c>
      <c r="I54" s="220">
        <v>48</v>
      </c>
      <c r="J54" s="328">
        <f t="shared" si="9"/>
        <v>96.835257981184569</v>
      </c>
      <c r="K54" s="149">
        <f t="shared" si="7"/>
        <v>96.96384635530049</v>
      </c>
      <c r="L54" s="333">
        <v>1.03125E-2</v>
      </c>
      <c r="M54" s="330" t="s">
        <v>215</v>
      </c>
      <c r="N54" s="330" t="s">
        <v>1473</v>
      </c>
      <c r="O54" s="330" t="s">
        <v>1176</v>
      </c>
      <c r="P54" s="388">
        <v>19418</v>
      </c>
      <c r="Q54" s="332"/>
      <c r="R54" s="330" t="s">
        <v>328</v>
      </c>
      <c r="S54" s="388">
        <v>37034</v>
      </c>
      <c r="T54" s="332"/>
    </row>
    <row r="55" spans="1:20">
      <c r="A55" s="220">
        <v>49</v>
      </c>
      <c r="B55" s="88">
        <v>1.037037037037037E-2</v>
      </c>
      <c r="C55" s="227">
        <f t="shared" si="4"/>
        <v>14.933333333333334</v>
      </c>
      <c r="D55" s="227">
        <f t="shared" si="8"/>
        <v>14.513267655607141</v>
      </c>
      <c r="E55" s="232">
        <f t="shared" si="6"/>
        <v>0.8831</v>
      </c>
      <c r="F55" s="232">
        <v>14.493570945183848</v>
      </c>
      <c r="G55" s="232">
        <v>14.933333333333334</v>
      </c>
      <c r="H55" s="233">
        <f t="shared" si="3"/>
        <v>-1.3589963783106449E-3</v>
      </c>
      <c r="I55" s="220">
        <v>49</v>
      </c>
      <c r="J55" s="328">
        <f t="shared" si="9"/>
        <v>97.055162579356107</v>
      </c>
      <c r="K55" s="149">
        <f t="shared" si="7"/>
        <v>97.187060193797819</v>
      </c>
      <c r="L55" s="333">
        <v>1.037037037037037E-2</v>
      </c>
      <c r="M55" s="330" t="s">
        <v>215</v>
      </c>
      <c r="N55" s="330" t="s">
        <v>1473</v>
      </c>
      <c r="O55" s="330" t="s">
        <v>1176</v>
      </c>
      <c r="P55" s="388">
        <v>19418</v>
      </c>
      <c r="Q55" s="332"/>
      <c r="R55" s="330" t="s">
        <v>1474</v>
      </c>
      <c r="S55" s="388">
        <v>37455</v>
      </c>
      <c r="T55" s="332"/>
    </row>
    <row r="56" spans="1:20">
      <c r="A56" s="220">
        <v>50</v>
      </c>
      <c r="B56" s="88">
        <v>1.0416666666666666E-2</v>
      </c>
      <c r="C56" s="227">
        <f t="shared" si="4"/>
        <v>15</v>
      </c>
      <c r="D56" s="227">
        <f t="shared" si="8"/>
        <v>14.629228018110565</v>
      </c>
      <c r="E56" s="232">
        <f t="shared" si="6"/>
        <v>0.87609999999999999</v>
      </c>
      <c r="F56" s="232">
        <v>14.608913142337427</v>
      </c>
      <c r="G56" s="232">
        <v>15</v>
      </c>
      <c r="H56" s="233">
        <f t="shared" si="3"/>
        <v>-1.3905809128445551E-3</v>
      </c>
      <c r="I56" s="220">
        <v>50</v>
      </c>
      <c r="J56" s="328">
        <f t="shared" si="9"/>
        <v>97.392754282249513</v>
      </c>
      <c r="K56" s="149">
        <f t="shared" si="7"/>
        <v>97.528186787403754</v>
      </c>
      <c r="L56" s="333">
        <v>1.0416666666666666E-2</v>
      </c>
      <c r="M56" s="330" t="s">
        <v>215</v>
      </c>
      <c r="N56" s="330" t="s">
        <v>1473</v>
      </c>
      <c r="O56" s="330" t="s">
        <v>1176</v>
      </c>
      <c r="P56" s="388">
        <v>19418</v>
      </c>
      <c r="Q56" s="332"/>
      <c r="R56" s="330" t="s">
        <v>328</v>
      </c>
      <c r="S56" s="388">
        <v>37825</v>
      </c>
      <c r="T56" s="332"/>
    </row>
    <row r="57" spans="1:20">
      <c r="A57" s="220">
        <v>51</v>
      </c>
      <c r="B57" s="88">
        <v>1.0474537037037037E-2</v>
      </c>
      <c r="C57" s="227">
        <f t="shared" si="4"/>
        <v>15.083333333333334</v>
      </c>
      <c r="D57" s="227">
        <f t="shared" si="8"/>
        <v>14.747056341809534</v>
      </c>
      <c r="E57" s="232">
        <f t="shared" si="6"/>
        <v>0.86909999999999998</v>
      </c>
      <c r="F57" s="232">
        <v>14.726105890442355</v>
      </c>
      <c r="G57" s="232">
        <v>15.083333333333334</v>
      </c>
      <c r="H57" s="233">
        <f t="shared" si="3"/>
        <v>-1.4226742305837028E-3</v>
      </c>
      <c r="I57" s="220">
        <v>51</v>
      </c>
      <c r="J57" s="328">
        <f t="shared" si="9"/>
        <v>97.631641262601235</v>
      </c>
      <c r="K57" s="149">
        <f t="shared" si="7"/>
        <v>97.770539282715134</v>
      </c>
      <c r="L57" s="333">
        <v>1.0474537037037037E-2</v>
      </c>
      <c r="M57" s="334" t="s">
        <v>1469</v>
      </c>
      <c r="N57" s="335" t="s">
        <v>1470</v>
      </c>
      <c r="O57" s="330" t="s">
        <v>155</v>
      </c>
      <c r="P57" s="388">
        <v>22451</v>
      </c>
      <c r="Q57" s="335" t="s">
        <v>1475</v>
      </c>
      <c r="R57" s="335" t="s">
        <v>1476</v>
      </c>
      <c r="S57" s="388">
        <v>41048</v>
      </c>
      <c r="T57" s="336"/>
    </row>
    <row r="58" spans="1:20">
      <c r="A58" s="220">
        <v>52</v>
      </c>
      <c r="B58" s="88">
        <v>1.0763888888888889E-2</v>
      </c>
      <c r="C58" s="227">
        <f t="shared" si="4"/>
        <v>15.5</v>
      </c>
      <c r="D58" s="227">
        <f t="shared" si="8"/>
        <v>14.866798128600704</v>
      </c>
      <c r="E58" s="232">
        <f t="shared" si="6"/>
        <v>0.86209999999999998</v>
      </c>
      <c r="F58" s="232">
        <v>14.845194085027725</v>
      </c>
      <c r="G58" s="232">
        <v>15.500000000000002</v>
      </c>
      <c r="H58" s="233">
        <f t="shared" si="3"/>
        <v>-1.4552887250405726E-3</v>
      </c>
      <c r="I58" s="220">
        <v>52</v>
      </c>
      <c r="J58" s="328">
        <f t="shared" si="9"/>
        <v>95.775445709856285</v>
      </c>
      <c r="K58" s="149">
        <f t="shared" si="7"/>
        <v>95.914826636133569</v>
      </c>
      <c r="L58" s="333">
        <v>1.0763888888888889E-2</v>
      </c>
      <c r="M58" s="330" t="s">
        <v>1477</v>
      </c>
      <c r="N58" s="330" t="s">
        <v>1478</v>
      </c>
      <c r="O58" s="330" t="s">
        <v>172</v>
      </c>
      <c r="P58" s="388">
        <v>22994</v>
      </c>
      <c r="Q58" s="332"/>
      <c r="R58" s="330" t="s">
        <v>1479</v>
      </c>
      <c r="S58" s="388">
        <v>42112</v>
      </c>
      <c r="T58" s="332"/>
    </row>
    <row r="59" spans="1:20">
      <c r="A59" s="220">
        <v>53</v>
      </c>
      <c r="B59" s="88">
        <v>1.0532407407407407E-2</v>
      </c>
      <c r="C59" s="227">
        <f t="shared" si="4"/>
        <v>15.166666666666666</v>
      </c>
      <c r="D59" s="227">
        <f t="shared" si="8"/>
        <v>14.988500370327058</v>
      </c>
      <c r="E59" s="232">
        <f t="shared" si="6"/>
        <v>0.85509999999999997</v>
      </c>
      <c r="F59" s="232">
        <v>14.96622408572094</v>
      </c>
      <c r="G59" s="232">
        <v>15.166666666666666</v>
      </c>
      <c r="H59" s="233">
        <f t="shared" si="3"/>
        <v>-1.4884371955496412E-3</v>
      </c>
      <c r="I59" s="220">
        <v>53</v>
      </c>
      <c r="J59" s="328">
        <f t="shared" si="9"/>
        <v>98.678400565193016</v>
      </c>
      <c r="K59" s="149">
        <f t="shared" si="7"/>
        <v>98.825277166991597</v>
      </c>
      <c r="L59" s="333">
        <v>1.0532407407407407E-2</v>
      </c>
      <c r="M59" s="330" t="s">
        <v>215</v>
      </c>
      <c r="N59" s="330" t="s">
        <v>1473</v>
      </c>
      <c r="O59" s="330" t="s">
        <v>1176</v>
      </c>
      <c r="P59" s="388">
        <v>19418</v>
      </c>
      <c r="Q59" s="332"/>
      <c r="R59" s="330" t="s">
        <v>1474</v>
      </c>
      <c r="S59" s="388">
        <v>38918</v>
      </c>
      <c r="T59" s="332"/>
    </row>
    <row r="60" spans="1:20">
      <c r="A60" s="220">
        <v>54</v>
      </c>
      <c r="B60" s="88">
        <v>1.0590277777777778E-2</v>
      </c>
      <c r="C60" s="227">
        <f t="shared" si="4"/>
        <v>15.25</v>
      </c>
      <c r="D60" s="227">
        <f t="shared" si="8"/>
        <v>15.112211610266085</v>
      </c>
      <c r="E60" s="232">
        <f t="shared" si="6"/>
        <v>0.84809999999999997</v>
      </c>
      <c r="F60" s="232">
        <v>15.089243776420854</v>
      </c>
      <c r="G60" s="232">
        <v>15.249999999999998</v>
      </c>
      <c r="H60" s="233">
        <f t="shared" si="3"/>
        <v>-1.5221328640154382E-3</v>
      </c>
      <c r="I60" s="220">
        <v>54</v>
      </c>
      <c r="J60" s="328">
        <f t="shared" si="9"/>
        <v>98.945860828989197</v>
      </c>
      <c r="K60" s="149">
        <f t="shared" si="7"/>
        <v>99.096469575515314</v>
      </c>
      <c r="L60" s="333">
        <v>1.0590277777777778E-2</v>
      </c>
      <c r="M60" s="330" t="s">
        <v>215</v>
      </c>
      <c r="N60" s="330" t="s">
        <v>1473</v>
      </c>
      <c r="O60" s="330" t="s">
        <v>1176</v>
      </c>
      <c r="P60" s="388">
        <v>19418</v>
      </c>
      <c r="Q60" s="332"/>
      <c r="R60" s="330" t="s">
        <v>1474</v>
      </c>
      <c r="S60" s="388">
        <v>39282</v>
      </c>
      <c r="T60" s="332"/>
    </row>
    <row r="61" spans="1:20">
      <c r="A61" s="220">
        <v>55</v>
      </c>
      <c r="B61" s="88">
        <v>1.0775462962962962E-2</v>
      </c>
      <c r="C61" s="227">
        <f t="shared" si="4"/>
        <v>15.516666666666666</v>
      </c>
      <c r="D61" s="227">
        <f t="shared" si="8"/>
        <v>15.237982007688345</v>
      </c>
      <c r="E61" s="232">
        <f t="shared" si="6"/>
        <v>0.84109999999999996</v>
      </c>
      <c r="F61" s="232">
        <v>15.214302628463177</v>
      </c>
      <c r="G61" s="232">
        <v>15.516666666666667</v>
      </c>
      <c r="H61" s="233">
        <f t="shared" si="3"/>
        <v>-1.5563893924962671E-3</v>
      </c>
      <c r="I61" s="220">
        <v>55</v>
      </c>
      <c r="J61" s="328">
        <f t="shared" si="9"/>
        <v>98.051359581932402</v>
      </c>
      <c r="K61" s="149">
        <f t="shared" si="7"/>
        <v>98.203965677905558</v>
      </c>
      <c r="L61" s="333">
        <v>1.0775462962962962E-2</v>
      </c>
      <c r="M61" s="330" t="s">
        <v>215</v>
      </c>
      <c r="N61" s="330" t="s">
        <v>1473</v>
      </c>
      <c r="O61" s="330" t="s">
        <v>1176</v>
      </c>
      <c r="P61" s="388">
        <v>19418</v>
      </c>
      <c r="Q61" s="332"/>
      <c r="R61" s="330" t="s">
        <v>1474</v>
      </c>
      <c r="S61" s="388">
        <v>39646</v>
      </c>
      <c r="T61" s="332"/>
    </row>
    <row r="62" spans="1:20">
      <c r="A62" s="220">
        <v>56</v>
      </c>
      <c r="B62" s="88">
        <v>1.1076388888888889E-2</v>
      </c>
      <c r="C62" s="227">
        <f t="shared" si="4"/>
        <v>15.950000000000001</v>
      </c>
      <c r="D62" s="227">
        <f t="shared" si="8"/>
        <v>15.365863405666786</v>
      </c>
      <c r="E62" s="232">
        <f t="shared" si="6"/>
        <v>0.83409999999999995</v>
      </c>
      <c r="F62" s="232">
        <v>15.341451766953199</v>
      </c>
      <c r="G62" s="232">
        <v>15.949999999999998</v>
      </c>
      <c r="H62" s="233">
        <f t="shared" si="3"/>
        <v>-1.5912209016732235E-3</v>
      </c>
      <c r="I62" s="220">
        <v>56</v>
      </c>
      <c r="J62" s="328">
        <f t="shared" si="9"/>
        <v>96.184650576509071</v>
      </c>
      <c r="K62" s="149">
        <f t="shared" si="7"/>
        <v>96.337701602926558</v>
      </c>
      <c r="L62" s="333">
        <v>1.1076388888888889E-2</v>
      </c>
      <c r="M62" s="330" t="s">
        <v>1480</v>
      </c>
      <c r="N62" s="330" t="s">
        <v>1481</v>
      </c>
      <c r="O62" s="330" t="s">
        <v>209</v>
      </c>
      <c r="P62" s="388">
        <v>15675</v>
      </c>
      <c r="Q62" s="332"/>
      <c r="R62" s="330" t="s">
        <v>1482</v>
      </c>
      <c r="S62" s="388">
        <v>36334</v>
      </c>
      <c r="T62" s="332"/>
    </row>
    <row r="63" spans="1:20">
      <c r="A63" s="220">
        <v>57</v>
      </c>
      <c r="B63" s="88">
        <v>1.136574074074074E-2</v>
      </c>
      <c r="C63" s="227">
        <f t="shared" si="4"/>
        <v>16.366666666666667</v>
      </c>
      <c r="D63" s="227">
        <f t="shared" si="8"/>
        <v>15.495909402329424</v>
      </c>
      <c r="E63" s="232">
        <f t="shared" si="6"/>
        <v>0.82709999999999995</v>
      </c>
      <c r="F63" s="232">
        <v>15.470744040452685</v>
      </c>
      <c r="G63" s="232">
        <v>16.366666666666667</v>
      </c>
      <c r="H63" s="233">
        <f t="shared" si="3"/>
        <v>-1.6266419902583567E-3</v>
      </c>
      <c r="I63" s="220">
        <v>57</v>
      </c>
      <c r="J63" s="328">
        <f t="shared" si="9"/>
        <v>94.52593100072923</v>
      </c>
      <c r="K63" s="149">
        <f t="shared" si="7"/>
        <v>94.679690849263281</v>
      </c>
      <c r="L63" s="333">
        <v>1.136574074074074E-2</v>
      </c>
      <c r="M63" s="330" t="s">
        <v>1483</v>
      </c>
      <c r="N63" s="330" t="s">
        <v>1484</v>
      </c>
      <c r="O63" s="330" t="s">
        <v>155</v>
      </c>
      <c r="P63" s="388">
        <v>20690</v>
      </c>
      <c r="Q63" s="332" t="s">
        <v>1468</v>
      </c>
      <c r="R63" s="330" t="s">
        <v>216</v>
      </c>
      <c r="S63" s="388">
        <v>41553</v>
      </c>
      <c r="T63" s="332"/>
    </row>
    <row r="64" spans="1:20">
      <c r="A64" s="220">
        <v>58</v>
      </c>
      <c r="B64" s="88">
        <v>1.1608796296296296E-2</v>
      </c>
      <c r="C64" s="227">
        <f t="shared" si="4"/>
        <v>16.716666666666665</v>
      </c>
      <c r="D64" s="227">
        <f t="shared" si="8"/>
        <v>15.628175425761086</v>
      </c>
      <c r="E64" s="232">
        <f t="shared" si="6"/>
        <v>0.82010000000000005</v>
      </c>
      <c r="F64" s="232">
        <v>15.602234094220496</v>
      </c>
      <c r="G64" s="232">
        <v>16.716666666666665</v>
      </c>
      <c r="H64" s="233">
        <f t="shared" si="3"/>
        <v>-1.6626677553953303E-3</v>
      </c>
      <c r="I64" s="220">
        <v>58</v>
      </c>
      <c r="J64" s="328">
        <f t="shared" si="9"/>
        <v>93.333404352266186</v>
      </c>
      <c r="K64" s="149">
        <f t="shared" si="7"/>
        <v>93.488586794183973</v>
      </c>
      <c r="L64" s="333">
        <v>1.1608796296296296E-2</v>
      </c>
      <c r="M64" s="330" t="s">
        <v>1485</v>
      </c>
      <c r="N64" s="330" t="s">
        <v>1486</v>
      </c>
      <c r="O64" s="330" t="s">
        <v>172</v>
      </c>
      <c r="P64" s="388">
        <v>21219</v>
      </c>
      <c r="Q64" s="332"/>
      <c r="R64" s="330" t="s">
        <v>1487</v>
      </c>
      <c r="S64" s="388">
        <v>42609</v>
      </c>
      <c r="T64" s="332"/>
    </row>
    <row r="65" spans="1:20">
      <c r="A65" s="220">
        <v>59</v>
      </c>
      <c r="B65" s="88">
        <v>1.1354166666666667E-2</v>
      </c>
      <c r="C65" s="227">
        <f t="shared" si="4"/>
        <v>16.350000000000001</v>
      </c>
      <c r="D65" s="227">
        <f t="shared" si="8"/>
        <v>15.762718812774155</v>
      </c>
      <c r="E65" s="232">
        <f t="shared" ref="E65:E96" si="10">ROUND(1-IF(A65&lt;I$3,0,IF(A65&lt;I$4,G$3*(A65-I$3)^2,G$2+G$4*(A65-I$4)+(A65&gt;I$5)*G$5*(A65-I$5)^2)),4)</f>
        <v>0.81310000000000004</v>
      </c>
      <c r="F65" s="232">
        <v>15.73597844722018</v>
      </c>
      <c r="G65" s="232">
        <v>16.350000000000001</v>
      </c>
      <c r="H65" s="233">
        <f t="shared" si="3"/>
        <v>-1.6993138141148535E-3</v>
      </c>
      <c r="I65" s="220">
        <v>59</v>
      </c>
      <c r="J65" s="328">
        <f t="shared" si="9"/>
        <v>96.244516496759502</v>
      </c>
      <c r="K65" s="149">
        <f t="shared" si="7"/>
        <v>96.408066133175254</v>
      </c>
      <c r="L65" s="333">
        <v>1.1354166666666667E-2</v>
      </c>
      <c r="M65" s="334" t="s">
        <v>1488</v>
      </c>
      <c r="N65" s="335" t="s">
        <v>470</v>
      </c>
      <c r="O65" s="330" t="s">
        <v>155</v>
      </c>
      <c r="P65" s="388">
        <v>14487</v>
      </c>
      <c r="Q65" s="335" t="s">
        <v>1489</v>
      </c>
      <c r="R65" s="335" t="s">
        <v>1490</v>
      </c>
      <c r="S65" s="412">
        <v>36050</v>
      </c>
      <c r="T65" s="335"/>
    </row>
    <row r="66" spans="1:20">
      <c r="A66" s="220">
        <v>60</v>
      </c>
      <c r="B66" s="88">
        <v>1.1203703703703704E-2</v>
      </c>
      <c r="C66" s="227">
        <f t="shared" si="4"/>
        <v>16.133333333333333</v>
      </c>
      <c r="D66" s="227">
        <f t="shared" si="8"/>
        <v>15.899598891783484</v>
      </c>
      <c r="E66" s="232">
        <f t="shared" si="10"/>
        <v>0.80610000000000004</v>
      </c>
      <c r="F66" s="232">
        <v>15.872035573122529</v>
      </c>
      <c r="G66" s="232">
        <v>16.133333333333333</v>
      </c>
      <c r="H66" s="233">
        <f t="shared" si="3"/>
        <v>-1.7365963259072838E-3</v>
      </c>
      <c r="I66" s="220">
        <v>60</v>
      </c>
      <c r="J66" s="328">
        <f t="shared" si="9"/>
        <v>98.380385783817331</v>
      </c>
      <c r="K66" s="149">
        <f t="shared" si="7"/>
        <v>98.551232800310856</v>
      </c>
      <c r="L66" s="333">
        <v>1.1203703703703704E-2</v>
      </c>
      <c r="M66" s="330" t="s">
        <v>215</v>
      </c>
      <c r="N66" s="330" t="s">
        <v>1473</v>
      </c>
      <c r="O66" s="330" t="s">
        <v>1176</v>
      </c>
      <c r="P66" s="388">
        <v>19418</v>
      </c>
      <c r="Q66" s="332"/>
      <c r="R66" s="330" t="s">
        <v>1491</v>
      </c>
      <c r="S66" s="388">
        <v>41506</v>
      </c>
      <c r="T66" s="332"/>
    </row>
    <row r="67" spans="1:20">
      <c r="A67" s="220">
        <v>61</v>
      </c>
      <c r="B67" s="88">
        <v>1.1180555555555555E-2</v>
      </c>
      <c r="C67" s="227">
        <f t="shared" si="4"/>
        <v>16.099999999999998</v>
      </c>
      <c r="D67" s="227">
        <f t="shared" si="8"/>
        <v>16.038877070037124</v>
      </c>
      <c r="E67" s="232">
        <f t="shared" si="10"/>
        <v>0.79910000000000003</v>
      </c>
      <c r="F67" s="232">
        <v>16.010465985546972</v>
      </c>
      <c r="G67" s="232">
        <v>16.100000000000001</v>
      </c>
      <c r="H67" s="233">
        <f t="shared" si="3"/>
        <v>-1.7745320164821755E-3</v>
      </c>
      <c r="I67" s="220">
        <v>61</v>
      </c>
      <c r="J67" s="328">
        <f t="shared" si="9"/>
        <v>99.443888108987409</v>
      </c>
      <c r="K67" s="149">
        <f t="shared" si="7"/>
        <v>99.620354472280283</v>
      </c>
      <c r="L67" s="333">
        <v>1.1180555555555555E-2</v>
      </c>
      <c r="M67" s="330" t="s">
        <v>215</v>
      </c>
      <c r="N67" s="330" t="s">
        <v>1473</v>
      </c>
      <c r="O67" s="330" t="s">
        <v>1176</v>
      </c>
      <c r="P67" s="388">
        <v>19418</v>
      </c>
      <c r="Q67" s="332"/>
      <c r="R67" s="330" t="s">
        <v>328</v>
      </c>
      <c r="S67" s="388">
        <v>41857</v>
      </c>
      <c r="T67" s="332"/>
    </row>
    <row r="68" spans="1:20">
      <c r="A68" s="220">
        <v>62</v>
      </c>
      <c r="B68" s="88">
        <v>1.1400462962962963E-2</v>
      </c>
      <c r="C68" s="227">
        <f t="shared" si="4"/>
        <v>16.416666666666668</v>
      </c>
      <c r="D68" s="227">
        <f t="shared" si="8"/>
        <v>16.180616925472371</v>
      </c>
      <c r="E68" s="232">
        <f t="shared" si="10"/>
        <v>0.79210000000000003</v>
      </c>
      <c r="F68" s="232">
        <v>16.151332327802916</v>
      </c>
      <c r="G68" s="232">
        <v>16.416666666666668</v>
      </c>
      <c r="H68" s="233">
        <f t="shared" si="3"/>
        <v>-1.813138202787473E-3</v>
      </c>
      <c r="I68" s="220">
        <v>62</v>
      </c>
      <c r="J68" s="328">
        <f t="shared" si="9"/>
        <v>98.383750220119282</v>
      </c>
      <c r="K68" s="149">
        <f t="shared" si="7"/>
        <v>98.562133556176875</v>
      </c>
      <c r="L68" s="333">
        <v>1.1400462962962963E-2</v>
      </c>
      <c r="M68" s="330" t="s">
        <v>215</v>
      </c>
      <c r="N68" s="330" t="s">
        <v>1473</v>
      </c>
      <c r="O68" s="330" t="s">
        <v>1176</v>
      </c>
      <c r="P68" s="388">
        <v>19418</v>
      </c>
      <c r="Q68" s="332"/>
      <c r="R68" s="330" t="s">
        <v>328</v>
      </c>
      <c r="S68" s="388">
        <v>42144</v>
      </c>
      <c r="T68" s="332"/>
    </row>
    <row r="69" spans="1:20">
      <c r="A69" s="220">
        <v>63</v>
      </c>
      <c r="B69" s="88">
        <v>1.1423611111111112E-2</v>
      </c>
      <c r="C69" s="227">
        <f t="shared" si="4"/>
        <v>16.45</v>
      </c>
      <c r="D69" s="227">
        <f t="shared" si="8"/>
        <v>16.324884303485756</v>
      </c>
      <c r="E69" s="232">
        <f t="shared" si="10"/>
        <v>0.78510000000000002</v>
      </c>
      <c r="F69" s="232">
        <v>16.294699467410602</v>
      </c>
      <c r="G69" s="232">
        <v>16.45</v>
      </c>
      <c r="H69" s="233">
        <f t="shared" si="3"/>
        <v>-1.8524328193670512E-3</v>
      </c>
      <c r="I69" s="220">
        <v>63</v>
      </c>
      <c r="J69" s="328">
        <f t="shared" si="9"/>
        <v>99.055923814046224</v>
      </c>
      <c r="K69" s="149">
        <f t="shared" si="7"/>
        <v>99.239418258272067</v>
      </c>
      <c r="L69" s="333">
        <v>1.1423611111111112E-2</v>
      </c>
      <c r="M69" s="330" t="s">
        <v>215</v>
      </c>
      <c r="N69" s="330" t="s">
        <v>1473</v>
      </c>
      <c r="O69" s="330" t="s">
        <v>1176</v>
      </c>
      <c r="P69" s="388">
        <v>19418</v>
      </c>
      <c r="Q69" s="332"/>
      <c r="R69" s="330" t="s">
        <v>328</v>
      </c>
      <c r="S69" s="388">
        <v>42543</v>
      </c>
      <c r="T69" s="332"/>
    </row>
    <row r="70" spans="1:20">
      <c r="A70" s="220">
        <v>64</v>
      </c>
      <c r="B70" s="88">
        <v>1.2002314814814815E-2</v>
      </c>
      <c r="C70" s="227">
        <f t="shared" si="4"/>
        <v>17.283333333333331</v>
      </c>
      <c r="D70" s="227">
        <f t="shared" si="8"/>
        <v>16.471747418926444</v>
      </c>
      <c r="E70" s="232">
        <f t="shared" si="10"/>
        <v>0.77810000000000001</v>
      </c>
      <c r="F70" s="232">
        <v>16.440634595701127</v>
      </c>
      <c r="G70" s="232">
        <v>17.283333333333331</v>
      </c>
      <c r="H70" s="233">
        <f t="shared" si="3"/>
        <v>-1.8924344461407124E-3</v>
      </c>
      <c r="I70" s="220">
        <v>64</v>
      </c>
      <c r="J70" s="328">
        <f t="shared" si="9"/>
        <v>95.124211739832944</v>
      </c>
      <c r="K70" s="149">
        <f t="shared" si="7"/>
        <v>95.304228074791396</v>
      </c>
      <c r="L70" s="333">
        <v>1.2002314814814815E-2</v>
      </c>
      <c r="M70" s="330" t="s">
        <v>1492</v>
      </c>
      <c r="N70" s="330" t="s">
        <v>1493</v>
      </c>
      <c r="O70" s="330" t="s">
        <v>155</v>
      </c>
      <c r="P70" s="388">
        <v>18818</v>
      </c>
      <c r="Q70" s="332" t="s">
        <v>1494</v>
      </c>
      <c r="R70" s="330" t="s">
        <v>1495</v>
      </c>
      <c r="S70" s="388">
        <v>42555</v>
      </c>
      <c r="T70" s="332"/>
    </row>
    <row r="71" spans="1:20">
      <c r="A71" s="220">
        <v>65</v>
      </c>
      <c r="B71" s="88">
        <v>1.2083333333333333E-2</v>
      </c>
      <c r="C71" s="227">
        <f t="shared" si="4"/>
        <v>17.399999999999999</v>
      </c>
      <c r="D71" s="227">
        <f t="shared" si="8"/>
        <v>16.621276963645009</v>
      </c>
      <c r="E71" s="232">
        <f t="shared" si="10"/>
        <v>0.77110000000000001</v>
      </c>
      <c r="F71" s="232">
        <v>16.589207332816937</v>
      </c>
      <c r="G71" s="232">
        <v>17.399999999999999</v>
      </c>
      <c r="H71" s="233">
        <f t="shared" si="3"/>
        <v>-1.9331623376984313E-3</v>
      </c>
      <c r="I71" s="220">
        <v>65</v>
      </c>
      <c r="J71" s="328">
        <f t="shared" si="9"/>
        <v>95.340272027683554</v>
      </c>
      <c r="K71" s="149">
        <f t="shared" si="7"/>
        <v>95.524580250833395</v>
      </c>
      <c r="L71" s="333">
        <v>1.2083333333333333E-2</v>
      </c>
      <c r="M71" s="330" t="s">
        <v>1496</v>
      </c>
      <c r="N71" s="330" t="s">
        <v>1497</v>
      </c>
      <c r="O71" s="330" t="s">
        <v>225</v>
      </c>
      <c r="P71" s="388">
        <v>11388</v>
      </c>
      <c r="Q71" s="332"/>
      <c r="R71" s="330" t="s">
        <v>1177</v>
      </c>
      <c r="S71" s="388">
        <v>35307</v>
      </c>
      <c r="T71" s="332"/>
    </row>
    <row r="72" spans="1:20">
      <c r="A72" s="220">
        <v>66</v>
      </c>
      <c r="B72" s="88">
        <v>1.2083333333333333E-2</v>
      </c>
      <c r="C72" s="227">
        <f t="shared" si="4"/>
        <v>17.399999999999999</v>
      </c>
      <c r="D72" s="227">
        <f t="shared" si="8"/>
        <v>16.773546219953758</v>
      </c>
      <c r="E72" s="232">
        <f t="shared" si="10"/>
        <v>0.7641</v>
      </c>
      <c r="F72" s="232">
        <v>16.740489838457528</v>
      </c>
      <c r="G72" s="232">
        <v>17.399999999999999</v>
      </c>
      <c r="H72" s="233">
        <f t="shared" si="3"/>
        <v>-1.9746364542028347E-3</v>
      </c>
      <c r="I72" s="220">
        <v>66</v>
      </c>
      <c r="J72" s="328">
        <f t="shared" si="9"/>
        <v>96.209711715273144</v>
      </c>
      <c r="K72" s="149">
        <f t="shared" si="7"/>
        <v>96.399690919274477</v>
      </c>
      <c r="L72" s="333">
        <v>1.2083333333333333E-2</v>
      </c>
      <c r="M72" s="330" t="s">
        <v>1496</v>
      </c>
      <c r="N72" s="330" t="s">
        <v>1497</v>
      </c>
      <c r="O72" s="330" t="s">
        <v>225</v>
      </c>
      <c r="P72" s="388">
        <v>11388</v>
      </c>
      <c r="Q72" s="332"/>
      <c r="R72" s="330" t="s">
        <v>1177</v>
      </c>
      <c r="S72" s="388">
        <v>35671</v>
      </c>
      <c r="T72" s="332"/>
    </row>
    <row r="73" spans="1:20">
      <c r="A73" s="220">
        <v>67</v>
      </c>
      <c r="B73" s="88">
        <v>1.1805555555555555E-2</v>
      </c>
      <c r="C73" s="227">
        <f t="shared" si="4"/>
        <v>17</v>
      </c>
      <c r="D73" s="227">
        <f t="shared" si="8"/>
        <v>16.928631180381281</v>
      </c>
      <c r="E73" s="232">
        <f t="shared" si="10"/>
        <v>0.7571</v>
      </c>
      <c r="F73" s="232">
        <v>16.894556928740467</v>
      </c>
      <c r="G73" s="232">
        <v>17.383333333333333</v>
      </c>
      <c r="H73" s="233">
        <f t="shared" si="3"/>
        <v>-2.0168774940079936E-3</v>
      </c>
      <c r="I73" s="220">
        <v>67</v>
      </c>
      <c r="J73" s="328">
        <f t="shared" si="9"/>
        <v>99.379746639649809</v>
      </c>
      <c r="K73" s="149">
        <f t="shared" ref="K73:K98" si="11">100*D73/+C73</f>
        <v>99.580183414007536</v>
      </c>
      <c r="L73" s="333">
        <v>1.1805555555555555E-2</v>
      </c>
      <c r="M73" s="330" t="s">
        <v>1498</v>
      </c>
      <c r="N73" s="330" t="s">
        <v>1499</v>
      </c>
      <c r="O73" s="330" t="s">
        <v>155</v>
      </c>
      <c r="P73" s="388">
        <v>20318</v>
      </c>
      <c r="Q73" s="332"/>
      <c r="R73" s="330"/>
      <c r="S73" s="388">
        <v>44889</v>
      </c>
      <c r="T73" s="332"/>
    </row>
    <row r="74" spans="1:20">
      <c r="A74" s="220">
        <v>68</v>
      </c>
      <c r="B74" s="88">
        <v>1.2256944444444445E-2</v>
      </c>
      <c r="C74" s="227">
        <f t="shared" si="4"/>
        <v>17.650000000000002</v>
      </c>
      <c r="D74" s="227">
        <f t="shared" ref="D74:D105" si="12">OC/E74</f>
        <v>17.088888888888889</v>
      </c>
      <c r="E74" s="232">
        <f t="shared" si="10"/>
        <v>0.75</v>
      </c>
      <c r="F74" s="232">
        <v>17.058208980981092</v>
      </c>
      <c r="G74" s="232">
        <v>17.649999999999999</v>
      </c>
      <c r="H74" s="233">
        <f t="shared" ref="H74:H106" si="13">((F74-D74)/F74)</f>
        <v>-1.7985421530479831E-3</v>
      </c>
      <c r="I74" s="220">
        <v>68</v>
      </c>
      <c r="J74" s="328">
        <f t="shared" si="9"/>
        <v>96.647076379496255</v>
      </c>
      <c r="K74" s="149">
        <f t="shared" si="11"/>
        <v>96.820900220333641</v>
      </c>
      <c r="L74" s="333">
        <v>1.2256944444444445E-2</v>
      </c>
      <c r="M74" s="330" t="s">
        <v>1496</v>
      </c>
      <c r="N74" s="330" t="s">
        <v>1497</v>
      </c>
      <c r="O74" s="330" t="s">
        <v>225</v>
      </c>
      <c r="P74" s="388">
        <v>11388</v>
      </c>
      <c r="Q74" s="332"/>
      <c r="R74" s="330" t="s">
        <v>1177</v>
      </c>
      <c r="S74" s="388">
        <v>36406</v>
      </c>
      <c r="T74" s="332"/>
    </row>
    <row r="75" spans="1:20">
      <c r="A75" s="220">
        <v>69</v>
      </c>
      <c r="B75" s="88">
        <v>1.2199074074074074E-2</v>
      </c>
      <c r="C75" s="227">
        <f t="shared" ref="C75:C100" si="14">B75*1440</f>
        <v>17.566666666666666</v>
      </c>
      <c r="D75" s="227">
        <f t="shared" si="12"/>
        <v>17.268481092248273</v>
      </c>
      <c r="E75" s="232">
        <f t="shared" si="10"/>
        <v>0.74219999999999997</v>
      </c>
      <c r="F75" s="232">
        <v>17.238788750382341</v>
      </c>
      <c r="G75" s="232">
        <v>17.566666666666663</v>
      </c>
      <c r="H75" s="233">
        <f t="shared" si="13"/>
        <v>-1.722414625289337E-3</v>
      </c>
      <c r="I75" s="220">
        <v>69</v>
      </c>
      <c r="J75" s="328">
        <f t="shared" ref="J75:J98" si="15">100*F75/+C75</f>
        <v>98.133522298191693</v>
      </c>
      <c r="K75" s="149">
        <f t="shared" si="11"/>
        <v>98.302548912229256</v>
      </c>
      <c r="L75" s="333">
        <v>1.2199074074074074E-2</v>
      </c>
      <c r="M75" s="330" t="s">
        <v>1496</v>
      </c>
      <c r="N75" s="330" t="s">
        <v>1497</v>
      </c>
      <c r="O75" s="330" t="s">
        <v>225</v>
      </c>
      <c r="P75" s="388">
        <v>11388</v>
      </c>
      <c r="Q75" s="332"/>
      <c r="R75" s="330" t="s">
        <v>1377</v>
      </c>
      <c r="S75" s="388">
        <v>36729</v>
      </c>
      <c r="T75" s="332"/>
    </row>
    <row r="76" spans="1:20">
      <c r="A76" s="220">
        <v>70</v>
      </c>
      <c r="B76" s="88">
        <v>1.2511574074074074E-2</v>
      </c>
      <c r="C76" s="227">
        <f t="shared" si="14"/>
        <v>18.016666666666666</v>
      </c>
      <c r="D76" s="227">
        <f t="shared" si="12"/>
        <v>17.463777989735206</v>
      </c>
      <c r="E76" s="232">
        <f t="shared" si="10"/>
        <v>0.7339</v>
      </c>
      <c r="F76" s="232">
        <v>17.43727669090697</v>
      </c>
      <c r="G76" s="232">
        <v>18.016666666666666</v>
      </c>
      <c r="H76" s="233">
        <f t="shared" si="13"/>
        <v>-1.5198072094627104E-3</v>
      </c>
      <c r="I76" s="220">
        <v>70</v>
      </c>
      <c r="J76" s="328">
        <f t="shared" si="15"/>
        <v>96.78414444536709</v>
      </c>
      <c r="K76" s="149">
        <f t="shared" si="11"/>
        <v>96.931237685856843</v>
      </c>
      <c r="L76" s="333">
        <v>1.2511574074074074E-2</v>
      </c>
      <c r="M76" s="330" t="s">
        <v>1500</v>
      </c>
      <c r="N76" s="330" t="s">
        <v>1501</v>
      </c>
      <c r="O76" s="330" t="s">
        <v>155</v>
      </c>
      <c r="P76" s="388">
        <v>7482</v>
      </c>
      <c r="Q76" s="335" t="s">
        <v>228</v>
      </c>
      <c r="R76" s="335" t="s">
        <v>229</v>
      </c>
      <c r="S76" s="412">
        <v>33146</v>
      </c>
      <c r="T76" s="332"/>
    </row>
    <row r="77" spans="1:20">
      <c r="A77" s="220">
        <v>71</v>
      </c>
      <c r="B77" s="88">
        <v>1.2986111111111111E-2</v>
      </c>
      <c r="C77" s="227">
        <f t="shared" si="14"/>
        <v>18.7</v>
      </c>
      <c r="D77" s="227">
        <f t="shared" si="12"/>
        <v>17.678160919540229</v>
      </c>
      <c r="E77" s="232">
        <f t="shared" si="10"/>
        <v>0.72499999999999998</v>
      </c>
      <c r="F77" s="232">
        <v>17.654785065013574</v>
      </c>
      <c r="G77" s="232">
        <v>18.7</v>
      </c>
      <c r="H77" s="233">
        <f t="shared" si="13"/>
        <v>-1.3240520595733114E-3</v>
      </c>
      <c r="I77" s="220">
        <v>71</v>
      </c>
      <c r="J77" s="328">
        <f t="shared" si="15"/>
        <v>94.410615320928201</v>
      </c>
      <c r="K77" s="149">
        <f t="shared" si="11"/>
        <v>94.535619890589459</v>
      </c>
      <c r="L77" s="333">
        <v>1.2986111111111111E-2</v>
      </c>
      <c r="M77" s="330" t="s">
        <v>1500</v>
      </c>
      <c r="N77" s="330" t="s">
        <v>1501</v>
      </c>
      <c r="O77" s="330" t="s">
        <v>155</v>
      </c>
      <c r="P77" s="388">
        <v>7482</v>
      </c>
      <c r="Q77" s="335" t="s">
        <v>232</v>
      </c>
      <c r="R77" s="335" t="s">
        <v>233</v>
      </c>
      <c r="S77" s="412">
        <v>33740</v>
      </c>
      <c r="T77" s="335"/>
    </row>
    <row r="78" spans="1:20">
      <c r="A78" s="220">
        <v>72</v>
      </c>
      <c r="B78" s="88">
        <v>1.2870370370370371E-2</v>
      </c>
      <c r="C78" s="227">
        <f t="shared" si="14"/>
        <v>18.533333333333335</v>
      </c>
      <c r="D78" s="227">
        <f t="shared" si="12"/>
        <v>17.912881434894011</v>
      </c>
      <c r="E78" s="232">
        <f t="shared" si="10"/>
        <v>0.71550000000000002</v>
      </c>
      <c r="F78" s="232">
        <v>17.892574929508825</v>
      </c>
      <c r="G78" s="232">
        <v>18.533333333333335</v>
      </c>
      <c r="H78" s="233">
        <f t="shared" si="13"/>
        <v>-1.1349124128409223E-3</v>
      </c>
      <c r="I78" s="220">
        <v>72</v>
      </c>
      <c r="J78" s="328">
        <f t="shared" si="15"/>
        <v>96.542670482961285</v>
      </c>
      <c r="K78" s="149">
        <f t="shared" si="11"/>
        <v>96.652237958061207</v>
      </c>
      <c r="L78" s="333">
        <v>1.2870370370370371E-2</v>
      </c>
      <c r="M78" s="330" t="s">
        <v>1496</v>
      </c>
      <c r="N78" s="330" t="s">
        <v>1497</v>
      </c>
      <c r="O78" s="330" t="s">
        <v>225</v>
      </c>
      <c r="P78" s="388">
        <v>11388</v>
      </c>
      <c r="Q78" s="332"/>
      <c r="R78" s="330" t="s">
        <v>1177</v>
      </c>
      <c r="S78" s="388">
        <v>37862</v>
      </c>
      <c r="T78" s="332"/>
    </row>
    <row r="79" spans="1:20">
      <c r="A79" s="220">
        <v>73</v>
      </c>
      <c r="B79" s="88">
        <v>1.275462962962963E-2</v>
      </c>
      <c r="C79" s="227">
        <f t="shared" si="14"/>
        <v>18.366666666666667</v>
      </c>
      <c r="D79" s="227">
        <f t="shared" si="12"/>
        <v>18.169360173896607</v>
      </c>
      <c r="E79" s="232">
        <f t="shared" si="10"/>
        <v>0.70540000000000003</v>
      </c>
      <c r="F79" s="232">
        <v>18.152076258496866</v>
      </c>
      <c r="G79" s="232">
        <v>18.366666666666667</v>
      </c>
      <c r="H79" s="233">
        <f t="shared" si="13"/>
        <v>-9.521729169493958E-4</v>
      </c>
      <c r="I79" s="220">
        <v>73</v>
      </c>
      <c r="J79" s="328">
        <f t="shared" si="15"/>
        <v>98.831631171489278</v>
      </c>
      <c r="K79" s="149">
        <f t="shared" si="11"/>
        <v>98.925735974028711</v>
      </c>
      <c r="L79" s="333">
        <v>1.275462962962963E-2</v>
      </c>
      <c r="M79" s="330" t="s">
        <v>1496</v>
      </c>
      <c r="N79" s="330" t="s">
        <v>1497</v>
      </c>
      <c r="O79" s="330" t="s">
        <v>225</v>
      </c>
      <c r="P79" s="388">
        <v>11388</v>
      </c>
      <c r="Q79" s="332"/>
      <c r="R79" s="330" t="s">
        <v>1377</v>
      </c>
      <c r="S79" s="388">
        <v>38184</v>
      </c>
      <c r="T79" s="332"/>
    </row>
    <row r="80" spans="1:20">
      <c r="A80" s="220">
        <v>74</v>
      </c>
      <c r="B80" s="88">
        <v>1.3263888888888889E-2</v>
      </c>
      <c r="C80" s="227">
        <f t="shared" si="14"/>
        <v>19.100000000000001</v>
      </c>
      <c r="D80" s="227">
        <f t="shared" si="12"/>
        <v>18.451866781840867</v>
      </c>
      <c r="E80" s="232">
        <f t="shared" si="10"/>
        <v>0.6946</v>
      </c>
      <c r="F80" s="232">
        <v>18.434911849559644</v>
      </c>
      <c r="G80" s="232">
        <v>19.100000000000001</v>
      </c>
      <c r="H80" s="233">
        <f t="shared" si="13"/>
        <v>-9.1971865228246408E-4</v>
      </c>
      <c r="I80" s="220">
        <v>74</v>
      </c>
      <c r="J80" s="328">
        <f t="shared" si="15"/>
        <v>96.517863086699705</v>
      </c>
      <c r="K80" s="149">
        <f t="shared" si="11"/>
        <v>96.606632365658982</v>
      </c>
      <c r="L80" s="333">
        <v>1.3263888888888889E-2</v>
      </c>
      <c r="M80" s="330" t="s">
        <v>1496</v>
      </c>
      <c r="N80" s="330" t="s">
        <v>1497</v>
      </c>
      <c r="O80" s="330" t="s">
        <v>225</v>
      </c>
      <c r="P80" s="388">
        <v>11388</v>
      </c>
      <c r="Q80" s="332"/>
      <c r="R80" s="330" t="s">
        <v>1377</v>
      </c>
      <c r="S80" s="388">
        <v>38548</v>
      </c>
      <c r="T80" s="332"/>
    </row>
    <row r="81" spans="1:20">
      <c r="A81" s="220">
        <v>75</v>
      </c>
      <c r="B81" s="88">
        <v>1.3020833333333334E-2</v>
      </c>
      <c r="C81" s="227">
        <f t="shared" si="14"/>
        <v>18.75</v>
      </c>
      <c r="D81" s="227">
        <f t="shared" si="12"/>
        <v>18.757012537196935</v>
      </c>
      <c r="E81" s="232">
        <f t="shared" si="10"/>
        <v>0.68330000000000002</v>
      </c>
      <c r="F81" s="232">
        <v>18.74292582177155</v>
      </c>
      <c r="G81" s="232">
        <v>18.75</v>
      </c>
      <c r="H81" s="233">
        <f t="shared" si="13"/>
        <v>-7.5157505073313936E-4</v>
      </c>
      <c r="I81" s="220">
        <v>75</v>
      </c>
      <c r="J81" s="328">
        <f t="shared" si="15"/>
        <v>99.962271049448276</v>
      </c>
      <c r="K81" s="149">
        <f t="shared" si="11"/>
        <v>100.03740019838365</v>
      </c>
      <c r="L81" s="333">
        <v>1.3020833333333334E-2</v>
      </c>
      <c r="M81" s="330" t="s">
        <v>1496</v>
      </c>
      <c r="N81" s="330" t="s">
        <v>1497</v>
      </c>
      <c r="O81" s="330" t="s">
        <v>225</v>
      </c>
      <c r="P81" s="388">
        <v>11388</v>
      </c>
      <c r="Q81" s="332"/>
      <c r="R81" s="330" t="s">
        <v>1377</v>
      </c>
      <c r="S81" s="388">
        <v>38912</v>
      </c>
      <c r="T81" s="332"/>
    </row>
    <row r="82" spans="1:20">
      <c r="A82" s="220">
        <v>76</v>
      </c>
      <c r="B82" s="88">
        <v>1.3657407407407408E-2</v>
      </c>
      <c r="C82" s="227">
        <f t="shared" si="14"/>
        <v>19.666666666666668</v>
      </c>
      <c r="D82" s="227">
        <f t="shared" si="12"/>
        <v>19.089464799920563</v>
      </c>
      <c r="E82" s="232">
        <f t="shared" si="10"/>
        <v>0.6714</v>
      </c>
      <c r="F82" s="232">
        <v>19.078217723293093</v>
      </c>
      <c r="G82" s="232">
        <v>19.666666666666668</v>
      </c>
      <c r="H82" s="233">
        <f t="shared" si="13"/>
        <v>-5.8952449283236033E-4</v>
      </c>
      <c r="I82" s="220">
        <v>76</v>
      </c>
      <c r="J82" s="328">
        <f t="shared" si="15"/>
        <v>97.007886728608952</v>
      </c>
      <c r="K82" s="149">
        <f t="shared" si="11"/>
        <v>97.065075253833371</v>
      </c>
      <c r="L82" s="333">
        <v>1.3657407407407408E-2</v>
      </c>
      <c r="M82" s="330" t="s">
        <v>1500</v>
      </c>
      <c r="N82" s="330" t="s">
        <v>1501</v>
      </c>
      <c r="O82" s="330" t="s">
        <v>155</v>
      </c>
      <c r="P82" s="388">
        <v>7482</v>
      </c>
      <c r="Q82" s="335" t="s">
        <v>1502</v>
      </c>
      <c r="R82" s="335" t="s">
        <v>1503</v>
      </c>
      <c r="S82" s="412">
        <v>35343</v>
      </c>
      <c r="T82" s="335"/>
    </row>
    <row r="83" spans="1:20">
      <c r="A83" s="220">
        <v>77</v>
      </c>
      <c r="B83" s="88">
        <v>1.3923611111111111E-2</v>
      </c>
      <c r="C83" s="227">
        <f t="shared" si="14"/>
        <v>20.05</v>
      </c>
      <c r="D83" s="227">
        <f t="shared" si="12"/>
        <v>19.451611271310767</v>
      </c>
      <c r="E83" s="232">
        <f t="shared" si="10"/>
        <v>0.65890000000000004</v>
      </c>
      <c r="F83" s="232">
        <v>19.443183537600241</v>
      </c>
      <c r="G83" s="232">
        <v>20.05</v>
      </c>
      <c r="H83" s="233">
        <f t="shared" si="13"/>
        <v>-4.3345441317407238E-4</v>
      </c>
      <c r="I83" s="220">
        <v>77</v>
      </c>
      <c r="J83" s="328">
        <f t="shared" si="15"/>
        <v>96.973483978056066</v>
      </c>
      <c r="K83" s="149">
        <f t="shared" si="11"/>
        <v>97.015517562647219</v>
      </c>
      <c r="L83" s="333">
        <v>1.3923611111111111E-2</v>
      </c>
      <c r="M83" s="330" t="s">
        <v>1500</v>
      </c>
      <c r="N83" s="330" t="s">
        <v>1501</v>
      </c>
      <c r="O83" s="330" t="s">
        <v>155</v>
      </c>
      <c r="P83" s="388">
        <v>7482</v>
      </c>
      <c r="Q83" s="332"/>
      <c r="R83" s="330" t="s">
        <v>361</v>
      </c>
      <c r="S83" s="388">
        <v>35631</v>
      </c>
      <c r="T83" s="332"/>
    </row>
    <row r="84" spans="1:20">
      <c r="A84" s="220">
        <v>78</v>
      </c>
      <c r="B84" s="88">
        <v>1.5196759259259259E-2</v>
      </c>
      <c r="C84" s="227">
        <f t="shared" si="14"/>
        <v>21.883333333333333</v>
      </c>
      <c r="D84" s="227">
        <f t="shared" si="12"/>
        <v>19.846185609579848</v>
      </c>
      <c r="E84" s="232">
        <f t="shared" si="10"/>
        <v>0.64580000000000004</v>
      </c>
      <c r="F84" s="232">
        <v>19.840565232227249</v>
      </c>
      <c r="G84" s="232">
        <v>21.883333333333333</v>
      </c>
      <c r="H84" s="233">
        <f t="shared" si="13"/>
        <v>-2.8327707839039321E-4</v>
      </c>
      <c r="I84" s="220">
        <v>78</v>
      </c>
      <c r="J84" s="328">
        <f t="shared" si="15"/>
        <v>90.66518765678866</v>
      </c>
      <c r="K84" s="149">
        <f t="shared" si="11"/>
        <v>90.690871026259771</v>
      </c>
      <c r="L84" s="333">
        <v>1.5196759259259259E-2</v>
      </c>
      <c r="M84" s="334" t="s">
        <v>1504</v>
      </c>
      <c r="N84" s="335" t="s">
        <v>1505</v>
      </c>
      <c r="O84" s="330" t="s">
        <v>155</v>
      </c>
      <c r="P84" s="388"/>
      <c r="Q84" s="332"/>
      <c r="R84" s="330" t="s">
        <v>1506</v>
      </c>
      <c r="S84" s="412">
        <v>34798</v>
      </c>
      <c r="T84" s="335"/>
    </row>
    <row r="85" spans="1:20">
      <c r="A85" s="220">
        <v>79</v>
      </c>
      <c r="B85" s="88">
        <v>1.5497685185185186E-2</v>
      </c>
      <c r="C85" s="227">
        <f t="shared" si="14"/>
        <v>22.316666666666666</v>
      </c>
      <c r="D85" s="227">
        <f t="shared" si="12"/>
        <v>20.279535864978904</v>
      </c>
      <c r="E85" s="232">
        <f t="shared" si="10"/>
        <v>0.63200000000000001</v>
      </c>
      <c r="F85" s="232">
        <v>20.273510961895262</v>
      </c>
      <c r="G85" s="232">
        <v>22.316666666666666</v>
      </c>
      <c r="H85" s="233">
        <f t="shared" si="13"/>
        <v>-2.9718104056893161E-4</v>
      </c>
      <c r="I85" s="220">
        <v>79</v>
      </c>
      <c r="J85" s="328">
        <f t="shared" si="15"/>
        <v>90.844709313944421</v>
      </c>
      <c r="K85" s="149">
        <f t="shared" si="11"/>
        <v>90.871706639188517</v>
      </c>
      <c r="L85" s="333">
        <v>1.5497685185185186E-2</v>
      </c>
      <c r="M85" s="334" t="s">
        <v>1507</v>
      </c>
      <c r="N85" s="335" t="s">
        <v>166</v>
      </c>
      <c r="O85" s="330" t="s">
        <v>155</v>
      </c>
      <c r="P85" s="388">
        <v>12119</v>
      </c>
      <c r="Q85" s="335" t="s">
        <v>1508</v>
      </c>
      <c r="R85" s="335" t="s">
        <v>235</v>
      </c>
      <c r="S85" s="412">
        <v>40663</v>
      </c>
      <c r="T85" s="337"/>
    </row>
    <row r="86" spans="1:20">
      <c r="A86" s="220">
        <v>80</v>
      </c>
      <c r="B86" s="88">
        <v>1.5439814814814814E-2</v>
      </c>
      <c r="C86" s="227">
        <f t="shared" si="14"/>
        <v>22.233333333333331</v>
      </c>
      <c r="D86" s="227">
        <f t="shared" si="12"/>
        <v>20.74901516377961</v>
      </c>
      <c r="E86" s="232">
        <f t="shared" si="10"/>
        <v>0.61770000000000003</v>
      </c>
      <c r="F86" s="232">
        <v>20.745648660735185</v>
      </c>
      <c r="G86" s="232">
        <v>22.233333333333334</v>
      </c>
      <c r="H86" s="233">
        <f t="shared" si="13"/>
        <v>-1.6227514017419623E-4</v>
      </c>
      <c r="I86" s="220">
        <v>80</v>
      </c>
      <c r="J86" s="328">
        <f t="shared" si="15"/>
        <v>93.308764591012846</v>
      </c>
      <c r="K86" s="149">
        <f t="shared" si="11"/>
        <v>93.323906283866322</v>
      </c>
      <c r="L86" s="333">
        <v>1.5439814814814814E-2</v>
      </c>
      <c r="M86" s="330" t="s">
        <v>1500</v>
      </c>
      <c r="N86" s="330" t="s">
        <v>1501</v>
      </c>
      <c r="O86" s="330" t="s">
        <v>155</v>
      </c>
      <c r="P86" s="388">
        <v>7482</v>
      </c>
      <c r="Q86" s="335" t="s">
        <v>1509</v>
      </c>
      <c r="R86" s="335" t="s">
        <v>1510</v>
      </c>
      <c r="S86" s="412">
        <v>36702</v>
      </c>
      <c r="T86" s="332"/>
    </row>
    <row r="87" spans="1:20">
      <c r="A87" s="220">
        <v>81</v>
      </c>
      <c r="B87" s="88">
        <v>1.5266203703703704E-2</v>
      </c>
      <c r="C87" s="227">
        <f t="shared" si="14"/>
        <v>21.983333333333334</v>
      </c>
      <c r="D87" s="227">
        <f t="shared" si="12"/>
        <v>21.26188896261889</v>
      </c>
      <c r="E87" s="232">
        <f t="shared" si="10"/>
        <v>0.6028</v>
      </c>
      <c r="F87" s="232">
        <v>21.261176595167342</v>
      </c>
      <c r="G87" s="232">
        <v>21.983333333333334</v>
      </c>
      <c r="H87" s="233">
        <f t="shared" si="13"/>
        <v>-3.3505551696996239E-5</v>
      </c>
      <c r="I87" s="220">
        <v>81</v>
      </c>
      <c r="J87" s="328">
        <f t="shared" si="15"/>
        <v>96.71498072100384</v>
      </c>
      <c r="K87" s="149">
        <f t="shared" si="11"/>
        <v>96.718221209790258</v>
      </c>
      <c r="L87" s="333">
        <v>1.5266203703703704E-2</v>
      </c>
      <c r="M87" s="330" t="s">
        <v>1500</v>
      </c>
      <c r="N87" s="330" t="s">
        <v>1501</v>
      </c>
      <c r="O87" s="330" t="s">
        <v>155</v>
      </c>
      <c r="P87" s="388">
        <v>7482</v>
      </c>
      <c r="Q87" s="335" t="s">
        <v>1511</v>
      </c>
      <c r="R87" s="335" t="s">
        <v>1512</v>
      </c>
      <c r="S87" s="412">
        <v>37149</v>
      </c>
      <c r="T87" s="332"/>
    </row>
    <row r="88" spans="1:20">
      <c r="A88" s="220">
        <v>82</v>
      </c>
      <c r="B88" s="88">
        <v>1.6597222222222222E-2</v>
      </c>
      <c r="C88" s="227">
        <f t="shared" si="14"/>
        <v>23.9</v>
      </c>
      <c r="D88" s="227">
        <f t="shared" si="12"/>
        <v>21.823031954140415</v>
      </c>
      <c r="E88" s="232">
        <f t="shared" si="10"/>
        <v>0.58730000000000004</v>
      </c>
      <c r="F88" s="232">
        <v>21.824975584900852</v>
      </c>
      <c r="G88" s="232">
        <v>23.9</v>
      </c>
      <c r="H88" s="233">
        <f t="shared" si="13"/>
        <v>8.9055346379458787E-5</v>
      </c>
      <c r="I88" s="220">
        <v>82</v>
      </c>
      <c r="J88" s="328">
        <f t="shared" si="15"/>
        <v>91.317889476572617</v>
      </c>
      <c r="K88" s="149">
        <f t="shared" si="11"/>
        <v>91.309757130294628</v>
      </c>
      <c r="L88" s="333">
        <v>1.6597222222222222E-2</v>
      </c>
      <c r="M88" s="330" t="s">
        <v>1513</v>
      </c>
      <c r="N88" s="330" t="s">
        <v>1514</v>
      </c>
      <c r="O88" s="330" t="s">
        <v>172</v>
      </c>
      <c r="P88" s="388">
        <v>9774</v>
      </c>
      <c r="Q88" s="332"/>
      <c r="R88" s="330" t="s">
        <v>1515</v>
      </c>
      <c r="S88" s="388">
        <v>40022</v>
      </c>
      <c r="T88" s="332"/>
    </row>
    <row r="89" spans="1:20">
      <c r="A89" s="220">
        <v>83</v>
      </c>
      <c r="B89" s="88">
        <v>1.6921296296296295E-2</v>
      </c>
      <c r="C89" s="227">
        <f t="shared" si="14"/>
        <v>24.366666666666667</v>
      </c>
      <c r="D89" s="227">
        <f t="shared" si="12"/>
        <v>22.438141923436039</v>
      </c>
      <c r="E89" s="232">
        <f t="shared" si="10"/>
        <v>0.57120000000000004</v>
      </c>
      <c r="F89" s="232">
        <v>22.442749158178593</v>
      </c>
      <c r="G89" s="232">
        <v>24.366666666666671</v>
      </c>
      <c r="H89" s="233">
        <f t="shared" si="13"/>
        <v>2.0528834101749704E-4</v>
      </c>
      <c r="I89" s="220">
        <v>83</v>
      </c>
      <c r="J89" s="328">
        <f t="shared" si="15"/>
        <v>92.10430571071926</v>
      </c>
      <c r="K89" s="149">
        <f t="shared" si="11"/>
        <v>92.085397770599329</v>
      </c>
      <c r="L89" s="333">
        <v>1.6921296296296295E-2</v>
      </c>
      <c r="M89" s="334" t="s">
        <v>1516</v>
      </c>
      <c r="N89" s="335" t="s">
        <v>1517</v>
      </c>
      <c r="O89" s="330" t="s">
        <v>155</v>
      </c>
      <c r="P89" s="388">
        <v>10584</v>
      </c>
      <c r="Q89" s="335" t="s">
        <v>1518</v>
      </c>
      <c r="R89" s="335" t="s">
        <v>1519</v>
      </c>
      <c r="S89" s="412">
        <v>40957</v>
      </c>
      <c r="T89" s="337"/>
    </row>
    <row r="90" spans="1:20">
      <c r="A90" s="220">
        <v>84</v>
      </c>
      <c r="B90" s="88">
        <v>1.744212962962963E-2</v>
      </c>
      <c r="C90" s="227">
        <f t="shared" si="14"/>
        <v>25.116666666666667</v>
      </c>
      <c r="D90" s="227">
        <f t="shared" si="12"/>
        <v>23.118085618085619</v>
      </c>
      <c r="E90" s="232">
        <f t="shared" si="10"/>
        <v>0.5544</v>
      </c>
      <c r="F90" s="232">
        <v>23.121200071252879</v>
      </c>
      <c r="G90" s="232">
        <v>25.116666666666667</v>
      </c>
      <c r="H90" s="233">
        <f t="shared" si="13"/>
        <v>1.3470119014853793E-4</v>
      </c>
      <c r="I90" s="220">
        <v>84</v>
      </c>
      <c r="J90" s="328">
        <f t="shared" si="15"/>
        <v>92.055209308239725</v>
      </c>
      <c r="K90" s="149">
        <f t="shared" si="11"/>
        <v>92.042809361986542</v>
      </c>
      <c r="L90" s="333">
        <v>1.744212962962963E-2</v>
      </c>
      <c r="M90" s="330" t="s">
        <v>1513</v>
      </c>
      <c r="N90" s="330" t="s">
        <v>1514</v>
      </c>
      <c r="O90" s="330" t="s">
        <v>172</v>
      </c>
      <c r="P90" s="388">
        <v>9774</v>
      </c>
      <c r="Q90" s="332"/>
      <c r="R90" s="330" t="s">
        <v>213</v>
      </c>
      <c r="S90" s="388">
        <v>40713</v>
      </c>
      <c r="T90" s="332"/>
    </row>
    <row r="91" spans="1:20">
      <c r="A91" s="220">
        <v>85</v>
      </c>
      <c r="B91" s="88">
        <v>1.7326388888888888E-2</v>
      </c>
      <c r="C91" s="227">
        <f t="shared" si="14"/>
        <v>24.95</v>
      </c>
      <c r="D91" s="227">
        <f t="shared" si="12"/>
        <v>23.862719543225964</v>
      </c>
      <c r="E91" s="232">
        <f t="shared" si="10"/>
        <v>0.53710000000000002</v>
      </c>
      <c r="F91" s="232">
        <v>23.868254664061283</v>
      </c>
      <c r="G91" s="232">
        <v>24.95</v>
      </c>
      <c r="H91" s="233">
        <f t="shared" si="13"/>
        <v>2.3190304080561891E-4</v>
      </c>
      <c r="I91" s="220">
        <v>85</v>
      </c>
      <c r="J91" s="328">
        <f t="shared" si="15"/>
        <v>95.664347350947025</v>
      </c>
      <c r="K91" s="149">
        <f t="shared" si="11"/>
        <v>95.642162497899648</v>
      </c>
      <c r="L91" s="333">
        <v>1.7326388888888888E-2</v>
      </c>
      <c r="M91" s="330" t="s">
        <v>1513</v>
      </c>
      <c r="N91" s="330" t="s">
        <v>1514</v>
      </c>
      <c r="O91" s="330" t="s">
        <v>172</v>
      </c>
      <c r="P91" s="388">
        <v>9774</v>
      </c>
      <c r="Q91" s="332"/>
      <c r="R91" s="330" t="s">
        <v>173</v>
      </c>
      <c r="S91" s="388">
        <v>41142</v>
      </c>
      <c r="T91" s="332"/>
    </row>
    <row r="92" spans="1:20">
      <c r="A92" s="220">
        <v>86</v>
      </c>
      <c r="B92" s="88">
        <v>1.96875E-2</v>
      </c>
      <c r="C92" s="227">
        <f t="shared" si="14"/>
        <v>28.35</v>
      </c>
      <c r="D92" s="227">
        <f t="shared" si="12"/>
        <v>24.685413456599896</v>
      </c>
      <c r="E92" s="232">
        <f t="shared" si="10"/>
        <v>0.51919999999999999</v>
      </c>
      <c r="F92" s="232">
        <v>24.693350858886625</v>
      </c>
      <c r="G92" s="232">
        <v>28.35</v>
      </c>
      <c r="H92" s="233">
        <f t="shared" si="13"/>
        <v>3.2143884935211014E-4</v>
      </c>
      <c r="I92" s="220">
        <v>86</v>
      </c>
      <c r="J92" s="328">
        <f t="shared" si="15"/>
        <v>87.101766698012781</v>
      </c>
      <c r="K92" s="149">
        <f t="shared" si="11"/>
        <v>87.073768806348838</v>
      </c>
      <c r="L92" s="333">
        <v>1.96875E-2</v>
      </c>
      <c r="M92" s="334" t="s">
        <v>1520</v>
      </c>
      <c r="N92" s="335" t="s">
        <v>1521</v>
      </c>
      <c r="O92" s="330" t="s">
        <v>155</v>
      </c>
      <c r="P92" s="388">
        <v>10260</v>
      </c>
      <c r="Q92" s="335" t="s">
        <v>1522</v>
      </c>
      <c r="R92" s="335" t="s">
        <v>1523</v>
      </c>
      <c r="S92" s="412">
        <v>41804</v>
      </c>
      <c r="T92" s="337"/>
    </row>
    <row r="93" spans="1:20">
      <c r="A93" s="220">
        <v>87</v>
      </c>
      <c r="B93" s="88">
        <v>2.056712962962963E-2</v>
      </c>
      <c r="C93" s="227">
        <f t="shared" si="14"/>
        <v>29.616666666666667</v>
      </c>
      <c r="D93" s="227">
        <f t="shared" si="12"/>
        <v>25.597496837760467</v>
      </c>
      <c r="E93" s="232">
        <f t="shared" si="10"/>
        <v>0.50070000000000003</v>
      </c>
      <c r="F93" s="232">
        <v>25.607811877241929</v>
      </c>
      <c r="G93" s="232">
        <v>29.616666666666667</v>
      </c>
      <c r="H93" s="233">
        <f t="shared" si="13"/>
        <v>4.0280831220214846E-4</v>
      </c>
      <c r="I93" s="220">
        <v>87</v>
      </c>
      <c r="J93" s="328">
        <f t="shared" si="15"/>
        <v>86.464193170203473</v>
      </c>
      <c r="K93" s="149">
        <f t="shared" si="11"/>
        <v>86.429364674486663</v>
      </c>
      <c r="L93" s="333">
        <v>2.056712962962963E-2</v>
      </c>
      <c r="M93" s="334" t="s">
        <v>1524</v>
      </c>
      <c r="N93" s="335" t="s">
        <v>1525</v>
      </c>
      <c r="O93" s="330" t="s">
        <v>155</v>
      </c>
      <c r="P93" s="388">
        <v>6763</v>
      </c>
      <c r="Q93" s="335" t="s">
        <v>1526</v>
      </c>
      <c r="R93" s="335" t="s">
        <v>1527</v>
      </c>
      <c r="S93" s="388">
        <v>38597</v>
      </c>
      <c r="T93" s="337"/>
    </row>
    <row r="94" spans="1:20">
      <c r="A94" s="220">
        <v>88</v>
      </c>
      <c r="B94" s="88">
        <v>1.8483796296296297E-2</v>
      </c>
      <c r="C94" s="227">
        <f t="shared" si="14"/>
        <v>26.616666666666667</v>
      </c>
      <c r="D94" s="227">
        <f t="shared" si="12"/>
        <v>26.612679955703214</v>
      </c>
      <c r="E94" s="232">
        <f t="shared" si="10"/>
        <v>0.48159999999999997</v>
      </c>
      <c r="F94" s="232">
        <v>26.625336960733325</v>
      </c>
      <c r="G94" s="232">
        <v>26.616666666666667</v>
      </c>
      <c r="H94" s="233">
        <f t="shared" si="13"/>
        <v>4.7537445436941674E-4</v>
      </c>
      <c r="I94" s="220">
        <v>88</v>
      </c>
      <c r="J94" s="328">
        <f t="shared" si="15"/>
        <v>100.03257468027549</v>
      </c>
      <c r="K94" s="149">
        <f t="shared" si="11"/>
        <v>99.985021749667681</v>
      </c>
      <c r="L94" s="333">
        <v>1.8483796296296297E-2</v>
      </c>
      <c r="M94" s="330" t="s">
        <v>1528</v>
      </c>
      <c r="N94" s="330" t="s">
        <v>1461</v>
      </c>
      <c r="O94" s="330" t="s">
        <v>155</v>
      </c>
      <c r="P94" s="388">
        <v>9004</v>
      </c>
      <c r="Q94" s="332"/>
      <c r="R94" s="330" t="s">
        <v>1529</v>
      </c>
      <c r="S94" s="388">
        <v>41349</v>
      </c>
      <c r="T94" s="332"/>
    </row>
    <row r="95" spans="1:20">
      <c r="A95" s="220">
        <v>89</v>
      </c>
      <c r="B95" s="88">
        <v>2.2881944444444444E-2</v>
      </c>
      <c r="C95" s="227">
        <f t="shared" si="14"/>
        <v>32.950000000000003</v>
      </c>
      <c r="D95" s="227">
        <f t="shared" si="12"/>
        <v>27.753717337952938</v>
      </c>
      <c r="E95" s="232">
        <f t="shared" si="10"/>
        <v>0.46179999999999999</v>
      </c>
      <c r="F95" s="232">
        <v>27.762654152947377</v>
      </c>
      <c r="G95" s="232">
        <v>32.950000000000003</v>
      </c>
      <c r="H95" s="233">
        <f t="shared" si="13"/>
        <v>3.2190059873975246E-4</v>
      </c>
      <c r="I95" s="220">
        <v>89</v>
      </c>
      <c r="J95" s="328">
        <f t="shared" si="15"/>
        <v>84.256917004392633</v>
      </c>
      <c r="K95" s="149">
        <f t="shared" si="11"/>
        <v>84.229794652360965</v>
      </c>
      <c r="L95" s="333">
        <v>2.2881944444444444E-2</v>
      </c>
      <c r="M95" s="334" t="s">
        <v>1530</v>
      </c>
      <c r="N95" s="335" t="s">
        <v>1531</v>
      </c>
      <c r="O95" s="330" t="s">
        <v>155</v>
      </c>
      <c r="P95" s="388">
        <v>9180</v>
      </c>
      <c r="Q95" s="335" t="s">
        <v>1532</v>
      </c>
      <c r="R95" s="335" t="s">
        <v>229</v>
      </c>
      <c r="S95" s="412">
        <v>41909</v>
      </c>
      <c r="T95" s="338"/>
    </row>
    <row r="96" spans="1:20" ht="14.25" customHeight="1">
      <c r="A96" s="220">
        <v>90</v>
      </c>
      <c r="B96" s="88">
        <v>2.3449074074074074E-2</v>
      </c>
      <c r="C96" s="227">
        <f t="shared" si="14"/>
        <v>33.766666666666666</v>
      </c>
      <c r="D96" s="227">
        <f t="shared" si="12"/>
        <v>29.029822574556437</v>
      </c>
      <c r="E96" s="232">
        <f t="shared" si="10"/>
        <v>0.4415</v>
      </c>
      <c r="F96" s="232">
        <v>29.040401186927522</v>
      </c>
      <c r="G96" s="232">
        <v>33.766666666666659</v>
      </c>
      <c r="H96" s="233">
        <f t="shared" si="13"/>
        <v>3.6427225309291534E-4</v>
      </c>
      <c r="I96" s="220">
        <v>90</v>
      </c>
      <c r="J96" s="328">
        <f t="shared" si="15"/>
        <v>86.003162448946256</v>
      </c>
      <c r="K96" s="149">
        <f t="shared" si="11"/>
        <v>85.97183388318787</v>
      </c>
      <c r="L96" s="333">
        <v>2.3449074074074074E-2</v>
      </c>
      <c r="M96" s="330" t="s">
        <v>1524</v>
      </c>
      <c r="N96" s="330" t="s">
        <v>1525</v>
      </c>
      <c r="O96" s="330" t="s">
        <v>155</v>
      </c>
      <c r="P96" s="388">
        <v>6763</v>
      </c>
      <c r="Q96" s="332"/>
      <c r="R96" s="330" t="s">
        <v>216</v>
      </c>
      <c r="S96" s="388">
        <v>39726</v>
      </c>
      <c r="T96" s="332"/>
    </row>
    <row r="97" spans="1:20">
      <c r="A97" s="220">
        <v>91</v>
      </c>
      <c r="B97" s="88">
        <v>2.7002314814814816E-2</v>
      </c>
      <c r="C97" s="227">
        <f t="shared" si="14"/>
        <v>38.883333333333333</v>
      </c>
      <c r="D97" s="227">
        <f t="shared" si="12"/>
        <v>30.47234110001585</v>
      </c>
      <c r="E97" s="232">
        <f t="shared" ref="E97:E106" si="16">ROUND(1-IF(A97&lt;I$3,0,IF(A97&lt;I$4,G$3*(A97-I$3)^2,G$2+G$4*(A97-I$4)+(A97&gt;I$5)*G$5*(A97-I$5)^2)),4)</f>
        <v>0.42059999999999997</v>
      </c>
      <c r="F97" s="232">
        <v>30.484333187830938</v>
      </c>
      <c r="G97" s="232">
        <v>38.883333333333333</v>
      </c>
      <c r="H97" s="233">
        <f t="shared" si="13"/>
        <v>3.9338527568236268E-4</v>
      </c>
      <c r="I97" s="220">
        <v>91</v>
      </c>
      <c r="J97" s="328">
        <f t="shared" si="15"/>
        <v>78.399485266603364</v>
      </c>
      <c r="K97" s="149">
        <f t="shared" si="11"/>
        <v>78.368644063478399</v>
      </c>
      <c r="L97" s="333">
        <v>2.7002314814814816E-2</v>
      </c>
      <c r="M97" s="330" t="s">
        <v>1524</v>
      </c>
      <c r="N97" s="330" t="s">
        <v>1525</v>
      </c>
      <c r="O97" s="330" t="s">
        <v>155</v>
      </c>
      <c r="P97" s="388">
        <v>6763</v>
      </c>
      <c r="Q97" s="332"/>
      <c r="R97" s="330" t="s">
        <v>216</v>
      </c>
      <c r="S97" s="388">
        <v>40090</v>
      </c>
      <c r="T97" s="332"/>
    </row>
    <row r="98" spans="1:20">
      <c r="A98" s="220">
        <v>92</v>
      </c>
      <c r="B98" s="88">
        <v>2.792824074074074E-2</v>
      </c>
      <c r="C98" s="227">
        <f t="shared" si="14"/>
        <v>40.216666666666669</v>
      </c>
      <c r="D98" s="227">
        <f t="shared" si="12"/>
        <v>32.113922993401822</v>
      </c>
      <c r="E98" s="232">
        <f t="shared" si="16"/>
        <v>0.39910000000000001</v>
      </c>
      <c r="F98" s="232">
        <v>32.127007937996126</v>
      </c>
      <c r="G98" s="232">
        <v>40.216666666666669</v>
      </c>
      <c r="H98" s="233">
        <f t="shared" si="13"/>
        <v>4.0728799331570616E-4</v>
      </c>
      <c r="I98" s="220">
        <v>92</v>
      </c>
      <c r="J98" s="328">
        <f t="shared" si="15"/>
        <v>79.884810455025587</v>
      </c>
      <c r="K98" s="149">
        <f t="shared" si="11"/>
        <v>79.852274330878956</v>
      </c>
      <c r="L98" s="333">
        <v>2.792824074074074E-2</v>
      </c>
      <c r="M98" s="330" t="s">
        <v>1524</v>
      </c>
      <c r="N98" s="330" t="s">
        <v>1525</v>
      </c>
      <c r="O98" s="330" t="s">
        <v>155</v>
      </c>
      <c r="P98" s="388">
        <v>6763</v>
      </c>
      <c r="Q98" s="339" t="s">
        <v>1533</v>
      </c>
      <c r="R98" s="339" t="s">
        <v>1527</v>
      </c>
      <c r="S98" s="412">
        <v>40489</v>
      </c>
      <c r="T98" s="340"/>
    </row>
    <row r="99" spans="1:20">
      <c r="A99" s="220">
        <v>93</v>
      </c>
      <c r="B99" s="88">
        <v>3.1793981481481479E-2</v>
      </c>
      <c r="C99" s="227"/>
      <c r="D99" s="227">
        <f t="shared" si="12"/>
        <v>33.996463306808131</v>
      </c>
      <c r="E99" s="232">
        <f t="shared" si="16"/>
        <v>0.377</v>
      </c>
      <c r="F99" s="232">
        <v>34.010184528409745</v>
      </c>
      <c r="G99" s="232">
        <v>45.783333333333331</v>
      </c>
      <c r="H99" s="233">
        <f t="shared" si="13"/>
        <v>4.0344449146261072E-4</v>
      </c>
      <c r="I99" s="220">
        <v>93</v>
      </c>
      <c r="J99" s="328"/>
      <c r="K99" s="149"/>
      <c r="L99" s="333">
        <v>3.1793981481481479E-2</v>
      </c>
      <c r="M99" s="330" t="s">
        <v>1524</v>
      </c>
      <c r="N99" s="330" t="s">
        <v>1525</v>
      </c>
      <c r="O99" s="330" t="s">
        <v>155</v>
      </c>
      <c r="P99" s="388">
        <v>6763</v>
      </c>
      <c r="Q99" s="339" t="s">
        <v>1533</v>
      </c>
      <c r="R99" s="339" t="s">
        <v>1527</v>
      </c>
      <c r="S99" s="412">
        <v>40853</v>
      </c>
      <c r="T99" s="340"/>
    </row>
    <row r="100" spans="1:20">
      <c r="A100" s="220">
        <v>94</v>
      </c>
      <c r="B100" s="88">
        <v>3.0462962962962963E-2</v>
      </c>
      <c r="C100" s="227">
        <f t="shared" si="14"/>
        <v>43.866666666666667</v>
      </c>
      <c r="D100" s="227">
        <f t="shared" si="12"/>
        <v>36.184829663090532</v>
      </c>
      <c r="E100" s="232">
        <f t="shared" si="16"/>
        <v>0.35420000000000001</v>
      </c>
      <c r="F100" s="232">
        <v>36.188314413087504</v>
      </c>
      <c r="G100" s="232">
        <v>43.866666666666674</v>
      </c>
      <c r="H100" s="233">
        <f t="shared" si="13"/>
        <v>9.6294896667284378E-5</v>
      </c>
      <c r="I100" s="220">
        <v>94</v>
      </c>
      <c r="J100" s="328">
        <f>100*F100/+C100</f>
        <v>82.496157476643248</v>
      </c>
      <c r="K100" s="149">
        <f>100*D100/+C100</f>
        <v>82.488213517683576</v>
      </c>
      <c r="L100" s="333">
        <v>3.0462962962962963E-2</v>
      </c>
      <c r="M100" s="330" t="s">
        <v>1534</v>
      </c>
      <c r="N100" s="330" t="s">
        <v>1535</v>
      </c>
      <c r="O100" s="330" t="s">
        <v>155</v>
      </c>
      <c r="P100" s="388">
        <v>8290</v>
      </c>
      <c r="Q100" s="332"/>
      <c r="R100" s="330" t="s">
        <v>1536</v>
      </c>
      <c r="S100" s="388">
        <v>42898</v>
      </c>
      <c r="T100" s="332"/>
    </row>
    <row r="101" spans="1:20">
      <c r="A101" s="220">
        <v>95</v>
      </c>
      <c r="B101" s="88">
        <v>2.837962962962963E-2</v>
      </c>
      <c r="C101" s="227"/>
      <c r="D101" s="227">
        <f t="shared" si="12"/>
        <v>38.73274906819784</v>
      </c>
      <c r="E101" s="232">
        <f t="shared" si="16"/>
        <v>0.33090000000000003</v>
      </c>
      <c r="F101" s="232">
        <v>38.733752923870838</v>
      </c>
      <c r="G101" s="232">
        <v>40.866666666666667</v>
      </c>
      <c r="H101" s="233">
        <f t="shared" si="13"/>
        <v>2.5916819239569308E-5</v>
      </c>
      <c r="I101" s="220">
        <v>95</v>
      </c>
      <c r="J101" s="328"/>
      <c r="K101" s="149"/>
      <c r="L101" s="333">
        <v>2.837962962962963E-2</v>
      </c>
      <c r="M101" s="330" t="s">
        <v>1534</v>
      </c>
      <c r="N101" s="330" t="s">
        <v>1535</v>
      </c>
      <c r="O101" s="330" t="s">
        <v>155</v>
      </c>
      <c r="P101" s="388">
        <v>8290</v>
      </c>
      <c r="Q101" s="332" t="s">
        <v>1468</v>
      </c>
      <c r="R101" s="330" t="s">
        <v>216</v>
      </c>
      <c r="S101" s="388">
        <v>43009</v>
      </c>
      <c r="T101" s="332"/>
    </row>
    <row r="102" spans="1:20">
      <c r="A102" s="220">
        <v>96</v>
      </c>
      <c r="C102" s="227"/>
      <c r="D102" s="227">
        <f t="shared" si="12"/>
        <v>41.74809989142237</v>
      </c>
      <c r="E102" s="232">
        <f t="shared" si="16"/>
        <v>0.307</v>
      </c>
      <c r="F102" s="232">
        <v>41.744768909405721</v>
      </c>
      <c r="G102" s="232"/>
      <c r="H102" s="233">
        <f t="shared" si="13"/>
        <v>-7.9793998234324072E-5</v>
      </c>
      <c r="I102" s="220">
        <v>96</v>
      </c>
      <c r="J102" s="328"/>
      <c r="K102" s="149"/>
      <c r="L102" s="326"/>
      <c r="M102" s="330"/>
      <c r="N102" s="330"/>
      <c r="O102" s="330"/>
      <c r="P102" s="331"/>
      <c r="Q102" s="332"/>
      <c r="R102" s="330"/>
      <c r="S102" s="331"/>
      <c r="T102" s="332"/>
    </row>
    <row r="103" spans="1:20" ht="31.5" customHeight="1">
      <c r="A103" s="220">
        <v>97</v>
      </c>
      <c r="C103" s="227"/>
      <c r="D103" s="227">
        <f t="shared" si="12"/>
        <v>45.368731563421832</v>
      </c>
      <c r="E103" s="232">
        <f t="shared" si="16"/>
        <v>0.28249999999999997</v>
      </c>
      <c r="F103" s="232">
        <v>45.358277444405203</v>
      </c>
      <c r="G103" s="232"/>
      <c r="H103" s="233">
        <f t="shared" si="13"/>
        <v>-2.304787484366477E-4</v>
      </c>
      <c r="I103" s="220">
        <v>97</v>
      </c>
      <c r="J103" s="328"/>
      <c r="K103" s="149"/>
      <c r="L103" s="326"/>
      <c r="M103" s="326"/>
      <c r="N103" s="326"/>
      <c r="O103" s="326"/>
      <c r="P103" s="326"/>
      <c r="Q103" s="326"/>
      <c r="R103" s="326"/>
      <c r="S103" s="326"/>
      <c r="T103" s="326"/>
    </row>
    <row r="104" spans="1:20">
      <c r="A104" s="220">
        <v>98</v>
      </c>
      <c r="C104" s="227"/>
      <c r="D104" s="227">
        <f t="shared" si="12"/>
        <v>49.792799792799791</v>
      </c>
      <c r="E104" s="232">
        <f t="shared" si="16"/>
        <v>0.25740000000000002</v>
      </c>
      <c r="F104" s="232">
        <v>49.770898936025986</v>
      </c>
      <c r="G104" s="232"/>
      <c r="H104" s="233">
        <f t="shared" si="13"/>
        <v>-4.4003337777674217E-4</v>
      </c>
      <c r="I104" s="220">
        <v>98</v>
      </c>
      <c r="J104" s="328"/>
      <c r="K104" s="149"/>
      <c r="L104" s="326"/>
      <c r="M104" s="326"/>
      <c r="N104" s="326"/>
      <c r="O104" s="326"/>
      <c r="P104" s="326"/>
      <c r="Q104" s="326"/>
      <c r="R104" s="326"/>
      <c r="S104" s="326"/>
      <c r="T104" s="326"/>
    </row>
    <row r="105" spans="1:20">
      <c r="A105" s="220">
        <v>99</v>
      </c>
      <c r="C105" s="227"/>
      <c r="D105" s="227">
        <f t="shared" si="12"/>
        <v>55.33966609096143</v>
      </c>
      <c r="E105" s="232">
        <f t="shared" si="16"/>
        <v>0.2316</v>
      </c>
      <c r="F105" s="232">
        <v>55.275474035582775</v>
      </c>
      <c r="G105" s="232"/>
      <c r="H105" s="233">
        <f t="shared" si="13"/>
        <v>-1.161311711905575E-3</v>
      </c>
      <c r="I105" s="220">
        <v>99</v>
      </c>
      <c r="J105" s="328"/>
      <c r="K105" s="149"/>
      <c r="L105" s="326"/>
      <c r="M105" s="326"/>
      <c r="N105" s="326"/>
      <c r="O105" s="326"/>
      <c r="P105" s="326"/>
      <c r="Q105" s="326"/>
      <c r="R105" s="326"/>
      <c r="S105" s="326"/>
      <c r="T105" s="326"/>
    </row>
    <row r="106" spans="1:20">
      <c r="A106" s="220">
        <v>100</v>
      </c>
      <c r="C106" s="220"/>
      <c r="D106" s="227">
        <f>OC/E106</f>
        <v>62.428965741191746</v>
      </c>
      <c r="E106" s="232">
        <f t="shared" si="16"/>
        <v>0.20530000000000001</v>
      </c>
      <c r="F106" s="232">
        <v>62.328112646543822</v>
      </c>
      <c r="G106" s="232"/>
      <c r="H106" s="233">
        <f t="shared" si="13"/>
        <v>-1.6180996081150624E-3</v>
      </c>
      <c r="I106" s="260">
        <v>100</v>
      </c>
      <c r="J106" s="328"/>
      <c r="K106" s="148"/>
      <c r="L106" s="326"/>
      <c r="M106" s="326"/>
      <c r="N106" s="326"/>
      <c r="O106" s="326"/>
      <c r="P106" s="326"/>
      <c r="Q106" s="326"/>
      <c r="R106" s="326"/>
      <c r="S106" s="326"/>
      <c r="T106" s="326"/>
    </row>
  </sheetData>
  <pageMargins left="0.5" right="0.5" top="0.5" bottom="0.5" header="0" footer="0"/>
  <pageSetup orientation="portrait" verticalDpi="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6"/>
  <sheetViews>
    <sheetView zoomScale="87" zoomScaleNormal="87" workbookViewId="0">
      <selection activeCell="E16" sqref="E16"/>
    </sheetView>
  </sheetViews>
  <sheetFormatPr defaultColWidth="9.6640625" defaultRowHeight="15"/>
  <cols>
    <col min="1" max="4" width="9.6640625" style="220" customWidth="1"/>
    <col min="5" max="5" width="10.88671875" style="220" customWidth="1"/>
    <col min="6" max="7" width="10.6640625" style="220" customWidth="1"/>
    <col min="8" max="16384" width="9.6640625" style="220"/>
  </cols>
  <sheetData>
    <row r="1" spans="1:12" ht="47.25">
      <c r="A1" s="216" t="s">
        <v>76</v>
      </c>
      <c r="B1" s="217"/>
      <c r="C1" s="218"/>
      <c r="D1" s="219" t="s">
        <v>32</v>
      </c>
      <c r="E1" s="219" t="s">
        <v>71</v>
      </c>
      <c r="F1" s="219" t="s">
        <v>72</v>
      </c>
      <c r="G1" s="219" t="s">
        <v>73</v>
      </c>
      <c r="H1" s="219" t="s">
        <v>74</v>
      </c>
      <c r="I1" s="219" t="s">
        <v>75</v>
      </c>
      <c r="K1" s="217" t="s">
        <v>1363</v>
      </c>
    </row>
    <row r="2" spans="1:12" ht="12" customHeight="1">
      <c r="A2" s="216"/>
      <c r="B2" s="217"/>
      <c r="C2" s="218"/>
      <c r="D2" s="219"/>
      <c r="E2" s="219"/>
      <c r="F2" s="263">
        <f>(+H$3-H$4)*F$4/2</f>
        <v>4.725E-2</v>
      </c>
      <c r="G2" s="264">
        <f>(+I$4-I$3)*G$4/2</f>
        <v>0.17219999999999999</v>
      </c>
      <c r="H2" s="221"/>
      <c r="I2" s="221"/>
      <c r="K2" s="217">
        <f>Parameters!Z14</f>
        <v>0.26303440583379373</v>
      </c>
    </row>
    <row r="3" spans="1:12" ht="14.25" customHeight="1">
      <c r="A3" s="216"/>
      <c r="B3" s="217"/>
      <c r="C3" s="218"/>
      <c r="D3" s="219"/>
      <c r="E3" s="219"/>
      <c r="F3" s="265">
        <f>F4/(2*(+H3-H4))</f>
        <v>1.89E-3</v>
      </c>
      <c r="G3" s="266">
        <f>G4/(2*(+I4-I3))</f>
        <v>1.6006097560975613E-4</v>
      </c>
      <c r="H3" s="222">
        <v>22</v>
      </c>
      <c r="I3" s="223">
        <v>24</v>
      </c>
      <c r="J3" s="267"/>
      <c r="K3" s="267"/>
      <c r="L3" s="267"/>
    </row>
    <row r="4" spans="1:12" ht="15.75">
      <c r="A4" s="217"/>
      <c r="B4" s="217"/>
      <c r="C4" s="217"/>
      <c r="D4" s="224">
        <f>Parameters!G14</f>
        <v>1.0763888888888889E-2</v>
      </c>
      <c r="E4" s="225">
        <f>D4*1440</f>
        <v>15.5</v>
      </c>
      <c r="F4" s="226">
        <v>1.89E-2</v>
      </c>
      <c r="G4" s="215">
        <v>1.0500000000000001E-2</v>
      </c>
      <c r="H4" s="222">
        <v>17</v>
      </c>
      <c r="I4" s="223">
        <v>56.8</v>
      </c>
    </row>
    <row r="5" spans="1:12" ht="15.75">
      <c r="A5" s="217"/>
      <c r="B5" s="217"/>
      <c r="C5" s="217"/>
      <c r="D5" s="224"/>
      <c r="E5" s="217">
        <f>E4*60</f>
        <v>930</v>
      </c>
      <c r="F5" s="226">
        <v>9.1E-4</v>
      </c>
      <c r="G5" s="215">
        <v>5.1000000000000004E-4</v>
      </c>
      <c r="H5" s="222">
        <v>15</v>
      </c>
      <c r="I5" s="223">
        <v>76.7</v>
      </c>
    </row>
    <row r="6" spans="1:12" ht="31.5">
      <c r="A6" s="228" t="s">
        <v>69</v>
      </c>
      <c r="B6" s="228" t="s">
        <v>32</v>
      </c>
      <c r="C6" s="228" t="s">
        <v>70</v>
      </c>
      <c r="D6" s="228" t="s">
        <v>141</v>
      </c>
      <c r="E6" s="228" t="s">
        <v>144</v>
      </c>
    </row>
    <row r="7" spans="1:12">
      <c r="A7" s="220">
        <v>1</v>
      </c>
    </row>
    <row r="8" spans="1:12">
      <c r="A8" s="220">
        <v>2</v>
      </c>
    </row>
    <row r="9" spans="1:12">
      <c r="A9" s="220">
        <v>3</v>
      </c>
      <c r="B9" s="231"/>
      <c r="C9" s="227"/>
      <c r="D9" s="227"/>
      <c r="E9" s="232">
        <f>'5K'!$E9*(1-$K$2)+'10K'!$E9*$K$2</f>
        <v>0.40311535473189869</v>
      </c>
    </row>
    <row r="10" spans="1:12">
      <c r="A10" s="220">
        <v>4</v>
      </c>
      <c r="B10" s="234"/>
      <c r="C10" s="227"/>
      <c r="D10" s="227">
        <f>E$4/E10</f>
        <v>32.676836198313694</v>
      </c>
      <c r="E10" s="232">
        <f>'5K'!$E10*(1-$K$2)+'10K'!$E10*$K$2</f>
        <v>0.47434212743031368</v>
      </c>
    </row>
    <row r="11" spans="1:12">
      <c r="A11" s="220">
        <v>5</v>
      </c>
      <c r="B11" s="234"/>
      <c r="C11" s="227"/>
      <c r="D11" s="227">
        <f t="shared" ref="D11:D41" si="0">E$4/E11</f>
        <v>28.647839132867301</v>
      </c>
      <c r="E11" s="232">
        <f>'5K'!$E11*(1-$K$2)+'10K'!$E11*$K$2</f>
        <v>0.54105302421281221</v>
      </c>
    </row>
    <row r="12" spans="1:12">
      <c r="A12" s="220">
        <v>6</v>
      </c>
      <c r="B12" s="234"/>
      <c r="C12" s="227"/>
      <c r="D12" s="227">
        <f t="shared" si="0"/>
        <v>25.697379270243655</v>
      </c>
      <c r="E12" s="232">
        <f>'5K'!$E12*(1-$K$2)+'10K'!$E12*$K$2</f>
        <v>0.60317434851997787</v>
      </c>
    </row>
    <row r="13" spans="1:12">
      <c r="A13" s="220">
        <v>7</v>
      </c>
      <c r="B13" s="234"/>
      <c r="C13" s="227"/>
      <c r="D13" s="227">
        <f t="shared" si="0"/>
        <v>23.462367136430881</v>
      </c>
      <c r="E13" s="232">
        <f>'5K'!$E13*(1-$K$2)+'10K'!$E13*$K$2</f>
        <v>0.66063240379239396</v>
      </c>
    </row>
    <row r="14" spans="1:12">
      <c r="A14" s="220">
        <v>8</v>
      </c>
      <c r="B14" s="234"/>
      <c r="C14" s="227"/>
      <c r="D14" s="227">
        <f t="shared" si="0"/>
        <v>21.721625694122832</v>
      </c>
      <c r="E14" s="232">
        <f>'5K'!$E14*(1-$K$2)+'10K'!$E14*$K$2</f>
        <v>0.71357458314889377</v>
      </c>
    </row>
    <row r="15" spans="1:12">
      <c r="A15" s="220">
        <v>9</v>
      </c>
      <c r="B15" s="234"/>
      <c r="C15" s="227"/>
      <c r="D15" s="227">
        <f t="shared" si="0"/>
        <v>20.345119019392214</v>
      </c>
      <c r="E15" s="232">
        <f>'5K'!$E15*(1-$K$2)+'10K'!$E15*$K$2</f>
        <v>0.76185349347064391</v>
      </c>
    </row>
    <row r="16" spans="1:12">
      <c r="A16" s="220">
        <v>10</v>
      </c>
      <c r="B16" s="234"/>
      <c r="C16" s="227"/>
      <c r="D16" s="227">
        <f t="shared" si="0"/>
        <v>19.239923044846666</v>
      </c>
      <c r="E16" s="232">
        <f>'5K'!$E16*(1-$K$2)+'10K'!$E16*$K$2</f>
        <v>0.80561652787647764</v>
      </c>
    </row>
    <row r="17" spans="1:5">
      <c r="A17" s="220">
        <v>11</v>
      </c>
      <c r="B17" s="234"/>
      <c r="C17" s="227"/>
      <c r="D17" s="227">
        <f t="shared" si="0"/>
        <v>18.347755284767889</v>
      </c>
      <c r="E17" s="232">
        <f>'5K'!$E17*(1-$K$2)+'10K'!$E17*$K$2</f>
        <v>0.8447899898069785</v>
      </c>
    </row>
    <row r="18" spans="1:5">
      <c r="A18" s="220">
        <v>12</v>
      </c>
      <c r="B18" s="234"/>
      <c r="C18" s="227"/>
      <c r="D18" s="227">
        <f t="shared" si="0"/>
        <v>17.627654701898518</v>
      </c>
      <c r="E18" s="232">
        <f>'5K'!$E18*(1-$K$2)+'10K'!$E18*$K$2</f>
        <v>0.8793001827027298</v>
      </c>
    </row>
    <row r="19" spans="1:5">
      <c r="A19" s="220">
        <v>13</v>
      </c>
      <c r="B19" s="234"/>
      <c r="C19" s="227"/>
      <c r="D19" s="227">
        <f t="shared" si="0"/>
        <v>17.046182513378294</v>
      </c>
      <c r="E19" s="232">
        <f>'5K'!$E19*(1-$K$2)+'10K'!$E19*$K$2</f>
        <v>0.90929449968256471</v>
      </c>
    </row>
    <row r="20" spans="1:5">
      <c r="A20" s="220">
        <v>14</v>
      </c>
      <c r="B20" s="234"/>
      <c r="C20" s="227"/>
      <c r="D20" s="227">
        <f t="shared" si="0"/>
        <v>16.58418180344362</v>
      </c>
      <c r="E20" s="232">
        <f>'5K'!$E20*(1-$K$2)+'10K'!$E20*$K$2</f>
        <v>0.93462554762764993</v>
      </c>
    </row>
    <row r="21" spans="1:5">
      <c r="A21" s="220">
        <v>15</v>
      </c>
      <c r="B21" s="234"/>
      <c r="C21" s="227"/>
      <c r="D21" s="227">
        <f t="shared" si="0"/>
        <v>16.22287985126632</v>
      </c>
      <c r="E21" s="232">
        <f>'5K'!$E21*(1-$K$2)+'10K'!$E21*$K$2</f>
        <v>0.95544071965681887</v>
      </c>
    </row>
    <row r="22" spans="1:5">
      <c r="A22" s="220">
        <v>16</v>
      </c>
      <c r="B22" s="234"/>
      <c r="C22" s="227"/>
      <c r="D22" s="227">
        <f t="shared" si="0"/>
        <v>15.951978259976753</v>
      </c>
      <c r="E22" s="232">
        <f>'5K'!$E22*(1-$K$2)+'10K'!$E22*$K$2</f>
        <v>0.97166631921065494</v>
      </c>
    </row>
    <row r="23" spans="1:5">
      <c r="A23" s="220">
        <v>17</v>
      </c>
      <c r="B23" s="234"/>
      <c r="C23" s="227"/>
      <c r="D23" s="227">
        <f t="shared" si="0"/>
        <v>15.762027265887717</v>
      </c>
      <c r="E23" s="232">
        <f>'5K'!$E23*(1-$K$2)+'10K'!$E23*$K$2</f>
        <v>0.98337604284857461</v>
      </c>
    </row>
    <row r="24" spans="1:5">
      <c r="A24" s="220">
        <v>18</v>
      </c>
      <c r="B24" s="234"/>
      <c r="C24" s="227"/>
      <c r="D24" s="227">
        <f t="shared" si="0"/>
        <v>15.605760760194226</v>
      </c>
      <c r="E24" s="232">
        <f>'5K'!$E24*(1-$K$2)+'10K'!$E24*$K$2</f>
        <v>0.99322296670957622</v>
      </c>
    </row>
    <row r="25" spans="1:5">
      <c r="A25" s="220">
        <v>19</v>
      </c>
      <c r="B25" s="234"/>
      <c r="C25" s="227"/>
      <c r="D25" s="227">
        <f t="shared" si="0"/>
        <v>15.539648383139452</v>
      </c>
      <c r="E25" s="232">
        <f>'5K'!$E25*(1-$K$2)+'10K'!$E25*$K$2</f>
        <v>0.99744856626341227</v>
      </c>
    </row>
    <row r="26" spans="1:5">
      <c r="A26" s="220">
        <v>20</v>
      </c>
      <c r="B26" s="234"/>
      <c r="C26" s="227"/>
      <c r="D26" s="227">
        <f t="shared" si="0"/>
        <v>15.513057497156575</v>
      </c>
      <c r="E26" s="232">
        <f>'5K'!$E26*(1-$K$2)+'10K'!$E26*$K$2</f>
        <v>0.99915828990133193</v>
      </c>
    </row>
    <row r="27" spans="1:5">
      <c r="A27" s="220">
        <v>21</v>
      </c>
      <c r="B27" s="234"/>
      <c r="C27" s="227"/>
      <c r="D27" s="227">
        <f t="shared" si="0"/>
        <v>15.5</v>
      </c>
      <c r="E27" s="232">
        <f>'5K'!$E27*(1-$K$2)+'10K'!$E27*$K$2</f>
        <v>1</v>
      </c>
    </row>
    <row r="28" spans="1:5">
      <c r="A28" s="220">
        <v>22</v>
      </c>
      <c r="B28" s="234"/>
      <c r="C28" s="227"/>
      <c r="D28" s="227">
        <f t="shared" si="0"/>
        <v>15.5</v>
      </c>
      <c r="E28" s="232">
        <f>'5K'!$E28*(1-$K$2)+'10K'!$E28*$K$2</f>
        <v>1</v>
      </c>
    </row>
    <row r="29" spans="1:5">
      <c r="A29" s="220">
        <v>23</v>
      </c>
      <c r="B29" s="234"/>
      <c r="C29" s="227"/>
      <c r="D29" s="227">
        <f t="shared" si="0"/>
        <v>15.5</v>
      </c>
      <c r="E29" s="232">
        <f>'5K'!$E29*(1-$K$2)+'10K'!$E29*$K$2</f>
        <v>1</v>
      </c>
    </row>
    <row r="30" spans="1:5">
      <c r="A30" s="220">
        <v>24</v>
      </c>
      <c r="B30" s="234"/>
      <c r="C30" s="227"/>
      <c r="D30" s="227">
        <f t="shared" si="0"/>
        <v>15.5</v>
      </c>
      <c r="E30" s="232">
        <f>'5K'!$E30*(1-$K$2)+'10K'!$E30*$K$2</f>
        <v>1</v>
      </c>
    </row>
    <row r="31" spans="1:5">
      <c r="A31" s="220">
        <v>25</v>
      </c>
      <c r="B31" s="234"/>
      <c r="C31" s="227"/>
      <c r="D31" s="227">
        <f t="shared" si="0"/>
        <v>15.5</v>
      </c>
      <c r="E31" s="232">
        <f>'5K'!$E31*(1-$K$2)+'10K'!$E31*$K$2</f>
        <v>1</v>
      </c>
    </row>
    <row r="32" spans="1:5">
      <c r="A32" s="220">
        <v>26</v>
      </c>
      <c r="B32" s="234"/>
      <c r="C32" s="227"/>
      <c r="D32" s="227">
        <f t="shared" si="0"/>
        <v>15.5</v>
      </c>
      <c r="E32" s="232">
        <f>'5K'!$E32*(1-$K$2)+'10K'!$E32*$K$2</f>
        <v>1</v>
      </c>
    </row>
    <row r="33" spans="1:5">
      <c r="A33" s="220">
        <v>27</v>
      </c>
      <c r="B33" s="234"/>
      <c r="C33" s="227"/>
      <c r="D33" s="227">
        <f t="shared" si="0"/>
        <v>15.5</v>
      </c>
      <c r="E33" s="232">
        <f>'5K'!$E33*(1-$K$2)+'10K'!$E33*$K$2</f>
        <v>1</v>
      </c>
    </row>
    <row r="34" spans="1:5">
      <c r="A34" s="220">
        <v>28</v>
      </c>
      <c r="B34" s="234"/>
      <c r="C34" s="227"/>
      <c r="D34" s="227">
        <f t="shared" si="0"/>
        <v>15.500815449556342</v>
      </c>
      <c r="E34" s="232">
        <f>'5K'!$E34*(1-$K$2)+'10K'!$E34*$K$2</f>
        <v>0.99994739311883329</v>
      </c>
    </row>
    <row r="35" spans="1:5">
      <c r="A35" s="220">
        <v>29</v>
      </c>
      <c r="B35" s="234"/>
      <c r="C35" s="227"/>
      <c r="D35" s="227">
        <f t="shared" si="0"/>
        <v>15.504078105972605</v>
      </c>
      <c r="E35" s="232">
        <f>'5K'!$E35*(1-$K$2)+'10K'!$E35*$K$2</f>
        <v>0.99973696559416625</v>
      </c>
    </row>
    <row r="36" spans="1:5">
      <c r="A36" s="220">
        <v>30</v>
      </c>
      <c r="B36" s="234"/>
      <c r="C36" s="227"/>
      <c r="D36" s="227">
        <f t="shared" si="0"/>
        <v>15.510118370854272</v>
      </c>
      <c r="E36" s="232">
        <f>'5K'!$E36*(1-$K$2)+'10K'!$E36*$K$2</f>
        <v>0.9993476277477491</v>
      </c>
    </row>
    <row r="37" spans="1:5">
      <c r="A37" s="220">
        <v>31</v>
      </c>
      <c r="B37" s="234"/>
      <c r="C37" s="227"/>
      <c r="D37" s="227">
        <f t="shared" si="0"/>
        <v>15.531220749613215</v>
      </c>
      <c r="E37" s="232">
        <f>'5K'!$E37*(1-$K$2)+'10K'!$E37*$K$2</f>
        <v>0.99798980710424889</v>
      </c>
    </row>
    <row r="38" spans="1:5">
      <c r="A38" s="220">
        <v>32</v>
      </c>
      <c r="B38" s="234"/>
      <c r="C38" s="227"/>
      <c r="D38" s="227">
        <f t="shared" si="0"/>
        <v>15.567838193991452</v>
      </c>
      <c r="E38" s="232">
        <f>'5K'!$E38*(1-$K$2)+'10K'!$E38*$K$2</f>
        <v>0.99564241398541542</v>
      </c>
    </row>
    <row r="39" spans="1:5">
      <c r="A39" s="220">
        <v>33</v>
      </c>
      <c r="B39" s="234"/>
      <c r="C39" s="227"/>
      <c r="D39" s="227">
        <f t="shared" si="0"/>
        <v>15.623339258073884</v>
      </c>
      <c r="E39" s="232">
        <f>'5K'!$E39*(1-$K$2)+'10K'!$E39*$K$2</f>
        <v>0.99210544839124937</v>
      </c>
    </row>
    <row r="40" spans="1:5">
      <c r="A40" s="220">
        <v>34</v>
      </c>
      <c r="B40" s="234"/>
      <c r="C40" s="227"/>
      <c r="D40" s="227">
        <f t="shared" si="0"/>
        <v>15.69494836108858</v>
      </c>
      <c r="E40" s="232">
        <f>'5K'!$E40*(1-$K$2)+'10K'!$E40*$K$2</f>
        <v>0.98757891032175027</v>
      </c>
    </row>
    <row r="41" spans="1:5">
      <c r="A41" s="220">
        <v>35</v>
      </c>
      <c r="B41" s="234"/>
      <c r="C41" s="227"/>
      <c r="D41" s="227">
        <f t="shared" si="0"/>
        <v>15.786319640098029</v>
      </c>
      <c r="E41" s="232">
        <f>'5K'!$E41*(1-$K$2)+'10K'!$E41*$K$2</f>
        <v>0.98186279977691804</v>
      </c>
    </row>
    <row r="42" spans="1:5">
      <c r="A42" s="220">
        <v>36</v>
      </c>
      <c r="B42" s="234"/>
      <c r="C42" s="227"/>
      <c r="D42" s="227">
        <f t="shared" ref="D42:D73" si="1">E$4/E42</f>
        <v>15.887670339402007</v>
      </c>
      <c r="E42" s="232">
        <f>'5K'!$E42*(1-$K$2)+'10K'!$E42*$K$2</f>
        <v>0.97559929611325269</v>
      </c>
    </row>
    <row r="43" spans="1:5">
      <c r="A43" s="220">
        <v>37</v>
      </c>
      <c r="B43" s="234"/>
      <c r="C43" s="227"/>
      <c r="D43" s="227">
        <f t="shared" si="1"/>
        <v>15.992934683725187</v>
      </c>
      <c r="E43" s="232">
        <f>'5K'!$E43*(1-$K$2)+'10K'!$E43*$K$2</f>
        <v>0.969177971806087</v>
      </c>
    </row>
    <row r="44" spans="1:5">
      <c r="A44" s="220">
        <v>38</v>
      </c>
      <c r="B44" s="234"/>
      <c r="C44" s="227"/>
      <c r="D44" s="227">
        <f t="shared" si="1"/>
        <v>16.101362816067123</v>
      </c>
      <c r="E44" s="232">
        <f>'5K'!$E44*(1-$K$2)+'10K'!$E44*$K$2</f>
        <v>0.9626514337365879</v>
      </c>
    </row>
    <row r="45" spans="1:5">
      <c r="A45" s="220">
        <v>39</v>
      </c>
      <c r="B45" s="234"/>
      <c r="C45" s="227"/>
      <c r="D45" s="227">
        <f t="shared" si="1"/>
        <v>16.213947535397637</v>
      </c>
      <c r="E45" s="232">
        <f>'5K'!$E45*(1-$K$2)+'10K'!$E45*$K$2</f>
        <v>0.95596707502358846</v>
      </c>
    </row>
    <row r="46" spans="1:5">
      <c r="A46" s="220">
        <v>40</v>
      </c>
      <c r="B46" s="234"/>
      <c r="C46" s="227"/>
      <c r="D46" s="227">
        <f t="shared" si="1"/>
        <v>16.329927709398053</v>
      </c>
      <c r="E46" s="232">
        <f>'5K'!$E46*(1-$K$2)+'10K'!$E46*$K$2</f>
        <v>0.9491775025482555</v>
      </c>
    </row>
    <row r="47" spans="1:5">
      <c r="A47" s="220">
        <v>41</v>
      </c>
      <c r="B47" s="234"/>
      <c r="C47" s="227"/>
      <c r="D47" s="227">
        <f t="shared" si="1"/>
        <v>16.450333994724701</v>
      </c>
      <c r="E47" s="232">
        <f>'5K'!$E47*(1-$K$2)+'10K'!$E47*$K$2</f>
        <v>0.94223010942942231</v>
      </c>
    </row>
    <row r="48" spans="1:5">
      <c r="A48" s="220">
        <v>42</v>
      </c>
      <c r="B48" s="234"/>
      <c r="C48" s="227"/>
      <c r="D48" s="227">
        <f t="shared" si="1"/>
        <v>16.57439358599219</v>
      </c>
      <c r="E48" s="232">
        <f>'5K'!$E48*(1-$K$2)+'10K'!$E48*$K$2</f>
        <v>0.93517750254825538</v>
      </c>
    </row>
    <row r="49" spans="1:5">
      <c r="A49" s="220">
        <v>43</v>
      </c>
      <c r="B49" s="234"/>
      <c r="C49" s="227"/>
      <c r="D49" s="227">
        <f t="shared" si="1"/>
        <v>16.701758581749846</v>
      </c>
      <c r="E49" s="232">
        <f>'5K'!$E49*(1-$K$2)+'10K'!$E49*$K$2</f>
        <v>0.92804598534533855</v>
      </c>
    </row>
    <row r="50" spans="1:5">
      <c r="A50" s="220">
        <v>44</v>
      </c>
      <c r="B50" s="234"/>
      <c r="C50" s="227"/>
      <c r="D50" s="227">
        <f t="shared" si="1"/>
        <v>16.831096194269897</v>
      </c>
      <c r="E50" s="232">
        <f>'5K'!$E50*(1-$K$2)+'10K'!$E50*$K$2</f>
        <v>0.92091446814242173</v>
      </c>
    </row>
    <row r="51" spans="1:5">
      <c r="A51" s="220">
        <v>45</v>
      </c>
      <c r="B51" s="234"/>
      <c r="C51" s="227"/>
      <c r="D51" s="227">
        <f t="shared" si="1"/>
        <v>16.962452608755388</v>
      </c>
      <c r="E51" s="232">
        <f>'5K'!$E51*(1-$K$2)+'10K'!$E51*$K$2</f>
        <v>0.91378295093950479</v>
      </c>
    </row>
    <row r="52" spans="1:5">
      <c r="A52" s="220">
        <v>46</v>
      </c>
      <c r="B52" s="234"/>
      <c r="C52" s="227"/>
      <c r="D52" s="227">
        <f t="shared" si="1"/>
        <v>17.095875463539233</v>
      </c>
      <c r="E52" s="232">
        <f>'5K'!$E52*(1-$K$2)+'10K'!$E52*$K$2</f>
        <v>0.90665143373658785</v>
      </c>
    </row>
    <row r="53" spans="1:5">
      <c r="A53" s="220">
        <v>47</v>
      </c>
      <c r="B53" s="234"/>
      <c r="C53" s="227"/>
      <c r="D53" s="227">
        <f t="shared" si="1"/>
        <v>17.231413907687283</v>
      </c>
      <c r="E53" s="232">
        <f>'5K'!$E53*(1-$K$2)+'10K'!$E53*$K$2</f>
        <v>0.89951991653367092</v>
      </c>
    </row>
    <row r="54" spans="1:5">
      <c r="A54" s="220">
        <v>48</v>
      </c>
      <c r="B54" s="234"/>
      <c r="C54" s="227"/>
      <c r="D54" s="227">
        <f t="shared" si="1"/>
        <v>17.369118661363384</v>
      </c>
      <c r="E54" s="232">
        <f>'5K'!$E54*(1-$K$2)+'10K'!$E54*$K$2</f>
        <v>0.89238839933075409</v>
      </c>
    </row>
    <row r="55" spans="1:5">
      <c r="A55" s="220">
        <v>49</v>
      </c>
      <c r="B55" s="234"/>
      <c r="C55" s="227"/>
      <c r="D55" s="227">
        <f t="shared" si="1"/>
        <v>17.509042079112238</v>
      </c>
      <c r="E55" s="232">
        <f>'5K'!$E55*(1-$K$2)+'10K'!$E55*$K$2</f>
        <v>0.88525688212783704</v>
      </c>
    </row>
    <row r="56" spans="1:5">
      <c r="A56" s="220">
        <v>50</v>
      </c>
      <c r="B56" s="234"/>
      <c r="C56" s="227"/>
      <c r="D56" s="227">
        <f t="shared" si="1"/>
        <v>17.651238216225824</v>
      </c>
      <c r="E56" s="232">
        <f>'5K'!$E56*(1-$K$2)+'10K'!$E56*$K$2</f>
        <v>0.87812536492492022</v>
      </c>
    </row>
    <row r="57" spans="1:5">
      <c r="A57" s="220">
        <v>51</v>
      </c>
      <c r="B57" s="234"/>
      <c r="C57" s="227"/>
      <c r="D57" s="227">
        <f t="shared" si="1"/>
        <v>17.795762898370278</v>
      </c>
      <c r="E57" s="232">
        <f>'5K'!$E57*(1-$K$2)+'10K'!$E57*$K$2</f>
        <v>0.87099384772200339</v>
      </c>
    </row>
    <row r="58" spans="1:5">
      <c r="A58" s="220">
        <v>52</v>
      </c>
      <c r="B58" s="234"/>
      <c r="C58" s="227"/>
      <c r="D58" s="227">
        <f t="shared" si="1"/>
        <v>17.942673794661474</v>
      </c>
      <c r="E58" s="232">
        <f>'5K'!$E58*(1-$K$2)+'10K'!$E58*$K$2</f>
        <v>0.86386233051908645</v>
      </c>
    </row>
    <row r="59" spans="1:5">
      <c r="A59" s="220">
        <v>53</v>
      </c>
      <c r="B59" s="234"/>
      <c r="C59" s="227"/>
      <c r="D59" s="227">
        <f t="shared" si="1"/>
        <v>18.092030494390368</v>
      </c>
      <c r="E59" s="232">
        <f>'5K'!$E59*(1-$K$2)+'10K'!$E59*$K$2</f>
        <v>0.85673081331616951</v>
      </c>
    </row>
    <row r="60" spans="1:5">
      <c r="A60" s="220">
        <v>54</v>
      </c>
      <c r="B60" s="234"/>
      <c r="C60" s="227"/>
      <c r="D60" s="227">
        <f t="shared" si="1"/>
        <v>18.243894587612548</v>
      </c>
      <c r="E60" s="232">
        <f>'5K'!$E60*(1-$K$2)+'10K'!$E60*$K$2</f>
        <v>0.84959929611325258</v>
      </c>
    </row>
    <row r="61" spans="1:5">
      <c r="A61" s="220">
        <v>55</v>
      </c>
      <c r="B61" s="234"/>
      <c r="C61" s="227"/>
      <c r="D61" s="227">
        <f t="shared" si="1"/>
        <v>18.398329749830911</v>
      </c>
      <c r="E61" s="232">
        <f>'5K'!$E61*(1-$K$2)+'10K'!$E61*$K$2</f>
        <v>0.84246777891033575</v>
      </c>
    </row>
    <row r="62" spans="1:5">
      <c r="A62" s="220">
        <v>56</v>
      </c>
      <c r="B62" s="234"/>
      <c r="C62" s="227"/>
      <c r="D62" s="227">
        <f t="shared" si="1"/>
        <v>18.55540183101612</v>
      </c>
      <c r="E62" s="232">
        <f>'5K'!$E62*(1-$K$2)+'10K'!$E62*$K$2</f>
        <v>0.83533626170741881</v>
      </c>
    </row>
    <row r="63" spans="1:5">
      <c r="A63" s="220">
        <v>57</v>
      </c>
      <c r="B63" s="234"/>
      <c r="C63" s="227"/>
      <c r="D63" s="227">
        <f t="shared" si="1"/>
        <v>18.715178949226299</v>
      </c>
      <c r="E63" s="232">
        <f>'5K'!$E63*(1-$K$2)+'10K'!$E63*$K$2</f>
        <v>0.82820474450450199</v>
      </c>
    </row>
    <row r="64" spans="1:5">
      <c r="A64" s="220">
        <v>58</v>
      </c>
      <c r="B64" s="234"/>
      <c r="C64" s="227"/>
      <c r="D64" s="227">
        <f t="shared" si="1"/>
        <v>18.877731589105579</v>
      </c>
      <c r="E64" s="232">
        <f>'5K'!$E64*(1-$K$2)+'10K'!$E64*$K$2</f>
        <v>0.82107322730158516</v>
      </c>
    </row>
    <row r="65" spans="1:5">
      <c r="A65" s="220">
        <v>59</v>
      </c>
      <c r="B65" s="234"/>
      <c r="C65" s="227"/>
      <c r="D65" s="227">
        <f t="shared" si="1"/>
        <v>19.043132705560755</v>
      </c>
      <c r="E65" s="232">
        <f>'5K'!$E65*(1-$K$2)+'10K'!$E65*$K$2</f>
        <v>0.81394171009866823</v>
      </c>
    </row>
    <row r="66" spans="1:5">
      <c r="A66" s="220">
        <v>60</v>
      </c>
      <c r="B66" s="234"/>
      <c r="C66" s="227"/>
      <c r="D66" s="227">
        <f t="shared" si="1"/>
        <v>19.211457832936389</v>
      </c>
      <c r="E66" s="232">
        <f>'5K'!$E66*(1-$K$2)+'10K'!$E66*$K$2</f>
        <v>0.80681019289575129</v>
      </c>
    </row>
    <row r="67" spans="1:5">
      <c r="A67" s="220">
        <v>61</v>
      </c>
      <c r="B67" s="234"/>
      <c r="C67" s="227"/>
      <c r="D67" s="227">
        <f t="shared" si="1"/>
        <v>19.382785200031673</v>
      </c>
      <c r="E67" s="232">
        <f>'5K'!$E67*(1-$K$2)+'10K'!$E67*$K$2</f>
        <v>0.79967867569283446</v>
      </c>
    </row>
    <row r="68" spans="1:5">
      <c r="A68" s="220">
        <v>62</v>
      </c>
      <c r="B68" s="234"/>
      <c r="C68" s="227"/>
      <c r="D68" s="227">
        <f t="shared" si="1"/>
        <v>19.557195851326981</v>
      </c>
      <c r="E68" s="232">
        <f>'5K'!$E68*(1-$K$2)+'10K'!$E68*$K$2</f>
        <v>0.79254715848991741</v>
      </c>
    </row>
    <row r="69" spans="1:5">
      <c r="A69" s="220">
        <v>63</v>
      </c>
      <c r="B69" s="234"/>
      <c r="C69" s="227"/>
      <c r="D69" s="227">
        <f t="shared" si="1"/>
        <v>19.734773774814741</v>
      </c>
      <c r="E69" s="232">
        <f>'5K'!$E69*(1-$K$2)+'10K'!$E69*$K$2</f>
        <v>0.78541564128700059</v>
      </c>
    </row>
    <row r="70" spans="1:5">
      <c r="A70" s="220">
        <v>64</v>
      </c>
      <c r="B70" s="234"/>
      <c r="C70" s="227"/>
      <c r="D70" s="227">
        <f t="shared" si="1"/>
        <v>19.91560603685836</v>
      </c>
      <c r="E70" s="232">
        <f>'5K'!$E70*(1-$K$2)+'10K'!$E70*$K$2</f>
        <v>0.77828412408408376</v>
      </c>
    </row>
    <row r="71" spans="1:5">
      <c r="A71" s="220">
        <v>65</v>
      </c>
      <c r="B71" s="234"/>
      <c r="C71" s="227"/>
      <c r="D71" s="227">
        <f t="shared" si="1"/>
        <v>20.099782924534054</v>
      </c>
      <c r="E71" s="232">
        <f>'5K'!$E71*(1-$K$2)+'10K'!$E71*$K$2</f>
        <v>0.77115260688116682</v>
      </c>
    </row>
    <row r="72" spans="1:5">
      <c r="A72" s="220">
        <v>66</v>
      </c>
      <c r="B72" s="234"/>
      <c r="C72" s="227"/>
      <c r="D72" s="227">
        <f t="shared" si="1"/>
        <v>20.287398095944539</v>
      </c>
      <c r="E72" s="232">
        <f>'5K'!$E72*(1-$K$2)+'10K'!$E72*$K$2</f>
        <v>0.76402108967824989</v>
      </c>
    </row>
    <row r="73" spans="1:5">
      <c r="A73" s="220">
        <v>67</v>
      </c>
      <c r="B73" s="234"/>
      <c r="C73" s="227"/>
      <c r="D73" s="227">
        <f t="shared" si="1"/>
        <v>20.478548739030416</v>
      </c>
      <c r="E73" s="232">
        <f>'5K'!$E73*(1-$K$2)+'10K'!$E73*$K$2</f>
        <v>0.75688957247533295</v>
      </c>
    </row>
    <row r="74" spans="1:5">
      <c r="A74" s="220">
        <v>68</v>
      </c>
      <c r="B74" s="234"/>
      <c r="C74" s="227"/>
      <c r="D74" s="227">
        <f t="shared" ref="D74:D105" si="2">E$4/E74</f>
        <v>20.675367999686173</v>
      </c>
      <c r="E74" s="232">
        <f>'5K'!$E74*(1-$K$2)+'10K'!$E74*$K$2</f>
        <v>0.74968435871299943</v>
      </c>
    </row>
    <row r="75" spans="1:5">
      <c r="A75" s="220">
        <v>69</v>
      </c>
      <c r="B75" s="234"/>
      <c r="C75" s="227"/>
      <c r="D75" s="227">
        <f t="shared" si="2"/>
        <v>20.890522006789617</v>
      </c>
      <c r="E75" s="232">
        <f>'5K'!$E75*(1-$K$2)+'10K'!$E75*$K$2</f>
        <v>0.74196326903474952</v>
      </c>
    </row>
    <row r="76" spans="1:5">
      <c r="A76" s="220">
        <v>70</v>
      </c>
      <c r="B76" s="234"/>
      <c r="C76" s="227"/>
      <c r="D76" s="227">
        <f t="shared" si="2"/>
        <v>21.121557622662369</v>
      </c>
      <c r="E76" s="232">
        <f>'5K'!$E76*(1-$K$2)+'10K'!$E76*$K$2</f>
        <v>0.73384739311883318</v>
      </c>
    </row>
    <row r="77" spans="1:5">
      <c r="A77" s="220">
        <v>71</v>
      </c>
      <c r="B77" s="234"/>
      <c r="C77" s="227"/>
      <c r="D77" s="227">
        <f t="shared" si="2"/>
        <v>21.372331734177816</v>
      </c>
      <c r="E77" s="232">
        <f>'5K'!$E77*(1-$K$2)+'10K'!$E77*$K$2</f>
        <v>0.72523673096525043</v>
      </c>
    </row>
    <row r="78" spans="1:5">
      <c r="A78" s="220">
        <v>72</v>
      </c>
      <c r="B78" s="234"/>
      <c r="C78" s="227"/>
      <c r="D78" s="227">
        <f t="shared" si="2"/>
        <v>21.648847093028952</v>
      </c>
      <c r="E78" s="232">
        <f>'5K'!$E78*(1-$K$2)+'10K'!$E78*$K$2</f>
        <v>0.71597346193050093</v>
      </c>
    </row>
    <row r="79" spans="1:5">
      <c r="A79" s="220">
        <v>73</v>
      </c>
      <c r="B79" s="234"/>
      <c r="C79" s="227"/>
      <c r="D79" s="227">
        <f t="shared" si="2"/>
        <v>21.951248057239685</v>
      </c>
      <c r="E79" s="232">
        <f>'5K'!$E79*(1-$K$2)+'10K'!$E79*$K$2</f>
        <v>0.70611019289575128</v>
      </c>
    </row>
    <row r="80" spans="1:5">
      <c r="A80" s="220">
        <v>74</v>
      </c>
      <c r="B80" s="234"/>
      <c r="C80" s="227"/>
      <c r="D80" s="227">
        <f t="shared" si="2"/>
        <v>22.283778891448829</v>
      </c>
      <c r="E80" s="232">
        <f>'5K'!$E80*(1-$K$2)+'10K'!$E80*$K$2</f>
        <v>0.69557322730158511</v>
      </c>
    </row>
    <row r="81" spans="1:5">
      <c r="A81" s="220">
        <v>75</v>
      </c>
      <c r="B81" s="234"/>
      <c r="C81" s="227"/>
      <c r="D81" s="227">
        <f t="shared" si="2"/>
        <v>22.645676854256283</v>
      </c>
      <c r="E81" s="232">
        <f>'5K'!$E81*(1-$K$2)+'10K'!$E81*$K$2</f>
        <v>0.68445735138566877</v>
      </c>
    </row>
    <row r="82" spans="1:5">
      <c r="A82" s="220">
        <v>76</v>
      </c>
      <c r="B82" s="234"/>
      <c r="C82" s="227"/>
      <c r="D82" s="227">
        <f t="shared" si="2"/>
        <v>23.040054114661029</v>
      </c>
      <c r="E82" s="232">
        <f>'5K'!$E82*(1-$K$2)+'10K'!$E82*$K$2</f>
        <v>0.67274147546975238</v>
      </c>
    </row>
    <row r="83" spans="1:5">
      <c r="A83" s="220">
        <v>77</v>
      </c>
      <c r="B83" s="234"/>
      <c r="C83" s="227"/>
      <c r="D83" s="227">
        <f t="shared" si="2"/>
        <v>23.470648880494693</v>
      </c>
      <c r="E83" s="232">
        <f>'5K'!$E83*(1-$K$2)+'10K'!$E83*$K$2</f>
        <v>0.66039929611325277</v>
      </c>
    </row>
    <row r="84" spans="1:5">
      <c r="A84" s="220">
        <v>78</v>
      </c>
      <c r="B84" s="234"/>
      <c r="C84" s="227"/>
      <c r="D84" s="227">
        <f t="shared" si="2"/>
        <v>23.940782059179895</v>
      </c>
      <c r="E84" s="232">
        <f>'5K'!$E84*(1-$K$2)+'10K'!$E84*$K$2</f>
        <v>0.64743081331616958</v>
      </c>
    </row>
    <row r="85" spans="1:5">
      <c r="A85" s="220">
        <v>79</v>
      </c>
      <c r="B85" s="234"/>
      <c r="C85" s="227"/>
      <c r="D85" s="227">
        <f t="shared" si="2"/>
        <v>24.456102822737456</v>
      </c>
      <c r="E85" s="232">
        <f>'5K'!$E85*(1-$K$2)+'10K'!$E85*$K$2</f>
        <v>0.63378863395966989</v>
      </c>
    </row>
    <row r="86" spans="1:5">
      <c r="A86" s="220">
        <v>80</v>
      </c>
      <c r="B86" s="234"/>
      <c r="C86" s="227"/>
      <c r="D86" s="227">
        <f t="shared" si="2"/>
        <v>25.016387843402978</v>
      </c>
      <c r="E86" s="232">
        <f>'5K'!$E86*(1-$K$2)+'10K'!$E86*$K$2</f>
        <v>0.61959384772200332</v>
      </c>
    </row>
    <row r="87" spans="1:5">
      <c r="A87" s="220">
        <v>81</v>
      </c>
      <c r="B87" s="234"/>
      <c r="C87" s="227"/>
      <c r="D87" s="227">
        <f t="shared" si="2"/>
        <v>25.629461304007055</v>
      </c>
      <c r="E87" s="232">
        <f>'5K'!$E87*(1-$K$2)+'10K'!$E87*$K$2</f>
        <v>0.60477275804375341</v>
      </c>
    </row>
    <row r="88" spans="1:5">
      <c r="A88" s="220">
        <v>82</v>
      </c>
      <c r="B88" s="234"/>
      <c r="C88" s="227"/>
      <c r="D88" s="227">
        <f t="shared" si="2"/>
        <v>26.300086742754793</v>
      </c>
      <c r="E88" s="232">
        <f>'5K'!$E88*(1-$K$2)+'10K'!$E88*$K$2</f>
        <v>0.58935166836550357</v>
      </c>
    </row>
    <row r="89" spans="1:5">
      <c r="A89" s="220">
        <v>83</v>
      </c>
      <c r="B89" s="234"/>
      <c r="C89" s="227"/>
      <c r="D89" s="227">
        <f t="shared" si="2"/>
        <v>27.036253991531733</v>
      </c>
      <c r="E89" s="232">
        <f>'5K'!$E89*(1-$K$2)+'10K'!$E89*$K$2</f>
        <v>0.57330427524667038</v>
      </c>
    </row>
    <row r="90" spans="1:5">
      <c r="A90" s="220">
        <v>84</v>
      </c>
      <c r="B90" s="234"/>
      <c r="C90" s="227"/>
      <c r="D90" s="227">
        <f t="shared" si="2"/>
        <v>27.84980385246546</v>
      </c>
      <c r="E90" s="232">
        <f>'5K'!$E90*(1-$K$2)+'10K'!$E90*$K$2</f>
        <v>0.55655688212783705</v>
      </c>
    </row>
    <row r="91" spans="1:5">
      <c r="A91" s="220">
        <v>85</v>
      </c>
      <c r="B91" s="234"/>
      <c r="C91" s="227"/>
      <c r="D91" s="227">
        <f t="shared" si="2"/>
        <v>28.741856625221008</v>
      </c>
      <c r="E91" s="232">
        <f>'5K'!$E91*(1-$K$2)+'10K'!$E91*$K$2</f>
        <v>0.53928318556842059</v>
      </c>
    </row>
    <row r="92" spans="1:5">
      <c r="A92" s="220">
        <v>86</v>
      </c>
      <c r="B92" s="234"/>
      <c r="C92" s="227"/>
      <c r="D92" s="227">
        <f t="shared" si="2"/>
        <v>29.728615016806973</v>
      </c>
      <c r="E92" s="232">
        <f>'5K'!$E92*(1-$K$2)+'10K'!$E92*$K$2</f>
        <v>0.52138318556842045</v>
      </c>
    </row>
    <row r="93" spans="1:5">
      <c r="A93" s="220">
        <v>87</v>
      </c>
      <c r="B93" s="234"/>
      <c r="C93" s="227"/>
      <c r="D93" s="227">
        <f t="shared" si="2"/>
        <v>30.823879618415091</v>
      </c>
      <c r="E93" s="232">
        <f>'5K'!$E93*(1-$K$2)+'10K'!$E93*$K$2</f>
        <v>0.50285688212783719</v>
      </c>
    </row>
    <row r="94" spans="1:5">
      <c r="A94" s="220">
        <v>88</v>
      </c>
      <c r="B94" s="234"/>
      <c r="C94" s="227"/>
      <c r="D94" s="227">
        <f t="shared" si="2"/>
        <v>32.04437254993374</v>
      </c>
      <c r="E94" s="232">
        <f>'5K'!$E94*(1-$K$2)+'10K'!$E94*$K$2</f>
        <v>0.48370427524667037</v>
      </c>
    </row>
    <row r="95" spans="1:5">
      <c r="A95" s="220">
        <v>89</v>
      </c>
      <c r="B95" s="234"/>
      <c r="C95" s="227"/>
      <c r="D95" s="227">
        <f t="shared" si="2"/>
        <v>33.413960011188898</v>
      </c>
      <c r="E95" s="232">
        <f>'5K'!$E95*(1-$K$2)+'10K'!$E95*$K$2</f>
        <v>0.46387797180608698</v>
      </c>
    </row>
    <row r="96" spans="1:5">
      <c r="A96" s="220">
        <v>90</v>
      </c>
      <c r="B96" s="234"/>
      <c r="C96" s="227"/>
      <c r="D96" s="227">
        <f t="shared" si="2"/>
        <v>34.94934115108024</v>
      </c>
      <c r="E96" s="232">
        <f>'5K'!$E96*(1-$K$2)+'10K'!$E96*$K$2</f>
        <v>0.44349906148433682</v>
      </c>
    </row>
    <row r="97" spans="1:5">
      <c r="A97" s="220">
        <v>91</v>
      </c>
      <c r="B97" s="234"/>
      <c r="C97" s="227"/>
      <c r="D97" s="227">
        <f t="shared" si="2"/>
        <v>36.686924753041239</v>
      </c>
      <c r="E97" s="232">
        <f>'5K'!$E97*(1-$K$2)+'10K'!$E97*$K$2</f>
        <v>0.42249384772200332</v>
      </c>
    </row>
    <row r="98" spans="1:5">
      <c r="A98" s="220">
        <v>92</v>
      </c>
      <c r="B98" s="234"/>
      <c r="C98" s="227"/>
      <c r="D98" s="227">
        <f t="shared" si="2"/>
        <v>38.664104409503743</v>
      </c>
      <c r="E98" s="232">
        <f>'5K'!$E98*(1-$K$2)+'10K'!$E98*$K$2</f>
        <v>0.40088863395966978</v>
      </c>
    </row>
    <row r="99" spans="1:5">
      <c r="A99" s="220">
        <v>93</v>
      </c>
      <c r="B99" s="234"/>
      <c r="C99" s="227"/>
      <c r="D99" s="227">
        <f t="shared" si="2"/>
        <v>40.934130943475992</v>
      </c>
      <c r="E99" s="232">
        <f>'5K'!$E99*(1-$K$2)+'10K'!$E99*$K$2</f>
        <v>0.3786571167567529</v>
      </c>
    </row>
    <row r="100" spans="1:5">
      <c r="A100" s="220">
        <v>94</v>
      </c>
      <c r="C100" s="227"/>
      <c r="D100" s="227">
        <f t="shared" si="2"/>
        <v>43.572911309842929</v>
      </c>
      <c r="E100" s="232">
        <f>'5K'!$E100*(1-$K$2)+'10K'!$E100*$K$2</f>
        <v>0.35572559955383604</v>
      </c>
    </row>
    <row r="101" spans="1:5">
      <c r="A101" s="220">
        <v>95</v>
      </c>
      <c r="B101" s="234"/>
      <c r="C101" s="227"/>
      <c r="D101" s="227">
        <f t="shared" si="2"/>
        <v>46.652814727856381</v>
      </c>
      <c r="E101" s="232">
        <f>'5K'!$E101*(1-$K$2)+'10K'!$E101*$K$2</f>
        <v>0.33224147546975241</v>
      </c>
    </row>
    <row r="102" spans="1:5">
      <c r="A102" s="220">
        <v>96</v>
      </c>
      <c r="C102" s="227"/>
      <c r="D102" s="227">
        <f t="shared" si="2"/>
        <v>50.298978526075331</v>
      </c>
      <c r="E102" s="232">
        <f>'5K'!$E102*(1-$K$2)+'10K'!$E102*$K$2</f>
        <v>0.30815735138566869</v>
      </c>
    </row>
    <row r="103" spans="1:5">
      <c r="A103" s="220">
        <v>97</v>
      </c>
      <c r="C103" s="227"/>
      <c r="D103" s="227">
        <f t="shared" si="2"/>
        <v>54.683959130214369</v>
      </c>
      <c r="E103" s="232">
        <f>'5K'!$E103*(1-$K$2)+'10K'!$E103*$K$2</f>
        <v>0.28344692386100168</v>
      </c>
    </row>
    <row r="104" spans="1:5">
      <c r="A104" s="220">
        <v>98</v>
      </c>
      <c r="C104" s="227"/>
      <c r="D104" s="227">
        <f t="shared" si="2"/>
        <v>60.045751840547702</v>
      </c>
      <c r="E104" s="232">
        <f>'5K'!$E104*(1-$K$2)+'10K'!$E104*$K$2</f>
        <v>0.25813649633633462</v>
      </c>
    </row>
    <row r="105" spans="1:5">
      <c r="A105" s="220">
        <v>99</v>
      </c>
      <c r="C105" s="227"/>
      <c r="D105" s="227">
        <f t="shared" si="2"/>
        <v>66.781627181821534</v>
      </c>
      <c r="E105" s="232">
        <f>'5K'!$E105*(1-$K$2)+'10K'!$E105*$K$2</f>
        <v>0.23209976537108423</v>
      </c>
    </row>
    <row r="106" spans="1:5">
      <c r="A106" s="220">
        <v>100</v>
      </c>
      <c r="D106" s="227">
        <f>E$4/E106</f>
        <v>75.412311596123146</v>
      </c>
      <c r="E106" s="232">
        <f>'5K'!$E106*(1-$K$2)+'10K'!$E106*$K$2</f>
        <v>0.20553673096525044</v>
      </c>
    </row>
  </sheetData>
  <pageMargins left="0.5" right="0.5" top="0.5" bottom="0.5" header="0" footer="0"/>
  <pageSetup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6"/>
  <sheetViews>
    <sheetView zoomScale="87" zoomScaleNormal="87" workbookViewId="0">
      <selection activeCell="E16" sqref="E16"/>
    </sheetView>
  </sheetViews>
  <sheetFormatPr defaultColWidth="9.6640625" defaultRowHeight="15"/>
  <cols>
    <col min="1" max="5" width="9.6640625" style="220"/>
    <col min="6" max="6" width="11.21875" style="220" customWidth="1"/>
    <col min="7" max="7" width="11.5546875" style="220" customWidth="1"/>
    <col min="8" max="16384" width="9.6640625" style="220"/>
  </cols>
  <sheetData>
    <row r="1" spans="1:11" ht="47.25">
      <c r="A1" s="216" t="s">
        <v>77</v>
      </c>
      <c r="B1" s="217"/>
      <c r="C1" s="218"/>
      <c r="D1" s="219" t="s">
        <v>32</v>
      </c>
      <c r="E1" s="219" t="s">
        <v>71</v>
      </c>
      <c r="F1" s="219" t="s">
        <v>72</v>
      </c>
      <c r="G1" s="219" t="s">
        <v>73</v>
      </c>
      <c r="H1" s="219" t="s">
        <v>74</v>
      </c>
      <c r="I1" s="219" t="s">
        <v>75</v>
      </c>
      <c r="K1" s="217" t="s">
        <v>1363</v>
      </c>
    </row>
    <row r="2" spans="1:11" ht="18" customHeight="1">
      <c r="A2" s="216"/>
      <c r="B2" s="217"/>
      <c r="C2" s="218"/>
      <c r="D2" s="219"/>
      <c r="E2" s="219"/>
      <c r="F2" s="270">
        <f>(+H$3-H$4)*F$4/2</f>
        <v>4.725E-2</v>
      </c>
      <c r="G2" s="271">
        <f>(+I$4-I$3)*G$4/2</f>
        <v>0.17219999999999999</v>
      </c>
      <c r="H2" s="221"/>
      <c r="I2" s="221"/>
      <c r="K2" s="217">
        <f>Parameters!Z15</f>
        <v>0.36454464264023895</v>
      </c>
    </row>
    <row r="3" spans="1:11" ht="14.25" customHeight="1">
      <c r="A3" s="216"/>
      <c r="B3" s="217"/>
      <c r="C3" s="218"/>
      <c r="D3" s="219"/>
      <c r="E3" s="219"/>
      <c r="F3" s="270">
        <f>F4/(2*(+H3-H4))</f>
        <v>1.89E-3</v>
      </c>
      <c r="G3" s="271">
        <f>G4/(2*(+I4-I3))</f>
        <v>1.6006097560975613E-4</v>
      </c>
      <c r="H3" s="222">
        <v>22</v>
      </c>
      <c r="I3" s="223">
        <v>24</v>
      </c>
    </row>
    <row r="4" spans="1:11" ht="15.75">
      <c r="A4" s="217"/>
      <c r="B4" s="217"/>
      <c r="C4" s="217"/>
      <c r="D4" s="224">
        <f>Parameters!G15</f>
        <v>1.1574074074074073E-2</v>
      </c>
      <c r="E4" s="225">
        <f>D4*1440</f>
        <v>16.666666666666664</v>
      </c>
      <c r="F4" s="226">
        <v>1.89E-2</v>
      </c>
      <c r="G4" s="215">
        <v>1.0500000000000001E-2</v>
      </c>
      <c r="H4" s="222">
        <v>17</v>
      </c>
      <c r="I4" s="223">
        <v>56.8</v>
      </c>
    </row>
    <row r="5" spans="1:11" ht="15.75">
      <c r="A5" s="217"/>
      <c r="B5" s="217"/>
      <c r="C5" s="217"/>
      <c r="D5" s="224"/>
      <c r="E5" s="217">
        <f>E4*60</f>
        <v>999.99999999999989</v>
      </c>
      <c r="F5" s="226">
        <v>9.1E-4</v>
      </c>
      <c r="G5" s="215">
        <v>5.1000000000000004E-4</v>
      </c>
      <c r="H5" s="222">
        <v>15</v>
      </c>
      <c r="I5" s="223">
        <v>76.7</v>
      </c>
    </row>
    <row r="6" spans="1:11" ht="47.25">
      <c r="A6" s="228" t="s">
        <v>69</v>
      </c>
      <c r="B6" s="228" t="s">
        <v>32</v>
      </c>
      <c r="C6" s="228" t="s">
        <v>70</v>
      </c>
      <c r="D6" s="228" t="s">
        <v>1394</v>
      </c>
      <c r="E6" s="228" t="s">
        <v>1393</v>
      </c>
      <c r="G6" s="272"/>
    </row>
    <row r="7" spans="1:11">
      <c r="A7" s="220">
        <v>1</v>
      </c>
    </row>
    <row r="8" spans="1:11">
      <c r="A8" s="220">
        <v>2</v>
      </c>
    </row>
    <row r="9" spans="1:11">
      <c r="A9" s="220">
        <v>3</v>
      </c>
      <c r="B9" s="231"/>
      <c r="C9" s="227"/>
      <c r="D9" s="227"/>
      <c r="E9" s="232">
        <f>'5K'!$E9*(1-$K$2)+'10K'!$E9*$K$2</f>
        <v>0.39914630447276667</v>
      </c>
      <c r="G9" s="273"/>
    </row>
    <row r="10" spans="1:11">
      <c r="A10" s="220">
        <v>4</v>
      </c>
      <c r="B10" s="234"/>
      <c r="C10" s="227"/>
      <c r="D10" s="227">
        <f t="shared" ref="D10:D41" si="0">E$4/E10</f>
        <v>35.46118233879691</v>
      </c>
      <c r="E10" s="232">
        <f>'5K'!$E10*(1-$K$2)+'10K'!$E10*$K$2</f>
        <v>0.46999748929499774</v>
      </c>
      <c r="G10" s="273"/>
    </row>
    <row r="11" spans="1:11">
      <c r="A11" s="220">
        <v>5</v>
      </c>
      <c r="B11" s="234"/>
      <c r="C11" s="227"/>
      <c r="D11" s="227">
        <f t="shared" si="0"/>
        <v>31.071116472981299</v>
      </c>
      <c r="E11" s="232">
        <f>'5K'!$E11*(1-$K$2)+'10K'!$E11*$K$2</f>
        <v>0.53640385536707702</v>
      </c>
      <c r="G11" s="273"/>
    </row>
    <row r="12" spans="1:11">
      <c r="A12" s="220">
        <v>6</v>
      </c>
      <c r="B12" s="234"/>
      <c r="C12" s="227"/>
      <c r="D12" s="227">
        <f t="shared" si="0"/>
        <v>27.856618640575473</v>
      </c>
      <c r="E12" s="232">
        <f>'5K'!$E12*(1-$K$2)+'10K'!$E12*$K$2</f>
        <v>0.59830185715326856</v>
      </c>
      <c r="G12" s="273"/>
    </row>
    <row r="13" spans="1:11">
      <c r="A13" s="220">
        <v>7</v>
      </c>
      <c r="B13" s="234"/>
      <c r="C13" s="227"/>
      <c r="D13" s="227">
        <f t="shared" si="0"/>
        <v>25.42092155938758</v>
      </c>
      <c r="E13" s="232">
        <f>'5K'!$E13*(1-$K$2)+'10K'!$E13*$K$2</f>
        <v>0.65562794911783617</v>
      </c>
      <c r="F13" s="1"/>
      <c r="G13" s="273"/>
    </row>
    <row r="14" spans="1:11">
      <c r="A14" s="220">
        <v>8</v>
      </c>
      <c r="B14" s="234"/>
      <c r="C14" s="227"/>
      <c r="D14" s="227">
        <f t="shared" si="0"/>
        <v>23.523570535615288</v>
      </c>
      <c r="E14" s="232">
        <f>'5K'!$E14*(1-$K$2)+'10K'!$E14*$K$2</f>
        <v>0.708509222332252</v>
      </c>
      <c r="G14" s="273"/>
    </row>
    <row r="15" spans="1:11">
      <c r="A15" s="220">
        <v>9</v>
      </c>
      <c r="B15" s="234"/>
      <c r="C15" s="227"/>
      <c r="D15" s="227">
        <f t="shared" si="0"/>
        <v>22.022010269078866</v>
      </c>
      <c r="E15" s="232">
        <f>'5K'!$E15*(1-$K$2)+'10K'!$E15*$K$2</f>
        <v>0.75681858572504401</v>
      </c>
      <c r="G15" s="273"/>
    </row>
    <row r="16" spans="1:11">
      <c r="A16" s="220">
        <v>10</v>
      </c>
      <c r="B16" s="234"/>
      <c r="C16" s="227"/>
      <c r="D16" s="227">
        <f t="shared" si="0"/>
        <v>20.815558658033808</v>
      </c>
      <c r="E16" s="232">
        <f>'5K'!$E16*(1-$K$2)+'10K'!$E16*$K$2</f>
        <v>0.80068313036768435</v>
      </c>
      <c r="G16" s="273"/>
    </row>
    <row r="17" spans="1:7">
      <c r="A17" s="220">
        <v>11</v>
      </c>
      <c r="B17" s="234"/>
      <c r="C17" s="227"/>
      <c r="D17" s="227">
        <f t="shared" si="0"/>
        <v>19.840341343423074</v>
      </c>
      <c r="E17" s="232">
        <f>'5K'!$E17*(1-$K$2)+'10K'!$E17*$K$2</f>
        <v>0.84003931072443683</v>
      </c>
      <c r="G17" s="273"/>
    </row>
    <row r="18" spans="1:7">
      <c r="A18" s="220">
        <v>12</v>
      </c>
      <c r="B18" s="234"/>
      <c r="C18" s="227"/>
      <c r="D18" s="227">
        <f t="shared" si="0"/>
        <v>19.051460230038728</v>
      </c>
      <c r="E18" s="232">
        <f>'5K'!$E18*(1-$K$2)+'10K'!$E18*$K$2</f>
        <v>0.8748235812595655</v>
      </c>
      <c r="G18" s="273"/>
    </row>
    <row r="19" spans="1:7">
      <c r="A19" s="220">
        <v>13</v>
      </c>
      <c r="B19" s="234"/>
      <c r="C19" s="227"/>
      <c r="D19" s="227">
        <f t="shared" si="0"/>
        <v>18.412889234559046</v>
      </c>
      <c r="E19" s="232">
        <f>'5K'!$E19*(1-$K$2)+'10K'!$E19*$K$2</f>
        <v>0.90516303304454215</v>
      </c>
      <c r="G19" s="273"/>
    </row>
    <row r="20" spans="1:7">
      <c r="A20" s="220">
        <v>14</v>
      </c>
      <c r="B20" s="234"/>
      <c r="C20" s="227"/>
      <c r="D20" s="227">
        <f t="shared" si="0"/>
        <v>17.903232651398643</v>
      </c>
      <c r="E20" s="232">
        <f>'5K'!$E20*(1-$K$2)+'10K'!$E20*$K$2</f>
        <v>0.93093057500789533</v>
      </c>
      <c r="G20" s="273"/>
    </row>
    <row r="21" spans="1:7">
      <c r="A21" s="220">
        <v>15</v>
      </c>
      <c r="B21" s="234"/>
      <c r="C21" s="227"/>
      <c r="D21" s="227">
        <f t="shared" si="0"/>
        <v>17.502345959632432</v>
      </c>
      <c r="E21" s="232">
        <f>'5K'!$E21*(1-$K$2)+'10K'!$E21*$K$2</f>
        <v>0.9522532982210965</v>
      </c>
      <c r="G21" s="273"/>
    </row>
    <row r="22" spans="1:7">
      <c r="A22" s="220">
        <v>16</v>
      </c>
      <c r="B22" s="234"/>
      <c r="C22" s="227"/>
      <c r="D22" s="227">
        <f t="shared" si="0"/>
        <v>17.198661562712967</v>
      </c>
      <c r="E22" s="232">
        <f>'5K'!$E22*(1-$K$2)+'10K'!$E22*$K$2</f>
        <v>0.96906765714840981</v>
      </c>
      <c r="G22" s="273"/>
    </row>
    <row r="23" spans="1:7">
      <c r="A23" s="220">
        <v>17</v>
      </c>
      <c r="B23" s="234"/>
      <c r="C23" s="227"/>
      <c r="D23" s="227">
        <f t="shared" si="0"/>
        <v>16.981898293730399</v>
      </c>
      <c r="E23" s="232">
        <f>'5K'!$E23*(1-$K$2)+'10K'!$E23*$K$2</f>
        <v>0.98143719732557133</v>
      </c>
      <c r="G23" s="273"/>
    </row>
    <row r="24" spans="1:7">
      <c r="A24" s="220">
        <v>18</v>
      </c>
      <c r="B24" s="234"/>
      <c r="C24" s="227"/>
      <c r="D24" s="227">
        <f t="shared" si="0"/>
        <v>16.807012650339839</v>
      </c>
      <c r="E24" s="232">
        <f>'5K'!$E24*(1-$K$2)+'10K'!$E24*$K$2</f>
        <v>0.99164955803907617</v>
      </c>
      <c r="G24" s="273"/>
    </row>
    <row r="25" spans="1:7">
      <c r="A25" s="220">
        <v>19</v>
      </c>
      <c r="B25" s="234"/>
      <c r="C25" s="227"/>
      <c r="D25" s="227">
        <f t="shared" si="0"/>
        <v>16.725810521475033</v>
      </c>
      <c r="E25" s="232">
        <f>'5K'!$E25*(1-$K$2)+'10K'!$E25*$K$2</f>
        <v>0.99646391696638958</v>
      </c>
      <c r="G25" s="273"/>
    </row>
    <row r="26" spans="1:7">
      <c r="A26" s="220">
        <v>20</v>
      </c>
      <c r="B26" s="234"/>
      <c r="C26" s="227"/>
      <c r="D26" s="227">
        <f t="shared" si="0"/>
        <v>16.686131754466601</v>
      </c>
      <c r="E26" s="232">
        <f>'5K'!$E26*(1-$K$2)+'10K'!$E26*$K$2</f>
        <v>0.99883345714355121</v>
      </c>
    </row>
    <row r="27" spans="1:7">
      <c r="A27" s="220">
        <v>21</v>
      </c>
      <c r="B27" s="234"/>
      <c r="C27" s="227"/>
      <c r="D27" s="227">
        <f t="shared" si="0"/>
        <v>16.666666666666664</v>
      </c>
      <c r="E27" s="232">
        <f>'5K'!$E27*(1-$K$2)+'10K'!$E27*$K$2</f>
        <v>1</v>
      </c>
    </row>
    <row r="28" spans="1:7">
      <c r="A28" s="220">
        <v>22</v>
      </c>
      <c r="B28" s="234"/>
      <c r="C28" s="227"/>
      <c r="D28" s="227">
        <f t="shared" si="0"/>
        <v>16.666666666666664</v>
      </c>
      <c r="E28" s="232">
        <f>'5K'!$E28*(1-$K$2)+'10K'!$E28*$K$2</f>
        <v>1</v>
      </c>
    </row>
    <row r="29" spans="1:7">
      <c r="A29" s="220">
        <v>23</v>
      </c>
      <c r="B29" s="234"/>
      <c r="C29" s="227"/>
      <c r="D29" s="227">
        <f t="shared" si="0"/>
        <v>16.666666666666664</v>
      </c>
      <c r="E29" s="232">
        <f>'5K'!$E29*(1-$K$2)+'10K'!$E29*$K$2</f>
        <v>1</v>
      </c>
    </row>
    <row r="30" spans="1:7">
      <c r="A30" s="220">
        <v>24</v>
      </c>
      <c r="B30" s="234"/>
      <c r="C30" s="227"/>
      <c r="D30" s="227">
        <f t="shared" si="0"/>
        <v>16.666666666666664</v>
      </c>
      <c r="E30" s="232">
        <f>'5K'!$E30*(1-$K$2)+'10K'!$E30*$K$2</f>
        <v>1</v>
      </c>
    </row>
    <row r="31" spans="1:7">
      <c r="A31" s="220">
        <v>25</v>
      </c>
      <c r="B31" s="234"/>
      <c r="C31" s="227"/>
      <c r="D31" s="227">
        <f t="shared" si="0"/>
        <v>16.666666666666664</v>
      </c>
      <c r="E31" s="232">
        <f>'5K'!$E31*(1-$K$2)+'10K'!$E31*$K$2</f>
        <v>1</v>
      </c>
    </row>
    <row r="32" spans="1:7">
      <c r="A32" s="220">
        <v>26</v>
      </c>
      <c r="B32" s="234"/>
      <c r="C32" s="227"/>
      <c r="D32" s="227">
        <f t="shared" si="0"/>
        <v>16.666666666666664</v>
      </c>
      <c r="E32" s="232">
        <f>'5K'!$E32*(1-$K$2)+'10K'!$E32*$K$2</f>
        <v>1</v>
      </c>
    </row>
    <row r="33" spans="1:7">
      <c r="A33" s="220">
        <v>27</v>
      </c>
      <c r="B33" s="234"/>
      <c r="C33" s="227"/>
      <c r="D33" s="227">
        <f t="shared" si="0"/>
        <v>16.666666666666664</v>
      </c>
      <c r="E33" s="232">
        <f>'5K'!$E33*(1-$K$2)+'10K'!$E33*$K$2</f>
        <v>1</v>
      </c>
      <c r="G33" s="273"/>
    </row>
    <row r="34" spans="1:7">
      <c r="A34" s="220">
        <v>28</v>
      </c>
      <c r="B34" s="234"/>
      <c r="C34" s="227"/>
      <c r="D34" s="227">
        <f t="shared" si="0"/>
        <v>16.667881904077124</v>
      </c>
      <c r="E34" s="232">
        <f>'5K'!$E34*(1-$K$2)+'10K'!$E34*$K$2</f>
        <v>0.99992709107147193</v>
      </c>
    </row>
    <row r="35" spans="1:7">
      <c r="A35" s="220">
        <v>29</v>
      </c>
      <c r="B35" s="234"/>
      <c r="C35" s="227"/>
      <c r="D35" s="227">
        <f t="shared" si="0"/>
        <v>16.672744626398327</v>
      </c>
      <c r="E35" s="232">
        <f>'5K'!$E35*(1-$K$2)+'10K'!$E35*$K$2</f>
        <v>0.99963545535735965</v>
      </c>
    </row>
    <row r="36" spans="1:7">
      <c r="A36" s="220">
        <v>30</v>
      </c>
      <c r="B36" s="234"/>
      <c r="C36" s="227"/>
      <c r="D36" s="227">
        <f t="shared" si="0"/>
        <v>16.681104892742074</v>
      </c>
      <c r="E36" s="232">
        <f>'5K'!$E36*(1-$K$2)+'10K'!$E36*$K$2</f>
        <v>0.99913445625045549</v>
      </c>
    </row>
    <row r="37" spans="1:7">
      <c r="A37" s="220">
        <v>31</v>
      </c>
      <c r="B37" s="234"/>
      <c r="C37" s="227"/>
      <c r="D37" s="227">
        <f t="shared" si="0"/>
        <v>16.704825006222862</v>
      </c>
      <c r="E37" s="232">
        <f>'5K'!$E37*(1-$K$2)+'10K'!$E37*$K$2</f>
        <v>0.9977157294648713</v>
      </c>
    </row>
    <row r="38" spans="1:7">
      <c r="A38" s="220">
        <v>32</v>
      </c>
      <c r="B38" s="234"/>
      <c r="C38" s="227"/>
      <c r="D38" s="227">
        <f t="shared" si="0"/>
        <v>16.743878746262759</v>
      </c>
      <c r="E38" s="232">
        <f>'5K'!$E38*(1-$K$2)+'10K'!$E38*$K$2</f>
        <v>0.99538863839339931</v>
      </c>
    </row>
    <row r="39" spans="1:7">
      <c r="A39" s="220">
        <v>33</v>
      </c>
      <c r="B39" s="234"/>
      <c r="C39" s="227"/>
      <c r="D39" s="227">
        <f t="shared" si="0"/>
        <v>16.801868224925222</v>
      </c>
      <c r="E39" s="232">
        <f>'5K'!$E39*(1-$K$2)+'10K'!$E39*$K$2</f>
        <v>0.99195318303603952</v>
      </c>
    </row>
    <row r="40" spans="1:7">
      <c r="A40" s="220">
        <v>34</v>
      </c>
      <c r="B40" s="234"/>
      <c r="C40" s="227"/>
      <c r="D40" s="227">
        <f t="shared" si="0"/>
        <v>16.875768177623076</v>
      </c>
      <c r="E40" s="232">
        <f>'5K'!$E40*(1-$K$2)+'10K'!$E40*$K$2</f>
        <v>0.98760936339279204</v>
      </c>
    </row>
    <row r="41" spans="1:7">
      <c r="A41" s="220">
        <v>35</v>
      </c>
      <c r="B41" s="234"/>
      <c r="C41" s="227"/>
      <c r="D41" s="227">
        <f t="shared" si="0"/>
        <v>16.969449508853682</v>
      </c>
      <c r="E41" s="232">
        <f>'5K'!$E41*(1-$K$2)+'10K'!$E41*$K$2</f>
        <v>0.98215717946365655</v>
      </c>
    </row>
    <row r="42" spans="1:7">
      <c r="A42" s="220">
        <v>36</v>
      </c>
      <c r="B42" s="234"/>
      <c r="C42" s="227"/>
      <c r="D42" s="227">
        <f t="shared" ref="D42:D73" si="1">E$4/E42</f>
        <v>17.073390608891351</v>
      </c>
      <c r="E42" s="232">
        <f>'5K'!$E42*(1-$K$2)+'10K'!$E42*$K$2</f>
        <v>0.97617790446304931</v>
      </c>
    </row>
    <row r="43" spans="1:7">
      <c r="A43" s="220">
        <v>37</v>
      </c>
      <c r="B43" s="234"/>
      <c r="C43" s="227"/>
      <c r="D43" s="227">
        <f t="shared" si="1"/>
        <v>17.182486586239147</v>
      </c>
      <c r="E43" s="232">
        <f>'5K'!$E43*(1-$K$2)+'10K'!$E43*$K$2</f>
        <v>0.96997990267685785</v>
      </c>
    </row>
    <row r="44" spans="1:7">
      <c r="A44" s="220">
        <v>38</v>
      </c>
      <c r="B44" s="234"/>
      <c r="C44" s="227"/>
      <c r="D44" s="227">
        <f t="shared" si="1"/>
        <v>17.295602520609801</v>
      </c>
      <c r="E44" s="232">
        <f>'5K'!$E44*(1-$K$2)+'10K'!$E44*$K$2</f>
        <v>0.96363608303361026</v>
      </c>
    </row>
    <row r="45" spans="1:7">
      <c r="A45" s="220">
        <v>39</v>
      </c>
      <c r="B45" s="234"/>
      <c r="C45" s="227"/>
      <c r="D45" s="227">
        <f t="shared" si="1"/>
        <v>17.414196536863532</v>
      </c>
      <c r="E45" s="232">
        <f>'5K'!$E45*(1-$K$2)+'10K'!$E45*$K$2</f>
        <v>0.95707353660477845</v>
      </c>
    </row>
    <row r="46" spans="1:7">
      <c r="A46" s="220">
        <v>40</v>
      </c>
      <c r="B46" s="234"/>
      <c r="C46" s="227"/>
      <c r="D46" s="227">
        <f t="shared" si="1"/>
        <v>17.537118522556966</v>
      </c>
      <c r="E46" s="232">
        <f>'5K'!$E46*(1-$K$2)+'10K'!$E46*$K$2</f>
        <v>0.95036517231889084</v>
      </c>
    </row>
    <row r="47" spans="1:7">
      <c r="A47" s="220">
        <v>41</v>
      </c>
      <c r="B47" s="234"/>
      <c r="C47" s="227"/>
      <c r="D47" s="227">
        <f t="shared" si="1"/>
        <v>17.665882899946023</v>
      </c>
      <c r="E47" s="232">
        <f>'5K'!$E47*(1-$K$2)+'10K'!$E47*$K$2</f>
        <v>0.94343808124741879</v>
      </c>
    </row>
    <row r="48" spans="1:7">
      <c r="A48" s="220">
        <v>42</v>
      </c>
      <c r="B48" s="234"/>
      <c r="C48" s="227"/>
      <c r="D48" s="227">
        <f t="shared" si="1"/>
        <v>17.799323553856638</v>
      </c>
      <c r="E48" s="232">
        <f>'5K'!$E48*(1-$K$2)+'10K'!$E48*$K$2</f>
        <v>0.93636517231889083</v>
      </c>
    </row>
    <row r="49" spans="1:5">
      <c r="A49" s="220">
        <v>43</v>
      </c>
      <c r="B49" s="234"/>
      <c r="C49" s="227"/>
      <c r="D49" s="227">
        <f t="shared" si="1"/>
        <v>17.936906357951958</v>
      </c>
      <c r="E49" s="232">
        <f>'5K'!$E49*(1-$K$2)+'10K'!$E49*$K$2</f>
        <v>0.92918289999757064</v>
      </c>
    </row>
    <row r="50" spans="1:5">
      <c r="A50" s="220">
        <v>44</v>
      </c>
      <c r="B50" s="234"/>
      <c r="C50" s="227"/>
      <c r="D50" s="227">
        <f t="shared" si="1"/>
        <v>18.076632668539748</v>
      </c>
      <c r="E50" s="232">
        <f>'5K'!$E50*(1-$K$2)+'10K'!$E50*$K$2</f>
        <v>0.92200062767625057</v>
      </c>
    </row>
    <row r="51" spans="1:5">
      <c r="A51" s="220">
        <v>45</v>
      </c>
      <c r="B51" s="234"/>
      <c r="C51" s="227"/>
      <c r="D51" s="227">
        <f t="shared" si="1"/>
        <v>18.218552971863303</v>
      </c>
      <c r="E51" s="232">
        <f>'5K'!$E51*(1-$K$2)+'10K'!$E51*$K$2</f>
        <v>0.91481835535493028</v>
      </c>
    </row>
    <row r="52" spans="1:5">
      <c r="A52" s="220">
        <v>46</v>
      </c>
      <c r="B52" s="234"/>
      <c r="C52" s="227"/>
      <c r="D52" s="227">
        <f t="shared" si="1"/>
        <v>18.362719352189405</v>
      </c>
      <c r="E52" s="232">
        <f>'5K'!$E52*(1-$K$2)+'10K'!$E52*$K$2</f>
        <v>0.90763608303361021</v>
      </c>
    </row>
    <row r="53" spans="1:5">
      <c r="A53" s="220">
        <v>47</v>
      </c>
      <c r="B53" s="234"/>
      <c r="C53" s="227"/>
      <c r="D53" s="227">
        <f t="shared" si="1"/>
        <v>18.509185555539773</v>
      </c>
      <c r="E53" s="232">
        <f>'5K'!$E53*(1-$K$2)+'10K'!$E53*$K$2</f>
        <v>0.90045381071229014</v>
      </c>
    </row>
    <row r="54" spans="1:5">
      <c r="A54" s="220">
        <v>48</v>
      </c>
      <c r="B54" s="234"/>
      <c r="C54" s="227"/>
      <c r="D54" s="227">
        <f t="shared" si="1"/>
        <v>18.658007056497016</v>
      </c>
      <c r="E54" s="232">
        <f>'5K'!$E54*(1-$K$2)+'10K'!$E54*$K$2</f>
        <v>0.89327153839096995</v>
      </c>
    </row>
    <row r="55" spans="1:5">
      <c r="A55" s="220">
        <v>49</v>
      </c>
      <c r="B55" s="234"/>
      <c r="C55" s="227"/>
      <c r="D55" s="227">
        <f t="shared" si="1"/>
        <v>18.809241128259647</v>
      </c>
      <c r="E55" s="232">
        <f>'5K'!$E55*(1-$K$2)+'10K'!$E55*$K$2</f>
        <v>0.88608926606964988</v>
      </c>
    </row>
    <row r="56" spans="1:5">
      <c r="A56" s="220">
        <v>50</v>
      </c>
      <c r="B56" s="234"/>
      <c r="C56" s="227"/>
      <c r="D56" s="227">
        <f t="shared" si="1"/>
        <v>18.962946916131916</v>
      </c>
      <c r="E56" s="232">
        <f>'5K'!$E56*(1-$K$2)+'10K'!$E56*$K$2</f>
        <v>0.87890699374832981</v>
      </c>
    </row>
    <row r="57" spans="1:5">
      <c r="A57" s="220">
        <v>51</v>
      </c>
      <c r="B57" s="234"/>
      <c r="C57" s="227"/>
      <c r="D57" s="227">
        <f t="shared" si="1"/>
        <v>19.119185514646645</v>
      </c>
      <c r="E57" s="232">
        <f>'5K'!$E57*(1-$K$2)+'10K'!$E57*$K$2</f>
        <v>0.87172472142700963</v>
      </c>
    </row>
    <row r="58" spans="1:5">
      <c r="A58" s="220">
        <v>52</v>
      </c>
      <c r="B58" s="234"/>
      <c r="C58" s="227"/>
      <c r="D58" s="227">
        <f t="shared" si="1"/>
        <v>19.278020048532259</v>
      </c>
      <c r="E58" s="232">
        <f>'5K'!$E58*(1-$K$2)+'10K'!$E58*$K$2</f>
        <v>0.86454244910568956</v>
      </c>
    </row>
    <row r="59" spans="1:5">
      <c r="A59" s="220">
        <v>53</v>
      </c>
      <c r="B59" s="234"/>
      <c r="C59" s="227"/>
      <c r="D59" s="227">
        <f t="shared" si="1"/>
        <v>19.439515757749518</v>
      </c>
      <c r="E59" s="232">
        <f>'5K'!$E59*(1-$K$2)+'10K'!$E59*$K$2</f>
        <v>0.85736017678436949</v>
      </c>
    </row>
    <row r="60" spans="1:5">
      <c r="A60" s="220">
        <v>54</v>
      </c>
      <c r="B60" s="234"/>
      <c r="C60" s="227"/>
      <c r="D60" s="227">
        <f t="shared" si="1"/>
        <v>19.603740086838538</v>
      </c>
      <c r="E60" s="232">
        <f>'5K'!$E60*(1-$K$2)+'10K'!$E60*$K$2</f>
        <v>0.85017790446304931</v>
      </c>
    </row>
    <row r="61" spans="1:5">
      <c r="A61" s="220">
        <v>55</v>
      </c>
      <c r="B61" s="234"/>
      <c r="C61" s="227"/>
      <c r="D61" s="227">
        <f t="shared" si="1"/>
        <v>19.770762778833202</v>
      </c>
      <c r="E61" s="232">
        <f>'5K'!$E61*(1-$K$2)+'10K'!$E61*$K$2</f>
        <v>0.84299563214172912</v>
      </c>
    </row>
    <row r="62" spans="1:5">
      <c r="A62" s="220">
        <v>56</v>
      </c>
      <c r="B62" s="234"/>
      <c r="C62" s="227"/>
      <c r="D62" s="227">
        <f t="shared" si="1"/>
        <v>19.940655974017726</v>
      </c>
      <c r="E62" s="232">
        <f>'5K'!$E62*(1-$K$2)+'10K'!$E62*$K$2</f>
        <v>0.83581335982040894</v>
      </c>
    </row>
    <row r="63" spans="1:5">
      <c r="A63" s="220">
        <v>57</v>
      </c>
      <c r="B63" s="234"/>
      <c r="C63" s="227"/>
      <c r="D63" s="227">
        <f t="shared" si="1"/>
        <v>20.1134943138191</v>
      </c>
      <c r="E63" s="232">
        <f>'5K'!$E63*(1-$K$2)+'10K'!$E63*$K$2</f>
        <v>0.82863108749908898</v>
      </c>
    </row>
    <row r="64" spans="1:5">
      <c r="A64" s="220">
        <v>58</v>
      </c>
      <c r="B64" s="234"/>
      <c r="C64" s="227"/>
      <c r="D64" s="227">
        <f t="shared" si="1"/>
        <v>20.289355050149837</v>
      </c>
      <c r="E64" s="232">
        <f>'5K'!$E64*(1-$K$2)+'10K'!$E64*$K$2</f>
        <v>0.82144881517776891</v>
      </c>
    </row>
    <row r="65" spans="1:5">
      <c r="A65" s="220">
        <v>59</v>
      </c>
      <c r="B65" s="234"/>
      <c r="C65" s="227"/>
      <c r="D65" s="227">
        <f t="shared" si="1"/>
        <v>20.468318160537407</v>
      </c>
      <c r="E65" s="232">
        <f>'5K'!$E65*(1-$K$2)+'10K'!$E65*$K$2</f>
        <v>0.81426654285644884</v>
      </c>
    </row>
    <row r="66" spans="1:5">
      <c r="A66" s="220">
        <v>60</v>
      </c>
      <c r="B66" s="234"/>
      <c r="C66" s="227"/>
      <c r="D66" s="227">
        <f t="shared" si="1"/>
        <v>20.650466469401032</v>
      </c>
      <c r="E66" s="232">
        <f>'5K'!$E66*(1-$K$2)+'10K'!$E66*$K$2</f>
        <v>0.80708427053512855</v>
      </c>
    </row>
    <row r="67" spans="1:5">
      <c r="A67" s="220">
        <v>61</v>
      </c>
      <c r="B67" s="234"/>
      <c r="C67" s="227"/>
      <c r="D67" s="227">
        <f t="shared" si="1"/>
        <v>20.835885775861978</v>
      </c>
      <c r="E67" s="232">
        <f>'5K'!$E67*(1-$K$2)+'10K'!$E67*$K$2</f>
        <v>0.79990199821380847</v>
      </c>
    </row>
    <row r="68" spans="1:5">
      <c r="A68" s="220">
        <v>62</v>
      </c>
      <c r="B68" s="234"/>
      <c r="C68" s="227"/>
      <c r="D68" s="227">
        <f t="shared" si="1"/>
        <v>21.024664988501954</v>
      </c>
      <c r="E68" s="232">
        <f>'5K'!$E68*(1-$K$2)+'10K'!$E68*$K$2</f>
        <v>0.79271972589248829</v>
      </c>
    </row>
    <row r="69" spans="1:5">
      <c r="A69" s="220">
        <v>63</v>
      </c>
      <c r="B69" s="234"/>
      <c r="C69" s="227"/>
      <c r="D69" s="227">
        <f t="shared" si="1"/>
        <v>21.21689626751412</v>
      </c>
      <c r="E69" s="232">
        <f>'5K'!$E69*(1-$K$2)+'10K'!$E69*$K$2</f>
        <v>0.78553745357116822</v>
      </c>
    </row>
    <row r="70" spans="1:5">
      <c r="A70" s="220">
        <v>64</v>
      </c>
      <c r="B70" s="234"/>
      <c r="C70" s="227"/>
      <c r="D70" s="227">
        <f t="shared" si="1"/>
        <v>21.41267517472431</v>
      </c>
      <c r="E70" s="232">
        <f>'5K'!$E70*(1-$K$2)+'10K'!$E70*$K$2</f>
        <v>0.77835518124984815</v>
      </c>
    </row>
    <row r="71" spans="1:5">
      <c r="A71" s="220">
        <v>65</v>
      </c>
      <c r="B71" s="234"/>
      <c r="C71" s="227"/>
      <c r="D71" s="227">
        <f t="shared" si="1"/>
        <v>21.612100831995544</v>
      </c>
      <c r="E71" s="232">
        <f>'5K'!$E71*(1-$K$2)+'10K'!$E71*$K$2</f>
        <v>0.77117290892852797</v>
      </c>
    </row>
    <row r="72" spans="1:5">
      <c r="A72" s="220">
        <v>66</v>
      </c>
      <c r="B72" s="234"/>
      <c r="C72" s="227"/>
      <c r="D72" s="227">
        <f t="shared" si="1"/>
        <v>21.815276088567472</v>
      </c>
      <c r="E72" s="232">
        <f>'5K'!$E72*(1-$K$2)+'10K'!$E72*$K$2</f>
        <v>0.7639906366072079</v>
      </c>
    </row>
    <row r="73" spans="1:5">
      <c r="A73" s="220">
        <v>67</v>
      </c>
      <c r="B73" s="234"/>
      <c r="C73" s="227"/>
      <c r="D73" s="227">
        <f t="shared" si="1"/>
        <v>22.022307697924383</v>
      </c>
      <c r="E73" s="232">
        <f>'5K'!$E73*(1-$K$2)+'10K'!$E73*$K$2</f>
        <v>0.75680836428588771</v>
      </c>
    </row>
    <row r="74" spans="1:5">
      <c r="A74" s="220">
        <v>68</v>
      </c>
      <c r="B74" s="234"/>
      <c r="C74" s="227"/>
      <c r="D74" s="227">
        <f t="shared" ref="D74:D105" si="2">E$4/E74</f>
        <v>22.235191374051805</v>
      </c>
      <c r="E74" s="232">
        <f>'5K'!$E74*(1-$K$2)+'10K'!$E74*$K$2</f>
        <v>0.74956254642883169</v>
      </c>
    </row>
    <row r="75" spans="1:5">
      <c r="A75" s="220">
        <v>69</v>
      </c>
      <c r="B75" s="234"/>
      <c r="C75" s="227"/>
      <c r="D75" s="227">
        <f t="shared" si="2"/>
        <v>22.465693128445867</v>
      </c>
      <c r="E75" s="232">
        <f>'5K'!$E75*(1-$K$2)+'10K'!$E75*$K$2</f>
        <v>0.74187190982162377</v>
      </c>
    </row>
    <row r="76" spans="1:5">
      <c r="A76" s="220">
        <v>70</v>
      </c>
      <c r="B76" s="234"/>
      <c r="C76" s="227"/>
      <c r="D76" s="227">
        <f t="shared" si="2"/>
        <v>22.711980614304405</v>
      </c>
      <c r="E76" s="232">
        <f>'5K'!$E76*(1-$K$2)+'10K'!$E76*$K$2</f>
        <v>0.73382709107147193</v>
      </c>
    </row>
    <row r="77" spans="1:5">
      <c r="A77" s="220">
        <v>71</v>
      </c>
      <c r="B77" s="234"/>
      <c r="C77" s="227"/>
      <c r="D77" s="227">
        <f t="shared" si="2"/>
        <v>22.978107276347068</v>
      </c>
      <c r="E77" s="232">
        <f>'5K'!$E77*(1-$K$2)+'10K'!$E77*$K$2</f>
        <v>0.72532809017837607</v>
      </c>
    </row>
    <row r="78" spans="1:5">
      <c r="A78" s="220">
        <v>72</v>
      </c>
      <c r="B78" s="234"/>
      <c r="C78" s="227"/>
      <c r="D78" s="227">
        <f t="shared" si="2"/>
        <v>23.272391028398555</v>
      </c>
      <c r="E78" s="232">
        <f>'5K'!$E78*(1-$K$2)+'10K'!$E78*$K$2</f>
        <v>0.71615618035675244</v>
      </c>
    </row>
    <row r="79" spans="1:5">
      <c r="A79" s="220">
        <v>73</v>
      </c>
      <c r="B79" s="234"/>
      <c r="C79" s="227"/>
      <c r="D79" s="227">
        <f t="shared" si="2"/>
        <v>23.594334361438513</v>
      </c>
      <c r="E79" s="232">
        <f>'5K'!$E79*(1-$K$2)+'10K'!$E79*$K$2</f>
        <v>0.70638427053512864</v>
      </c>
    </row>
    <row r="80" spans="1:5">
      <c r="A80" s="220">
        <v>74</v>
      </c>
      <c r="B80" s="234"/>
      <c r="C80" s="227"/>
      <c r="D80" s="227">
        <f t="shared" si="2"/>
        <v>23.948121331896274</v>
      </c>
      <c r="E80" s="232">
        <f>'5K'!$E80*(1-$K$2)+'10K'!$E80*$K$2</f>
        <v>0.69594881517776885</v>
      </c>
    </row>
    <row r="81" spans="1:5">
      <c r="A81" s="220">
        <v>75</v>
      </c>
      <c r="B81" s="234"/>
      <c r="C81" s="227"/>
      <c r="D81" s="227">
        <f t="shared" si="2"/>
        <v>24.334310726172049</v>
      </c>
      <c r="E81" s="232">
        <f>'5K'!$E81*(1-$K$2)+'10K'!$E81*$K$2</f>
        <v>0.68490399642761701</v>
      </c>
    </row>
    <row r="82" spans="1:5">
      <c r="A82" s="220">
        <v>76</v>
      </c>
      <c r="B82" s="234"/>
      <c r="C82" s="227"/>
      <c r="D82" s="227">
        <f t="shared" si="2"/>
        <v>24.755201591401221</v>
      </c>
      <c r="E82" s="232">
        <f>'5K'!$E82*(1-$K$2)+'10K'!$E82*$K$2</f>
        <v>0.67325917767746524</v>
      </c>
    </row>
    <row r="83" spans="1:5">
      <c r="A83" s="220">
        <v>77</v>
      </c>
      <c r="B83" s="234"/>
      <c r="C83" s="227"/>
      <c r="D83" s="227">
        <f t="shared" si="2"/>
        <v>25.215164613113604</v>
      </c>
      <c r="E83" s="232">
        <f>'5K'!$E83*(1-$K$2)+'10K'!$E83*$K$2</f>
        <v>0.66097790446304927</v>
      </c>
    </row>
    <row r="84" spans="1:5">
      <c r="A84" s="220">
        <v>78</v>
      </c>
      <c r="B84" s="234"/>
      <c r="C84" s="227"/>
      <c r="D84" s="227">
        <f t="shared" si="2"/>
        <v>25.717776317263517</v>
      </c>
      <c r="E84" s="232">
        <f>'5K'!$E84*(1-$K$2)+'10K'!$E84*$K$2</f>
        <v>0.64806017678436945</v>
      </c>
    </row>
    <row r="85" spans="1:5">
      <c r="A85" s="220">
        <v>79</v>
      </c>
      <c r="B85" s="234"/>
      <c r="C85" s="227"/>
      <c r="D85" s="227">
        <f t="shared" si="2"/>
        <v>26.268275545317803</v>
      </c>
      <c r="E85" s="232">
        <f>'5K'!$E85*(1-$K$2)+'10K'!$E85*$K$2</f>
        <v>0.63447890356995362</v>
      </c>
    </row>
    <row r="86" spans="1:5">
      <c r="A86" s="220">
        <v>80</v>
      </c>
      <c r="B86" s="234"/>
      <c r="C86" s="227"/>
      <c r="D86" s="227">
        <f t="shared" si="2"/>
        <v>26.867648653960252</v>
      </c>
      <c r="E86" s="232">
        <f>'5K'!$E86*(1-$K$2)+'10K'!$E86*$K$2</f>
        <v>0.62032472142700967</v>
      </c>
    </row>
    <row r="87" spans="1:5">
      <c r="A87" s="220">
        <v>81</v>
      </c>
      <c r="B87" s="234"/>
      <c r="C87" s="227"/>
      <c r="D87" s="227">
        <f t="shared" si="2"/>
        <v>27.523911674809231</v>
      </c>
      <c r="E87" s="232">
        <f>'5K'!$E87*(1-$K$2)+'10K'!$E87*$K$2</f>
        <v>0.60553408481980175</v>
      </c>
    </row>
    <row r="88" spans="1:5">
      <c r="A88" s="220">
        <v>82</v>
      </c>
      <c r="B88" s="234"/>
      <c r="C88" s="227"/>
      <c r="D88" s="227">
        <f t="shared" si="2"/>
        <v>28.241721088569385</v>
      </c>
      <c r="E88" s="232">
        <f>'5K'!$E88*(1-$K$2)+'10K'!$E88*$K$2</f>
        <v>0.59014344821259379</v>
      </c>
    </row>
    <row r="89" spans="1:5">
      <c r="A89" s="220">
        <v>83</v>
      </c>
      <c r="B89" s="234"/>
      <c r="C89" s="227"/>
      <c r="D89" s="227">
        <f t="shared" si="2"/>
        <v>29.030119869185118</v>
      </c>
      <c r="E89" s="232">
        <f>'5K'!$E89*(1-$K$2)+'10K'!$E89*$K$2</f>
        <v>0.57411635714112197</v>
      </c>
    </row>
    <row r="90" spans="1:5">
      <c r="A90" s="220">
        <v>84</v>
      </c>
      <c r="B90" s="234"/>
      <c r="C90" s="227"/>
      <c r="D90" s="227">
        <f t="shared" si="2"/>
        <v>29.901305391453374</v>
      </c>
      <c r="E90" s="232">
        <f>'5K'!$E90*(1-$K$2)+'10K'!$E90*$K$2</f>
        <v>0.55738926606965</v>
      </c>
    </row>
    <row r="91" spans="1:5">
      <c r="A91" s="220">
        <v>85</v>
      </c>
      <c r="B91" s="234"/>
      <c r="C91" s="227"/>
      <c r="D91" s="227">
        <f t="shared" si="2"/>
        <v>30.857013530464119</v>
      </c>
      <c r="E91" s="232">
        <f>'5K'!$E91*(1-$K$2)+'10K'!$E91*$K$2</f>
        <v>0.54012572053391394</v>
      </c>
    </row>
    <row r="92" spans="1:5">
      <c r="A92" s="220">
        <v>86</v>
      </c>
      <c r="B92" s="234"/>
      <c r="C92" s="227"/>
      <c r="D92" s="227">
        <f t="shared" si="2"/>
        <v>31.91467982394083</v>
      </c>
      <c r="E92" s="232">
        <f>'5K'!$E92*(1-$K$2)+'10K'!$E92*$K$2</f>
        <v>0.52222572053391392</v>
      </c>
    </row>
    <row r="93" spans="1:5">
      <c r="A93" s="220">
        <v>87</v>
      </c>
      <c r="B93" s="234"/>
      <c r="C93" s="227"/>
      <c r="D93" s="227">
        <f t="shared" si="2"/>
        <v>33.08918372773504</v>
      </c>
      <c r="E93" s="232">
        <f>'5K'!$E93*(1-$K$2)+'10K'!$E93*$K$2</f>
        <v>0.50368926606964992</v>
      </c>
    </row>
    <row r="94" spans="1:5">
      <c r="A94" s="220">
        <v>88</v>
      </c>
      <c r="B94" s="234"/>
      <c r="C94" s="227"/>
      <c r="D94" s="227">
        <f t="shared" si="2"/>
        <v>34.398563476799765</v>
      </c>
      <c r="E94" s="232">
        <f>'5K'!$E94*(1-$K$2)+'10K'!$E94*$K$2</f>
        <v>0.48451635714112185</v>
      </c>
    </row>
    <row r="95" spans="1:5">
      <c r="A95" s="220">
        <v>89</v>
      </c>
      <c r="B95" s="234"/>
      <c r="C95" s="227"/>
      <c r="D95" s="227">
        <f t="shared" si="2"/>
        <v>35.866984069368712</v>
      </c>
      <c r="E95" s="232">
        <f>'5K'!$E95*(1-$K$2)+'10K'!$E95*$K$2</f>
        <v>0.46467990267685788</v>
      </c>
    </row>
    <row r="96" spans="1:5">
      <c r="A96" s="220">
        <v>90</v>
      </c>
      <c r="B96" s="234"/>
      <c r="C96" s="227"/>
      <c r="D96" s="227">
        <f t="shared" si="2"/>
        <v>37.514678991599816</v>
      </c>
      <c r="E96" s="232">
        <f>'5K'!$E96*(1-$K$2)+'10K'!$E96*$K$2</f>
        <v>0.44427053928406579</v>
      </c>
    </row>
    <row r="97" spans="1:5">
      <c r="A97" s="220">
        <v>91</v>
      </c>
      <c r="B97" s="234"/>
      <c r="C97" s="227"/>
      <c r="D97" s="227">
        <f t="shared" si="2"/>
        <v>39.380182259842385</v>
      </c>
      <c r="E97" s="232">
        <f>'5K'!$E97*(1-$K$2)+'10K'!$E97*$K$2</f>
        <v>0.42322472142700973</v>
      </c>
    </row>
    <row r="98" spans="1:5">
      <c r="A98" s="220">
        <v>92</v>
      </c>
      <c r="B98" s="234"/>
      <c r="C98" s="227"/>
      <c r="D98" s="227">
        <f t="shared" si="2"/>
        <v>41.502844194511809</v>
      </c>
      <c r="E98" s="232">
        <f>'5K'!$E98*(1-$K$2)+'10K'!$E98*$K$2</f>
        <v>0.40157890356995357</v>
      </c>
    </row>
    <row r="99" spans="1:5">
      <c r="A99" s="220">
        <v>93</v>
      </c>
      <c r="B99" s="234"/>
      <c r="C99" s="227"/>
      <c r="D99" s="227">
        <f t="shared" si="2"/>
        <v>43.940982580837812</v>
      </c>
      <c r="E99" s="232">
        <f>'5K'!$E99*(1-$K$2)+'10K'!$E99*$K$2</f>
        <v>0.37929663124863344</v>
      </c>
    </row>
    <row r="100" spans="1:5">
      <c r="A100" s="220">
        <v>94</v>
      </c>
      <c r="C100" s="227"/>
      <c r="D100" s="227">
        <f t="shared" si="2"/>
        <v>46.775175485045764</v>
      </c>
      <c r="E100" s="232">
        <f>'5K'!$E100*(1-$K$2)+'10K'!$E100*$K$2</f>
        <v>0.35631435892731333</v>
      </c>
    </row>
    <row r="101" spans="1:5">
      <c r="A101" s="220">
        <v>95</v>
      </c>
      <c r="B101" s="234"/>
      <c r="C101" s="227"/>
      <c r="D101" s="227">
        <f t="shared" si="2"/>
        <v>50.086271948962533</v>
      </c>
      <c r="E101" s="232">
        <f>'5K'!$E101*(1-$K$2)+'10K'!$E101*$K$2</f>
        <v>0.33275917767746521</v>
      </c>
    </row>
    <row r="102" spans="1:5">
      <c r="A102" s="220">
        <v>96</v>
      </c>
      <c r="C102" s="227"/>
      <c r="D102" s="227">
        <f t="shared" si="2"/>
        <v>54.006645602775997</v>
      </c>
      <c r="E102" s="232">
        <f>'5K'!$E102*(1-$K$2)+'10K'!$E102*$K$2</f>
        <v>0.30860399642761704</v>
      </c>
    </row>
    <row r="103" spans="1:5">
      <c r="A103" s="220">
        <v>97</v>
      </c>
      <c r="C103" s="227"/>
      <c r="D103" s="227">
        <f t="shared" si="2"/>
        <v>58.724245218801009</v>
      </c>
      <c r="E103" s="232">
        <f>'5K'!$E103*(1-$K$2)+'10K'!$E103*$K$2</f>
        <v>0.28381236071350485</v>
      </c>
    </row>
    <row r="104" spans="1:5">
      <c r="A104" s="220">
        <v>98</v>
      </c>
      <c r="C104" s="227"/>
      <c r="D104" s="227">
        <f t="shared" si="2"/>
        <v>64.494311231058703</v>
      </c>
      <c r="E104" s="232">
        <f>'5K'!$E104*(1-$K$2)+'10K'!$E104*$K$2</f>
        <v>0.25842072499939267</v>
      </c>
    </row>
    <row r="105" spans="1:5">
      <c r="A105" s="220">
        <v>99</v>
      </c>
      <c r="C105" s="227"/>
      <c r="D105" s="227">
        <f t="shared" si="2"/>
        <v>71.748579887212003</v>
      </c>
      <c r="E105" s="232">
        <f>'5K'!$E105*(1-$K$2)+'10K'!$E105*$K$2</f>
        <v>0.23229263482101645</v>
      </c>
    </row>
    <row r="106" spans="1:5">
      <c r="A106" s="220">
        <v>100</v>
      </c>
      <c r="D106" s="227">
        <f>E$4/E106</f>
        <v>81.052480000221905</v>
      </c>
      <c r="E106" s="232">
        <f>'5K'!$E106*(1-$K$2)+'10K'!$E106*$K$2</f>
        <v>0.20562809017837622</v>
      </c>
    </row>
  </sheetData>
  <pageMargins left="0.5" right="0.5" top="0.5" bottom="0.5" header="0" footer="0"/>
  <pageSetup orientation="portrait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08"/>
  <sheetViews>
    <sheetView zoomScale="87" zoomScaleNormal="87" workbookViewId="0">
      <selection activeCell="E17" sqref="E17"/>
    </sheetView>
  </sheetViews>
  <sheetFormatPr defaultColWidth="9.6640625" defaultRowHeight="15"/>
  <cols>
    <col min="1" max="5" width="9.6640625" style="220" customWidth="1"/>
    <col min="6" max="6" width="11.88671875" style="220" customWidth="1"/>
    <col min="7" max="7" width="13.88671875" style="220" customWidth="1"/>
    <col min="8" max="9" width="10.6640625" style="220" customWidth="1"/>
    <col min="10" max="10" width="9.6640625" style="220"/>
    <col min="11" max="11" width="14.77734375" style="220" customWidth="1"/>
    <col min="12" max="12" width="6.5546875" style="220" customWidth="1"/>
    <col min="13" max="13" width="10.77734375" style="220" customWidth="1"/>
    <col min="14" max="14" width="20.44140625" style="220" customWidth="1"/>
    <col min="15" max="15" width="21.21875" style="220" customWidth="1"/>
    <col min="16" max="16" width="11" style="220" customWidth="1"/>
    <col min="17" max="16384" width="9.6640625" style="220"/>
  </cols>
  <sheetData>
    <row r="1" spans="1:19" ht="47.25">
      <c r="A1" s="216" t="s">
        <v>2064</v>
      </c>
      <c r="B1" s="217"/>
      <c r="C1" s="218"/>
      <c r="D1" s="219" t="s">
        <v>32</v>
      </c>
      <c r="E1" s="219" t="s">
        <v>71</v>
      </c>
      <c r="F1" s="219" t="s">
        <v>72</v>
      </c>
      <c r="G1" s="219" t="s">
        <v>73</v>
      </c>
      <c r="H1" s="219" t="s">
        <v>74</v>
      </c>
      <c r="I1" s="219" t="s">
        <v>75</v>
      </c>
      <c r="K1" s="217" t="s">
        <v>1362</v>
      </c>
    </row>
    <row r="2" spans="1:19" ht="15.95" customHeight="1">
      <c r="A2" s="216"/>
      <c r="B2" s="217"/>
      <c r="C2" s="218"/>
      <c r="D2" s="219"/>
      <c r="E2" s="219"/>
      <c r="F2" s="268">
        <f>(+H$3-H$4)*F$4/2</f>
        <v>4.725E-2</v>
      </c>
      <c r="G2" s="269">
        <f>(+I$4-I$3)*G$4/2</f>
        <v>0.17219999999999999</v>
      </c>
      <c r="H2" s="221"/>
      <c r="I2" s="221"/>
      <c r="K2" s="217">
        <f>Parameters!Z16</f>
        <v>0.67807190511263749</v>
      </c>
    </row>
    <row r="3" spans="1:19" ht="15.95" customHeight="1">
      <c r="A3" s="216"/>
      <c r="B3" s="217"/>
      <c r="C3" s="218"/>
      <c r="D3" s="219"/>
      <c r="E3" s="219"/>
      <c r="F3" s="268">
        <f>F4/(2*(+H3-H4))</f>
        <v>1.89E-3</v>
      </c>
      <c r="G3" s="269">
        <f>G4/(2*(+I4-I3))</f>
        <v>1.6006097560975613E-4</v>
      </c>
      <c r="H3" s="222">
        <v>22</v>
      </c>
      <c r="I3" s="223">
        <v>24</v>
      </c>
    </row>
    <row r="4" spans="1:19" ht="15.75">
      <c r="A4" s="217"/>
      <c r="B4" s="217"/>
      <c r="C4" s="217"/>
      <c r="D4" s="224">
        <f>Parameters!G16</f>
        <v>1.4525462962962962E-2</v>
      </c>
      <c r="E4" s="225">
        <f>D4*1440</f>
        <v>20.916666666666664</v>
      </c>
      <c r="F4" s="226">
        <v>1.89E-2</v>
      </c>
      <c r="G4" s="215">
        <v>1.0500000000000001E-2</v>
      </c>
      <c r="H4" s="222">
        <v>17</v>
      </c>
      <c r="I4" s="223">
        <v>56.8</v>
      </c>
    </row>
    <row r="5" spans="1:19" ht="15.75">
      <c r="A5" s="217"/>
      <c r="B5" s="217"/>
      <c r="C5" s="217"/>
      <c r="D5" s="224"/>
      <c r="E5" s="217">
        <f>E4*60</f>
        <v>1254.9999999999998</v>
      </c>
      <c r="F5" s="226">
        <v>9.1E-4</v>
      </c>
      <c r="G5" s="215">
        <v>5.1000000000000004E-4</v>
      </c>
      <c r="H5" s="222">
        <v>15</v>
      </c>
      <c r="I5" s="223">
        <v>76.7</v>
      </c>
    </row>
    <row r="6" spans="1:19" ht="45" customHeight="1">
      <c r="A6" s="228" t="s">
        <v>69</v>
      </c>
      <c r="B6" s="228" t="s">
        <v>2250</v>
      </c>
      <c r="C6" s="228" t="s">
        <v>2250</v>
      </c>
      <c r="D6" s="228" t="s">
        <v>1353</v>
      </c>
      <c r="E6" s="228" t="s">
        <v>1209</v>
      </c>
      <c r="F6" s="422" t="s">
        <v>142</v>
      </c>
      <c r="G6" s="228" t="s">
        <v>1364</v>
      </c>
      <c r="H6" s="228" t="s">
        <v>69</v>
      </c>
      <c r="I6" s="228" t="s">
        <v>316</v>
      </c>
      <c r="J6" s="347" t="s">
        <v>237</v>
      </c>
      <c r="K6" s="347" t="s">
        <v>238</v>
      </c>
      <c r="L6" s="423" t="s">
        <v>239</v>
      </c>
      <c r="M6" s="423" t="s">
        <v>240</v>
      </c>
      <c r="N6" s="347" t="s">
        <v>241</v>
      </c>
      <c r="O6" s="423" t="s">
        <v>242</v>
      </c>
      <c r="P6" s="423" t="s">
        <v>243</v>
      </c>
      <c r="Q6" s="348" t="s">
        <v>419</v>
      </c>
      <c r="S6" s="272"/>
    </row>
    <row r="7" spans="1:19">
      <c r="A7" s="220">
        <v>1</v>
      </c>
      <c r="G7" s="227"/>
      <c r="H7" s="220">
        <v>1</v>
      </c>
    </row>
    <row r="8" spans="1:19">
      <c r="A8" s="220">
        <v>2</v>
      </c>
      <c r="G8" s="227"/>
      <c r="H8" s="220">
        <v>2</v>
      </c>
    </row>
    <row r="9" spans="1:19">
      <c r="A9" s="220">
        <v>3</v>
      </c>
      <c r="B9" s="231"/>
      <c r="C9" s="227"/>
      <c r="D9" s="227">
        <f>E$4/E9</f>
        <v>54.063966125173508</v>
      </c>
      <c r="E9" s="232">
        <f>'5K'!$E9*(1-$K$2)+'10K'!$E9*$K$2</f>
        <v>0.38688738851009585</v>
      </c>
      <c r="G9" s="227">
        <v>43.142504118616138</v>
      </c>
      <c r="H9" s="220">
        <v>3</v>
      </c>
      <c r="S9" s="273"/>
    </row>
    <row r="10" spans="1:19">
      <c r="A10" s="220">
        <v>4</v>
      </c>
      <c r="B10" s="234"/>
      <c r="C10" s="227"/>
      <c r="D10" s="227">
        <f t="shared" ref="D10:D40" si="0">E$4/E10</f>
        <v>45.811762134398506</v>
      </c>
      <c r="E10" s="232">
        <f>'5K'!$E10*(1-$K$2)+'10K'!$E10*$K$2</f>
        <v>0.45657852246117914</v>
      </c>
      <c r="F10" s="274"/>
      <c r="G10" s="227">
        <v>38.257852447041635</v>
      </c>
      <c r="H10" s="220">
        <v>4</v>
      </c>
      <c r="S10" s="273"/>
    </row>
    <row r="11" spans="1:19">
      <c r="A11" s="220">
        <v>5</v>
      </c>
      <c r="B11" s="234">
        <v>3.3738425925925929E-2</v>
      </c>
      <c r="C11" s="227"/>
      <c r="D11" s="227">
        <f t="shared" si="0"/>
        <v>40.066841830055637</v>
      </c>
      <c r="E11" s="232">
        <f>'5K'!$E11*(1-$K$2)+'10K'!$E11*$K$2</f>
        <v>0.52204430674584112</v>
      </c>
      <c r="F11" s="274"/>
      <c r="G11" s="227">
        <v>34.593791281373839</v>
      </c>
      <c r="H11" s="220">
        <v>5</v>
      </c>
      <c r="I11" s="277" t="s">
        <v>2065</v>
      </c>
      <c r="J11" s="220" t="s">
        <v>2140</v>
      </c>
      <c r="K11" s="220" t="s">
        <v>2141</v>
      </c>
      <c r="L11" s="220" t="s">
        <v>155</v>
      </c>
      <c r="M11" s="305">
        <v>40319</v>
      </c>
      <c r="O11" s="220" t="s">
        <v>1375</v>
      </c>
      <c r="P11" s="220">
        <v>42357</v>
      </c>
      <c r="S11" s="273"/>
    </row>
    <row r="12" spans="1:19">
      <c r="A12" s="220">
        <v>6</v>
      </c>
      <c r="B12" s="234">
        <v>2.8518518518518519E-2</v>
      </c>
      <c r="C12" s="227">
        <f t="shared" ref="C12:C74" si="1">B12*1440</f>
        <v>41.06666666666667</v>
      </c>
      <c r="D12" s="227">
        <f t="shared" si="0"/>
        <v>35.862109335830581</v>
      </c>
      <c r="E12" s="232">
        <f>'5K'!$E12*(1-$K$2)+'10K'!$E12*$K$2</f>
        <v>0.58325254855459341</v>
      </c>
      <c r="F12" s="274">
        <f t="shared" ref="F12:F43" si="2">100*(D12/C12)</f>
        <v>87.32656494114589</v>
      </c>
      <c r="G12" s="227">
        <v>31.761673741661614</v>
      </c>
      <c r="H12" s="220">
        <v>6</v>
      </c>
      <c r="I12" s="189" t="s">
        <v>2066</v>
      </c>
      <c r="J12" s="150" t="s">
        <v>1676</v>
      </c>
      <c r="K12" s="150" t="s">
        <v>1117</v>
      </c>
      <c r="L12" s="150" t="s">
        <v>155</v>
      </c>
      <c r="M12" s="498">
        <v>40405</v>
      </c>
      <c r="N12" s="183"/>
      <c r="O12" s="157" t="s">
        <v>1375</v>
      </c>
      <c r="P12" s="498">
        <v>42721</v>
      </c>
      <c r="R12" s="273"/>
    </row>
    <row r="13" spans="1:19">
      <c r="A13" s="220">
        <v>7</v>
      </c>
      <c r="B13" s="234">
        <v>2.3715277777777776E-2</v>
      </c>
      <c r="C13" s="227">
        <f t="shared" si="1"/>
        <v>34.15</v>
      </c>
      <c r="D13" s="227">
        <f t="shared" si="0"/>
        <v>32.67355888828785</v>
      </c>
      <c r="E13" s="232">
        <f>'5K'!$E13*(1-$K$2)+'10K'!$E13*$K$2</f>
        <v>0.64017105507794692</v>
      </c>
      <c r="F13" s="274">
        <f t="shared" si="2"/>
        <v>95.676599965703815</v>
      </c>
      <c r="G13" s="227">
        <v>29.52367531003382</v>
      </c>
      <c r="H13" s="220">
        <v>7</v>
      </c>
      <c r="I13" s="189" t="s">
        <v>2067</v>
      </c>
      <c r="J13" s="150" t="s">
        <v>1542</v>
      </c>
      <c r="K13" s="150" t="s">
        <v>1543</v>
      </c>
      <c r="L13" s="150" t="s">
        <v>155</v>
      </c>
      <c r="M13" s="498">
        <v>40378</v>
      </c>
      <c r="N13" s="183"/>
      <c r="O13" s="157" t="s">
        <v>2142</v>
      </c>
      <c r="P13" s="498">
        <v>43062</v>
      </c>
      <c r="R13" s="273"/>
    </row>
    <row r="14" spans="1:19">
      <c r="A14" s="220">
        <v>8</v>
      </c>
      <c r="B14" s="234">
        <v>2.3356481481481482E-2</v>
      </c>
      <c r="C14" s="227">
        <f t="shared" si="1"/>
        <v>33.633333333333333</v>
      </c>
      <c r="D14" s="227">
        <f t="shared" si="0"/>
        <v>30.188695427427518</v>
      </c>
      <c r="E14" s="232">
        <f>'5K'!$E14*(1-$K$2)+'10K'!$E14*$K$2</f>
        <v>0.69286421193487935</v>
      </c>
      <c r="F14" s="274">
        <f t="shared" si="2"/>
        <v>89.758261924957935</v>
      </c>
      <c r="G14" s="227">
        <v>27.726310217046052</v>
      </c>
      <c r="H14" s="220">
        <v>8</v>
      </c>
      <c r="I14" s="189" t="s">
        <v>2068</v>
      </c>
      <c r="J14" s="150" t="s">
        <v>1545</v>
      </c>
      <c r="K14" s="150" t="s">
        <v>1546</v>
      </c>
      <c r="L14" s="150" t="s">
        <v>155</v>
      </c>
      <c r="M14" s="498">
        <v>39139</v>
      </c>
      <c r="N14" s="183"/>
      <c r="O14" s="157" t="s">
        <v>2143</v>
      </c>
      <c r="P14" s="498">
        <v>42254</v>
      </c>
      <c r="R14" s="273"/>
    </row>
    <row r="15" spans="1:19">
      <c r="A15" s="220">
        <v>9</v>
      </c>
      <c r="B15" s="234">
        <v>2.1863425925925925E-2</v>
      </c>
      <c r="C15" s="227">
        <f t="shared" si="1"/>
        <v>31.483333333333331</v>
      </c>
      <c r="D15" s="227">
        <f t="shared" si="0"/>
        <v>28.217428795217597</v>
      </c>
      <c r="E15" s="232">
        <f>'5K'!$E15*(1-$K$2)+'10K'!$E15*$K$2</f>
        <v>0.74126763350641312</v>
      </c>
      <c r="F15" s="274">
        <f t="shared" si="2"/>
        <v>89.626560493015134</v>
      </c>
      <c r="G15" s="227">
        <v>26.266298896690071</v>
      </c>
      <c r="H15" s="220">
        <v>9</v>
      </c>
      <c r="I15" s="189" t="s">
        <v>2069</v>
      </c>
      <c r="J15" s="150" t="s">
        <v>2144</v>
      </c>
      <c r="K15" s="150" t="s">
        <v>2145</v>
      </c>
      <c r="L15" s="150" t="s">
        <v>155</v>
      </c>
      <c r="M15" s="498">
        <v>38440</v>
      </c>
      <c r="N15" s="183" t="s">
        <v>1373</v>
      </c>
      <c r="O15" s="157" t="s">
        <v>1374</v>
      </c>
      <c r="P15" s="498">
        <v>42057</v>
      </c>
      <c r="R15" s="273"/>
    </row>
    <row r="16" spans="1:19">
      <c r="A16" s="220">
        <v>10</v>
      </c>
      <c r="B16" s="234">
        <v>2.1180555555555557E-2</v>
      </c>
      <c r="C16" s="227">
        <f t="shared" si="1"/>
        <v>30.5</v>
      </c>
      <c r="D16" s="227">
        <f t="shared" si="0"/>
        <v>26.630315147891224</v>
      </c>
      <c r="E16" s="232">
        <f>'5K'!$E16*(1-$K$2)+'10K'!$E16*$K$2</f>
        <v>0.78544570541152581</v>
      </c>
      <c r="F16" s="274">
        <f t="shared" si="2"/>
        <v>87.312508681610566</v>
      </c>
      <c r="G16" s="227">
        <v>25.071804691239826</v>
      </c>
      <c r="H16" s="220">
        <v>10</v>
      </c>
      <c r="I16" s="189" t="s">
        <v>2070</v>
      </c>
      <c r="J16" s="150" t="s">
        <v>2144</v>
      </c>
      <c r="K16" s="150" t="s">
        <v>2145</v>
      </c>
      <c r="L16" s="150" t="s">
        <v>155</v>
      </c>
      <c r="M16" s="498">
        <v>38440</v>
      </c>
      <c r="N16" s="183" t="s">
        <v>1373</v>
      </c>
      <c r="O16" s="157" t="s">
        <v>1374</v>
      </c>
      <c r="P16" s="498">
        <v>42428</v>
      </c>
      <c r="R16" s="273"/>
    </row>
    <row r="17" spans="1:19">
      <c r="A17" s="220">
        <v>11</v>
      </c>
      <c r="B17" s="234">
        <v>2.1006944444444446E-2</v>
      </c>
      <c r="C17" s="227">
        <f t="shared" si="1"/>
        <v>30.250000000000004</v>
      </c>
      <c r="D17" s="227">
        <f t="shared" si="0"/>
        <v>25.34228538038386</v>
      </c>
      <c r="E17" s="232">
        <f>'5K'!$E17*(1-$K$2)+'10K'!$E17*$K$2</f>
        <v>0.82536623484072846</v>
      </c>
      <c r="F17" s="274">
        <f t="shared" si="2"/>
        <v>83.776150017797875</v>
      </c>
      <c r="G17" s="227">
        <v>24.091536338546458</v>
      </c>
      <c r="H17" s="220">
        <v>11</v>
      </c>
      <c r="I17" s="189" t="s">
        <v>2071</v>
      </c>
      <c r="J17" s="150" t="s">
        <v>2146</v>
      </c>
      <c r="K17" s="150" t="s">
        <v>2147</v>
      </c>
      <c r="L17" s="150" t="s">
        <v>155</v>
      </c>
      <c r="M17" s="498">
        <v>38356</v>
      </c>
      <c r="N17" s="183"/>
      <c r="O17" s="157" t="s">
        <v>1375</v>
      </c>
      <c r="P17" s="498">
        <v>42721</v>
      </c>
      <c r="R17" s="273"/>
    </row>
    <row r="18" spans="1:19">
      <c r="A18" s="220">
        <v>12</v>
      </c>
      <c r="B18" s="234">
        <v>2.011574074074074E-2</v>
      </c>
      <c r="C18" s="227">
        <f t="shared" si="1"/>
        <v>28.966666666666665</v>
      </c>
      <c r="D18" s="227">
        <f t="shared" si="0"/>
        <v>24.293541048958041</v>
      </c>
      <c r="E18" s="232">
        <f>'5K'!$E18*(1-$K$2)+'10K'!$E18*$K$2</f>
        <v>0.86099702898453279</v>
      </c>
      <c r="F18" s="274">
        <f t="shared" si="2"/>
        <v>83.867230318612343</v>
      </c>
      <c r="G18" s="227">
        <v>23.288128056914186</v>
      </c>
      <c r="H18" s="220">
        <v>12</v>
      </c>
      <c r="I18" s="189" t="s">
        <v>2072</v>
      </c>
      <c r="J18" s="150" t="s">
        <v>1553</v>
      </c>
      <c r="K18" s="150" t="s">
        <v>1554</v>
      </c>
      <c r="L18" s="150" t="s">
        <v>155</v>
      </c>
      <c r="M18" s="498">
        <v>38397</v>
      </c>
      <c r="N18" s="183"/>
      <c r="O18" s="157" t="s">
        <v>2148</v>
      </c>
      <c r="P18" s="498">
        <v>42854</v>
      </c>
      <c r="R18" s="273"/>
    </row>
    <row r="19" spans="1:19">
      <c r="A19" s="220">
        <v>13</v>
      </c>
      <c r="B19" s="234">
        <v>1.8101851851851852E-2</v>
      </c>
      <c r="C19" s="227">
        <f t="shared" si="1"/>
        <v>26.066666666666666</v>
      </c>
      <c r="D19" s="227">
        <f t="shared" si="0"/>
        <v>23.438602299615106</v>
      </c>
      <c r="E19" s="232">
        <f>'5K'!$E19*(1-$K$2)+'10K'!$E19*$K$2</f>
        <v>0.8924024734619157</v>
      </c>
      <c r="F19" s="274">
        <f t="shared" si="2"/>
        <v>89.91791163535207</v>
      </c>
      <c r="G19" s="227">
        <v>22.633967156439066</v>
      </c>
      <c r="H19" s="220">
        <v>13</v>
      </c>
      <c r="I19" s="189" t="s">
        <v>1371</v>
      </c>
      <c r="J19" s="150" t="s">
        <v>2149</v>
      </c>
      <c r="K19" s="150" t="s">
        <v>2150</v>
      </c>
      <c r="L19" s="150" t="s">
        <v>225</v>
      </c>
      <c r="M19" s="498">
        <v>25957</v>
      </c>
      <c r="N19" s="183"/>
      <c r="O19" s="157" t="s">
        <v>2151</v>
      </c>
      <c r="P19" s="498">
        <v>30811</v>
      </c>
      <c r="R19" s="273"/>
    </row>
    <row r="20" spans="1:19">
      <c r="A20" s="220">
        <v>14</v>
      </c>
      <c r="B20" s="234" t="s">
        <v>2060</v>
      </c>
      <c r="C20" s="227"/>
      <c r="D20" s="227">
        <f t="shared" si="0"/>
        <v>22.747420400428933</v>
      </c>
      <c r="E20" s="232">
        <f>'5K'!$E20*(1-$K$2)+'10K'!$E20*$K$2</f>
        <v>0.91951818265390006</v>
      </c>
      <c r="F20" s="274"/>
      <c r="G20" s="227">
        <v>22.108484592655127</v>
      </c>
      <c r="H20" s="220">
        <v>14</v>
      </c>
      <c r="I20" s="189"/>
      <c r="J20" s="150"/>
      <c r="K20" s="150"/>
      <c r="L20" s="150"/>
      <c r="M20" s="498"/>
      <c r="N20" s="183"/>
      <c r="O20" s="157"/>
      <c r="P20" s="498"/>
      <c r="R20" s="273"/>
    </row>
    <row r="21" spans="1:19">
      <c r="A21" s="220">
        <v>15</v>
      </c>
      <c r="B21" s="234">
        <v>1.5960648148148147E-2</v>
      </c>
      <c r="C21" s="227">
        <f t="shared" si="1"/>
        <v>22.983333333333331</v>
      </c>
      <c r="D21" s="227">
        <f t="shared" si="0"/>
        <v>22.194903516359993</v>
      </c>
      <c r="E21" s="232">
        <f>'5K'!$E21*(1-$K$2)+'10K'!$E21*$K$2</f>
        <v>0.94240854217946324</v>
      </c>
      <c r="F21" s="274">
        <f t="shared" si="2"/>
        <v>96.569558446816515</v>
      </c>
      <c r="G21" s="227">
        <v>21.696354598177297</v>
      </c>
      <c r="H21" s="220">
        <v>15</v>
      </c>
      <c r="I21" s="189" t="s">
        <v>2073</v>
      </c>
      <c r="J21" s="150" t="s">
        <v>2248</v>
      </c>
      <c r="K21" s="150" t="s">
        <v>2249</v>
      </c>
      <c r="L21" s="150" t="s">
        <v>160</v>
      </c>
      <c r="M21" s="498">
        <v>28684</v>
      </c>
      <c r="N21" s="183"/>
      <c r="O21" s="157" t="s">
        <v>2152</v>
      </c>
      <c r="P21" s="498">
        <v>34448</v>
      </c>
      <c r="R21" s="273"/>
    </row>
    <row r="22" spans="1:19">
      <c r="A22" s="220">
        <v>16</v>
      </c>
      <c r="B22" s="234">
        <v>1.5347222222222222E-2</v>
      </c>
      <c r="C22" s="227">
        <f t="shared" si="1"/>
        <v>22.1</v>
      </c>
      <c r="D22" s="227">
        <f t="shared" si="0"/>
        <v>21.76458532798695</v>
      </c>
      <c r="E22" s="232">
        <f>'5K'!$E22*(1-$K$2)+'10K'!$E22*$K$2</f>
        <v>0.96104135922911649</v>
      </c>
      <c r="F22" s="274">
        <f t="shared" si="2"/>
        <v>98.48228655197714</v>
      </c>
      <c r="G22" s="227">
        <v>21.386280114332379</v>
      </c>
      <c r="H22" s="220">
        <v>16</v>
      </c>
      <c r="I22" s="189" t="s">
        <v>2074</v>
      </c>
      <c r="J22" s="150" t="s">
        <v>2153</v>
      </c>
      <c r="K22" s="150" t="s">
        <v>2154</v>
      </c>
      <c r="L22" s="150" t="s">
        <v>160</v>
      </c>
      <c r="M22" s="498">
        <v>31010</v>
      </c>
      <c r="N22" s="183"/>
      <c r="O22" s="157" t="s">
        <v>1378</v>
      </c>
      <c r="P22" s="498">
        <v>37086</v>
      </c>
      <c r="R22" s="273"/>
    </row>
    <row r="23" spans="1:19">
      <c r="A23" s="220">
        <v>17</v>
      </c>
      <c r="B23" s="234">
        <v>1.556712962962963E-2</v>
      </c>
      <c r="C23" s="227">
        <f t="shared" si="1"/>
        <v>22.416666666666668</v>
      </c>
      <c r="D23" s="227">
        <f t="shared" si="0"/>
        <v>21.443120434424511</v>
      </c>
      <c r="E23" s="232">
        <f>'5K'!$E23*(1-$K$2)+'10K'!$E23*$K$2</f>
        <v>0.97544882661234866</v>
      </c>
      <c r="F23" s="274">
        <f t="shared" si="2"/>
        <v>95.657042830146509</v>
      </c>
      <c r="G23" s="227">
        <v>21.127470754336425</v>
      </c>
      <c r="H23" s="220">
        <v>17</v>
      </c>
      <c r="I23" s="189" t="s">
        <v>2075</v>
      </c>
      <c r="J23" s="150" t="s">
        <v>1953</v>
      </c>
      <c r="K23" s="150" t="s">
        <v>2155</v>
      </c>
      <c r="L23" s="150" t="s">
        <v>160</v>
      </c>
      <c r="M23" s="498">
        <v>32502</v>
      </c>
      <c r="N23" s="183"/>
      <c r="O23" s="157" t="s">
        <v>1380</v>
      </c>
      <c r="P23" s="498">
        <v>39032</v>
      </c>
      <c r="R23" s="273"/>
    </row>
    <row r="24" spans="1:19">
      <c r="A24" s="220">
        <v>18</v>
      </c>
      <c r="B24" s="234">
        <v>1.5370370370370371E-2</v>
      </c>
      <c r="C24" s="227">
        <f t="shared" si="1"/>
        <v>22.133333333333333</v>
      </c>
      <c r="D24" s="227">
        <f t="shared" si="0"/>
        <v>21.196677200119701</v>
      </c>
      <c r="E24" s="232">
        <f>'5K'!$E24*(1-$K$2)+'10K'!$E24*$K$2</f>
        <v>0.98678988547075408</v>
      </c>
      <c r="F24" s="274">
        <f t="shared" si="2"/>
        <v>95.768119880058904</v>
      </c>
      <c r="G24" s="227">
        <v>20.964375571820675</v>
      </c>
      <c r="H24" s="220">
        <v>18</v>
      </c>
      <c r="I24" s="189" t="s">
        <v>2076</v>
      </c>
      <c r="J24" s="150" t="s">
        <v>2156</v>
      </c>
      <c r="K24" s="150" t="s">
        <v>2157</v>
      </c>
      <c r="L24" s="150" t="s">
        <v>160</v>
      </c>
      <c r="M24" s="498">
        <v>27445</v>
      </c>
      <c r="N24" s="183"/>
      <c r="O24" s="157" t="s">
        <v>198</v>
      </c>
      <c r="P24" s="498">
        <v>34091</v>
      </c>
      <c r="R24" s="273"/>
    </row>
    <row r="25" spans="1:19">
      <c r="A25" s="220">
        <v>19</v>
      </c>
      <c r="B25" s="234">
        <v>1.5324074074074073E-2</v>
      </c>
      <c r="C25" s="227">
        <f t="shared" si="1"/>
        <v>22.066666666666666</v>
      </c>
      <c r="D25" s="227">
        <f t="shared" si="0"/>
        <v>21.055152669250564</v>
      </c>
      <c r="E25" s="232">
        <f>'5K'!$E25*(1-$K$2)+'10K'!$E25*$K$2</f>
        <v>0.99342270252040743</v>
      </c>
      <c r="F25" s="274">
        <f t="shared" si="2"/>
        <v>95.416099709594704</v>
      </c>
      <c r="G25" s="227">
        <v>20.95</v>
      </c>
      <c r="H25" s="220">
        <v>19</v>
      </c>
      <c r="I25" s="189" t="s">
        <v>2077</v>
      </c>
      <c r="J25" s="150" t="s">
        <v>1696</v>
      </c>
      <c r="K25" s="150" t="s">
        <v>1697</v>
      </c>
      <c r="L25" s="150" t="s">
        <v>163</v>
      </c>
      <c r="M25" s="498">
        <v>30127</v>
      </c>
      <c r="N25" s="183"/>
      <c r="O25" s="157" t="s">
        <v>1378</v>
      </c>
      <c r="P25" s="498">
        <v>37086</v>
      </c>
      <c r="R25" s="273"/>
    </row>
    <row r="26" spans="1:19">
      <c r="A26" s="220">
        <v>20</v>
      </c>
      <c r="B26" s="234">
        <v>1.5324074074074073E-2</v>
      </c>
      <c r="C26" s="227">
        <f t="shared" si="1"/>
        <v>22.066666666666666</v>
      </c>
      <c r="D26" s="227">
        <f t="shared" si="0"/>
        <v>20.962150972731749</v>
      </c>
      <c r="E26" s="232">
        <f>'5K'!$E26*(1-$K$2)+'10K'!$E26*$K$2</f>
        <v>0.9978301699036396</v>
      </c>
      <c r="F26" s="274">
        <f t="shared" si="2"/>
        <v>94.994641870385564</v>
      </c>
      <c r="G26" s="227">
        <v>20.95</v>
      </c>
      <c r="H26" s="220">
        <v>20</v>
      </c>
      <c r="I26" s="189" t="s">
        <v>2077</v>
      </c>
      <c r="J26" s="150" t="s">
        <v>2158</v>
      </c>
      <c r="K26" s="150" t="s">
        <v>2159</v>
      </c>
      <c r="L26" s="150" t="s">
        <v>160</v>
      </c>
      <c r="M26" s="498">
        <v>29551</v>
      </c>
      <c r="N26" s="183"/>
      <c r="O26" s="157" t="s">
        <v>1378</v>
      </c>
      <c r="P26" s="498">
        <v>37086</v>
      </c>
    </row>
    <row r="27" spans="1:19">
      <c r="A27" s="220">
        <v>21</v>
      </c>
      <c r="B27" s="234">
        <v>1.5462962962962963E-2</v>
      </c>
      <c r="C27" s="227">
        <f t="shared" si="1"/>
        <v>22.266666666666666</v>
      </c>
      <c r="D27" s="227">
        <f t="shared" si="0"/>
        <v>20.916666666666664</v>
      </c>
      <c r="E27" s="232">
        <f>'5K'!$E27*(1-$K$2)+'10K'!$E27*$K$2</f>
        <v>1</v>
      </c>
      <c r="F27" s="274">
        <f t="shared" si="2"/>
        <v>93.937125748502993</v>
      </c>
      <c r="G27" s="227">
        <v>20.95</v>
      </c>
      <c r="H27" s="220">
        <v>21</v>
      </c>
      <c r="I27" s="189" t="s">
        <v>2078</v>
      </c>
      <c r="J27" s="150" t="s">
        <v>2160</v>
      </c>
      <c r="K27" s="150" t="s">
        <v>2161</v>
      </c>
      <c r="L27" s="150" t="s">
        <v>160</v>
      </c>
      <c r="M27" s="498">
        <v>31352</v>
      </c>
      <c r="N27" s="183"/>
      <c r="O27" s="157" t="s">
        <v>1378</v>
      </c>
      <c r="P27" s="498">
        <v>39277</v>
      </c>
    </row>
    <row r="28" spans="1:19">
      <c r="A28" s="220">
        <v>22</v>
      </c>
      <c r="B28" s="234">
        <v>1.5324074074074073E-2</v>
      </c>
      <c r="C28" s="227">
        <f t="shared" si="1"/>
        <v>22.066666666666666</v>
      </c>
      <c r="D28" s="227">
        <f t="shared" si="0"/>
        <v>20.916666666666664</v>
      </c>
      <c r="E28" s="232">
        <f>'5K'!$E28*(1-$K$2)+'10K'!$E28*$K$2</f>
        <v>1</v>
      </c>
      <c r="F28" s="274">
        <f t="shared" si="2"/>
        <v>94.788519637462215</v>
      </c>
      <c r="G28" s="227">
        <v>20.95</v>
      </c>
      <c r="H28" s="220">
        <v>22</v>
      </c>
      <c r="I28" s="189" t="s">
        <v>2077</v>
      </c>
      <c r="J28" s="150" t="s">
        <v>2162</v>
      </c>
      <c r="K28" s="150" t="s">
        <v>2163</v>
      </c>
      <c r="L28" s="150" t="s">
        <v>155</v>
      </c>
      <c r="M28" s="498">
        <v>21404</v>
      </c>
      <c r="N28" s="183"/>
      <c r="O28" s="157" t="s">
        <v>2164</v>
      </c>
      <c r="P28" s="498">
        <v>29590</v>
      </c>
    </row>
    <row r="29" spans="1:19">
      <c r="A29" s="220">
        <v>23</v>
      </c>
      <c r="B29" s="234">
        <v>1.5324074074074073E-2</v>
      </c>
      <c r="C29" s="227">
        <f t="shared" si="1"/>
        <v>22.066666666666666</v>
      </c>
      <c r="D29" s="227">
        <f t="shared" si="0"/>
        <v>20.916666666666664</v>
      </c>
      <c r="E29" s="232">
        <f>'5K'!$E29*(1-$K$2)+'10K'!$E29*$K$2</f>
        <v>1</v>
      </c>
      <c r="F29" s="274">
        <f t="shared" si="2"/>
        <v>94.788519637462215</v>
      </c>
      <c r="G29" s="227">
        <v>20.95</v>
      </c>
      <c r="H29" s="220">
        <v>23</v>
      </c>
      <c r="I29" s="189" t="s">
        <v>2077</v>
      </c>
      <c r="J29" s="150" t="s">
        <v>1405</v>
      </c>
      <c r="K29" s="150" t="s">
        <v>2165</v>
      </c>
      <c r="L29" s="150" t="s">
        <v>160</v>
      </c>
      <c r="M29" s="498">
        <v>33218</v>
      </c>
      <c r="N29" s="183"/>
      <c r="O29" s="157" t="s">
        <v>170</v>
      </c>
      <c r="P29" s="498">
        <v>41812</v>
      </c>
    </row>
    <row r="30" spans="1:19">
      <c r="A30" s="220">
        <v>24</v>
      </c>
      <c r="B30" s="234">
        <v>1.5416666666666667E-2</v>
      </c>
      <c r="C30" s="227">
        <f t="shared" si="1"/>
        <v>22.2</v>
      </c>
      <c r="D30" s="227">
        <f t="shared" si="0"/>
        <v>20.916666666666664</v>
      </c>
      <c r="E30" s="232">
        <f>'5K'!$E30*(1-$K$2)+'10K'!$E30*$K$2</f>
        <v>1</v>
      </c>
      <c r="F30" s="274">
        <f t="shared" si="2"/>
        <v>94.219219219219212</v>
      </c>
      <c r="G30" s="227">
        <v>20.95</v>
      </c>
      <c r="H30" s="220">
        <v>24</v>
      </c>
      <c r="I30" s="189" t="s">
        <v>2079</v>
      </c>
      <c r="J30" s="150" t="s">
        <v>1427</v>
      </c>
      <c r="K30" s="150" t="s">
        <v>2166</v>
      </c>
      <c r="L30" s="150" t="s">
        <v>160</v>
      </c>
      <c r="M30" s="498">
        <v>29858</v>
      </c>
      <c r="N30" s="183"/>
      <c r="O30" s="157" t="s">
        <v>2167</v>
      </c>
      <c r="P30" s="498">
        <v>38801</v>
      </c>
    </row>
    <row r="31" spans="1:19">
      <c r="A31" s="220">
        <v>25</v>
      </c>
      <c r="B31" s="234">
        <v>1.5300925925925926E-2</v>
      </c>
      <c r="C31" s="227">
        <f t="shared" si="1"/>
        <v>22.033333333333335</v>
      </c>
      <c r="D31" s="227">
        <f t="shared" si="0"/>
        <v>20.916666666666664</v>
      </c>
      <c r="E31" s="232">
        <f>'5K'!$E31*(1-$K$2)+'10K'!$E31*$K$2</f>
        <v>1</v>
      </c>
      <c r="F31" s="274">
        <f t="shared" si="2"/>
        <v>94.931921331316175</v>
      </c>
      <c r="G31" s="227">
        <v>20.95</v>
      </c>
      <c r="H31" s="220">
        <v>25</v>
      </c>
      <c r="I31" s="197" t="s">
        <v>2080</v>
      </c>
      <c r="J31" s="185" t="s">
        <v>1513</v>
      </c>
      <c r="K31" s="185" t="s">
        <v>2168</v>
      </c>
      <c r="L31" s="185" t="s">
        <v>160</v>
      </c>
      <c r="M31" s="504">
        <v>32331</v>
      </c>
      <c r="N31" s="186"/>
      <c r="O31" s="191" t="s">
        <v>170</v>
      </c>
      <c r="P31" s="504">
        <v>41812</v>
      </c>
      <c r="S31" s="220" t="s">
        <v>2169</v>
      </c>
    </row>
    <row r="32" spans="1:19">
      <c r="A32" s="220">
        <v>26</v>
      </c>
      <c r="B32" s="234">
        <v>1.5486111111111112E-2</v>
      </c>
      <c r="C32" s="227">
        <f t="shared" si="1"/>
        <v>22.3</v>
      </c>
      <c r="D32" s="227">
        <f t="shared" si="0"/>
        <v>20.916666666666664</v>
      </c>
      <c r="E32" s="232">
        <f>'5K'!$E32*(1-$K$2)+'10K'!$E32*$K$2</f>
        <v>1</v>
      </c>
      <c r="F32" s="274">
        <f t="shared" si="2"/>
        <v>93.796711509715976</v>
      </c>
      <c r="G32" s="227">
        <v>20.95</v>
      </c>
      <c r="H32" s="220">
        <v>26</v>
      </c>
      <c r="I32" s="189" t="s">
        <v>2081</v>
      </c>
      <c r="J32" s="150" t="s">
        <v>1423</v>
      </c>
      <c r="K32" s="150" t="s">
        <v>2170</v>
      </c>
      <c r="L32" s="150" t="s">
        <v>160</v>
      </c>
      <c r="M32" s="498">
        <v>29212</v>
      </c>
      <c r="N32" s="183"/>
      <c r="O32" s="157" t="s">
        <v>2167</v>
      </c>
      <c r="P32" s="498">
        <v>38801</v>
      </c>
    </row>
    <row r="33" spans="1:16">
      <c r="A33" s="220">
        <v>27</v>
      </c>
      <c r="B33" s="234">
        <v>1.53125E-2</v>
      </c>
      <c r="C33" s="227">
        <f t="shared" si="1"/>
        <v>22.05</v>
      </c>
      <c r="D33" s="227">
        <f t="shared" si="0"/>
        <v>20.916666666666664</v>
      </c>
      <c r="E33" s="232">
        <f>'5K'!$E33*(1-$K$2)+'10K'!$E33*$K$2</f>
        <v>1</v>
      </c>
      <c r="F33" s="274">
        <f t="shared" si="2"/>
        <v>94.860166288737702</v>
      </c>
      <c r="G33" s="227">
        <v>20.95</v>
      </c>
      <c r="H33" s="220">
        <v>27</v>
      </c>
      <c r="I33" s="189" t="s">
        <v>2082</v>
      </c>
      <c r="J33" s="150" t="s">
        <v>1469</v>
      </c>
      <c r="K33" s="150" t="s">
        <v>2171</v>
      </c>
      <c r="L33" s="150" t="s">
        <v>160</v>
      </c>
      <c r="M33" s="498">
        <v>25248</v>
      </c>
      <c r="N33" s="183"/>
      <c r="O33" s="157" t="s">
        <v>1378</v>
      </c>
      <c r="P33" s="498">
        <v>35266</v>
      </c>
    </row>
    <row r="34" spans="1:16">
      <c r="A34" s="220">
        <v>28</v>
      </c>
      <c r="B34" s="234">
        <v>1.545138888888889E-2</v>
      </c>
      <c r="C34" s="227">
        <f t="shared" si="1"/>
        <v>22.25</v>
      </c>
      <c r="D34" s="227">
        <f t="shared" si="0"/>
        <v>20.919503652205755</v>
      </c>
      <c r="E34" s="232">
        <f>'5K'!$E34*(1-$K$2)+'10K'!$E34*$K$2</f>
        <v>0.9998643856189775</v>
      </c>
      <c r="F34" s="274">
        <f t="shared" si="2"/>
        <v>94.020241133509003</v>
      </c>
      <c r="G34" s="227">
        <v>20.95</v>
      </c>
      <c r="H34" s="220">
        <v>28</v>
      </c>
      <c r="I34" s="189" t="s">
        <v>2083</v>
      </c>
      <c r="J34" s="150" t="s">
        <v>2160</v>
      </c>
      <c r="K34" s="150" t="s">
        <v>2172</v>
      </c>
      <c r="L34" s="150" t="s">
        <v>155</v>
      </c>
      <c r="M34" s="498">
        <v>25285</v>
      </c>
      <c r="N34" s="183"/>
      <c r="O34" s="157" t="s">
        <v>157</v>
      </c>
      <c r="P34" s="498">
        <v>35595</v>
      </c>
    </row>
    <row r="35" spans="1:16">
      <c r="A35" s="220">
        <v>29</v>
      </c>
      <c r="B35" s="234">
        <v>1.5439814814814814E-2</v>
      </c>
      <c r="C35" s="227">
        <f t="shared" si="1"/>
        <v>22.233333333333331</v>
      </c>
      <c r="D35" s="227">
        <f t="shared" si="0"/>
        <v>20.930859294303996</v>
      </c>
      <c r="E35" s="232">
        <f>'5K'!$E35*(1-$K$2)+'10K'!$E35*$K$2</f>
        <v>0.9993219280948874</v>
      </c>
      <c r="F35" s="274">
        <f t="shared" si="2"/>
        <v>94.141795926404797</v>
      </c>
      <c r="G35" s="227">
        <v>20.95</v>
      </c>
      <c r="H35" s="220">
        <v>29</v>
      </c>
      <c r="I35" s="189" t="s">
        <v>2084</v>
      </c>
      <c r="J35" s="150" t="s">
        <v>2173</v>
      </c>
      <c r="K35" s="150" t="s">
        <v>2174</v>
      </c>
      <c r="L35" s="150" t="s">
        <v>172</v>
      </c>
      <c r="M35" s="498">
        <v>18992</v>
      </c>
      <c r="N35" s="183"/>
      <c r="O35" s="157" t="s">
        <v>2164</v>
      </c>
      <c r="P35" s="498">
        <v>29590</v>
      </c>
    </row>
    <row r="36" spans="1:16">
      <c r="A36" s="220">
        <v>30</v>
      </c>
      <c r="B36" s="234">
        <v>1.5532407407407408E-2</v>
      </c>
      <c r="C36" s="227">
        <f t="shared" si="1"/>
        <v>22.366666666666667</v>
      </c>
      <c r="D36" s="227">
        <f t="shared" si="0"/>
        <v>20.948591293332157</v>
      </c>
      <c r="E36" s="232">
        <f>'5K'!$E36*(1-$K$2)+'10K'!$E36*$K$2</f>
        <v>0.99847604899926345</v>
      </c>
      <c r="F36" s="274">
        <f t="shared" si="2"/>
        <v>93.659871654242139</v>
      </c>
      <c r="G36" s="227">
        <v>20.950140945134034</v>
      </c>
      <c r="H36" s="220">
        <v>30</v>
      </c>
      <c r="I36" s="189" t="s">
        <v>2085</v>
      </c>
      <c r="J36" s="150" t="s">
        <v>1469</v>
      </c>
      <c r="K36" s="150" t="s">
        <v>2175</v>
      </c>
      <c r="L36" s="150" t="s">
        <v>172</v>
      </c>
      <c r="M36" s="498">
        <v>23714</v>
      </c>
      <c r="N36" s="183"/>
      <c r="O36" s="157" t="s">
        <v>157</v>
      </c>
      <c r="P36" s="498">
        <v>34867</v>
      </c>
    </row>
    <row r="37" spans="1:16">
      <c r="A37" s="220">
        <v>31</v>
      </c>
      <c r="B37" s="234">
        <v>1.556712962962963E-2</v>
      </c>
      <c r="C37" s="227">
        <f t="shared" si="1"/>
        <v>22.416666666666668</v>
      </c>
      <c r="D37" s="227">
        <f t="shared" si="0"/>
        <v>20.982358110562416</v>
      </c>
      <c r="E37" s="232">
        <f>'5K'!$E37*(1-$K$2)+'10K'!$E37*$K$2</f>
        <v>0.99686920585619587</v>
      </c>
      <c r="F37" s="274">
        <f t="shared" si="2"/>
        <v>93.601597519237529</v>
      </c>
      <c r="G37" s="227">
        <v>20.960835422585291</v>
      </c>
      <c r="H37" s="220">
        <v>31</v>
      </c>
      <c r="I37" s="189" t="s">
        <v>2075</v>
      </c>
      <c r="J37" s="150" t="s">
        <v>1450</v>
      </c>
      <c r="K37" s="150" t="s">
        <v>2176</v>
      </c>
      <c r="L37" s="150" t="s">
        <v>185</v>
      </c>
      <c r="M37" s="498">
        <v>22484</v>
      </c>
      <c r="N37" s="183"/>
      <c r="O37" s="157" t="s">
        <v>1383</v>
      </c>
      <c r="P37" s="498">
        <v>33881</v>
      </c>
    </row>
    <row r="38" spans="1:16">
      <c r="A38" s="220">
        <v>32</v>
      </c>
      <c r="B38" s="234">
        <v>1.5300925925925926E-2</v>
      </c>
      <c r="C38" s="227">
        <f t="shared" si="1"/>
        <v>22.033333333333335</v>
      </c>
      <c r="D38" s="227">
        <f t="shared" si="0"/>
        <v>21.030127987594039</v>
      </c>
      <c r="E38" s="232">
        <f>'5K'!$E38*(1-$K$2)+'10K'!$E38*$K$2</f>
        <v>0.99460482023721841</v>
      </c>
      <c r="F38" s="274">
        <f t="shared" si="2"/>
        <v>95.446874376372335</v>
      </c>
      <c r="G38" s="227">
        <v>20.988589276191888</v>
      </c>
      <c r="H38" s="220">
        <v>32</v>
      </c>
      <c r="I38" s="189" t="s">
        <v>2080</v>
      </c>
      <c r="J38" s="150" t="s">
        <v>1516</v>
      </c>
      <c r="K38" s="150" t="s">
        <v>1584</v>
      </c>
      <c r="L38" s="150" t="s">
        <v>160</v>
      </c>
      <c r="M38" s="498">
        <v>29866</v>
      </c>
      <c r="N38" s="183"/>
      <c r="O38" s="157" t="s">
        <v>170</v>
      </c>
      <c r="P38" s="498">
        <v>41812</v>
      </c>
    </row>
    <row r="39" spans="1:16">
      <c r="A39" s="220">
        <v>33</v>
      </c>
      <c r="B39" s="234">
        <v>1.5648148148148147E-2</v>
      </c>
      <c r="C39" s="227">
        <f t="shared" si="1"/>
        <v>22.533333333333331</v>
      </c>
      <c r="D39" s="227">
        <f t="shared" si="0"/>
        <v>21.09634652542648</v>
      </c>
      <c r="E39" s="232">
        <f>'5K'!$E39*(1-$K$2)+'10K'!$E39*$K$2</f>
        <v>0.9914828921423311</v>
      </c>
      <c r="F39" s="274">
        <f t="shared" si="2"/>
        <v>93.622839609880842</v>
      </c>
      <c r="G39" s="227">
        <v>21.033538246092174</v>
      </c>
      <c r="H39" s="220">
        <v>33</v>
      </c>
      <c r="I39" s="189" t="s">
        <v>2086</v>
      </c>
      <c r="J39" s="150" t="s">
        <v>2177</v>
      </c>
      <c r="K39" s="150" t="s">
        <v>2178</v>
      </c>
      <c r="L39" s="150" t="s">
        <v>155</v>
      </c>
      <c r="M39" s="498">
        <v>30315</v>
      </c>
      <c r="N39" s="183"/>
      <c r="O39" s="157" t="s">
        <v>170</v>
      </c>
      <c r="P39" s="498">
        <v>42547</v>
      </c>
    </row>
    <row r="40" spans="1:16">
      <c r="A40" s="220">
        <v>34</v>
      </c>
      <c r="B40" s="234">
        <v>1.5555555555555555E-2</v>
      </c>
      <c r="C40" s="227">
        <f t="shared" si="1"/>
        <v>22.4</v>
      </c>
      <c r="D40" s="227">
        <f t="shared" si="0"/>
        <v>21.177072195807703</v>
      </c>
      <c r="E40" s="232">
        <f>'5K'!$E40*(1-$K$2)+'10K'!$E40*$K$2</f>
        <v>0.9877034215715339</v>
      </c>
      <c r="F40" s="274">
        <f t="shared" si="2"/>
        <v>94.540500874141543</v>
      </c>
      <c r="G40" s="227">
        <v>21.095903316514878</v>
      </c>
      <c r="H40" s="220">
        <v>34</v>
      </c>
      <c r="I40" s="189" t="s">
        <v>2087</v>
      </c>
      <c r="J40" s="150" t="s">
        <v>2179</v>
      </c>
      <c r="K40" s="150" t="s">
        <v>2180</v>
      </c>
      <c r="L40" s="150" t="s">
        <v>2181</v>
      </c>
      <c r="M40" s="498">
        <v>18933</v>
      </c>
      <c r="N40" s="183"/>
      <c r="O40" s="157" t="s">
        <v>2182</v>
      </c>
      <c r="P40" s="498">
        <v>31536</v>
      </c>
    </row>
    <row r="41" spans="1:16">
      <c r="A41" s="220">
        <v>35</v>
      </c>
      <c r="B41" s="234">
        <v>1.5706018518518518E-2</v>
      </c>
      <c r="C41" s="227">
        <f t="shared" si="1"/>
        <v>22.616666666666667</v>
      </c>
      <c r="D41" s="227">
        <f t="shared" ref="D41:D72" si="3">E$4/E41</f>
        <v>21.276962049851619</v>
      </c>
      <c r="E41" s="232">
        <f>'5K'!$E41*(1-$K$2)+'10K'!$E41*$K$2</f>
        <v>0.98306640852482663</v>
      </c>
      <c r="F41" s="274">
        <f t="shared" si="2"/>
        <v>94.076471849012307</v>
      </c>
      <c r="G41" s="227">
        <v>21.175993447244437</v>
      </c>
      <c r="H41" s="220">
        <v>35</v>
      </c>
      <c r="I41" s="189" t="s">
        <v>2088</v>
      </c>
      <c r="J41" s="150" t="s">
        <v>2183</v>
      </c>
      <c r="K41" s="150" t="s">
        <v>2184</v>
      </c>
      <c r="L41" s="150" t="s">
        <v>331</v>
      </c>
      <c r="M41" s="498">
        <v>20666</v>
      </c>
      <c r="N41" s="183"/>
      <c r="O41" s="157" t="s">
        <v>2185</v>
      </c>
      <c r="P41" s="498">
        <v>33649</v>
      </c>
    </row>
    <row r="42" spans="1:16">
      <c r="A42" s="220">
        <v>36</v>
      </c>
      <c r="B42" s="234">
        <v>1.5543981481481482E-2</v>
      </c>
      <c r="C42" s="227">
        <f t="shared" si="1"/>
        <v>22.383333333333333</v>
      </c>
      <c r="D42" s="227">
        <f t="shared" si="3"/>
        <v>21.38794993256387</v>
      </c>
      <c r="E42" s="232">
        <f>'5K'!$E42*(1-$K$2)+'10K'!$E42*$K$2</f>
        <v>0.97796500985914214</v>
      </c>
      <c r="F42" s="274">
        <f t="shared" si="2"/>
        <v>95.553015335356079</v>
      </c>
      <c r="G42" s="227">
        <v>21.274209434709981</v>
      </c>
      <c r="H42" s="220">
        <v>36</v>
      </c>
      <c r="I42" s="189" t="s">
        <v>2089</v>
      </c>
      <c r="J42" s="150" t="s">
        <v>1594</v>
      </c>
      <c r="K42" s="150" t="s">
        <v>1595</v>
      </c>
      <c r="L42" s="150" t="s">
        <v>163</v>
      </c>
      <c r="M42" s="498">
        <v>26772</v>
      </c>
      <c r="N42" s="183"/>
      <c r="O42" s="157" t="s">
        <v>2186</v>
      </c>
      <c r="P42" s="498">
        <v>40178</v>
      </c>
    </row>
    <row r="43" spans="1:16">
      <c r="A43" s="220">
        <v>37</v>
      </c>
      <c r="B43" s="234">
        <v>1.6041666666666666E-2</v>
      </c>
      <c r="C43" s="227">
        <f t="shared" si="1"/>
        <v>23.099999999999998</v>
      </c>
      <c r="D43" s="227">
        <f t="shared" si="3"/>
        <v>21.509096706274171</v>
      </c>
      <c r="E43" s="232">
        <f>'5K'!$E43*(1-$K$2)+'10K'!$E43*$K$2</f>
        <v>0.97245676805038983</v>
      </c>
      <c r="F43" s="274">
        <f t="shared" si="2"/>
        <v>93.112972754433656</v>
      </c>
      <c r="G43" s="227">
        <v>21.391048993650415</v>
      </c>
      <c r="H43" s="220">
        <v>37</v>
      </c>
      <c r="I43" s="189" t="s">
        <v>2090</v>
      </c>
      <c r="J43" s="150" t="s">
        <v>215</v>
      </c>
      <c r="K43" s="150" t="s">
        <v>2187</v>
      </c>
      <c r="L43" s="150" t="s">
        <v>407</v>
      </c>
      <c r="M43" s="498">
        <v>19674</v>
      </c>
      <c r="N43" s="183"/>
      <c r="O43" s="157" t="s">
        <v>2188</v>
      </c>
      <c r="P43" s="498">
        <v>33307</v>
      </c>
    </row>
    <row r="44" spans="1:16">
      <c r="A44" s="220">
        <v>38</v>
      </c>
      <c r="B44" s="234">
        <v>1.5925925925925927E-2</v>
      </c>
      <c r="C44" s="227">
        <f t="shared" si="1"/>
        <v>22.933333333333334</v>
      </c>
      <c r="D44" s="227">
        <f t="shared" si="3"/>
        <v>21.637693076275266</v>
      </c>
      <c r="E44" s="232">
        <f>'5K'!$E44*(1-$K$2)+'10K'!$E44*$K$2</f>
        <v>0.96667729747959252</v>
      </c>
      <c r="F44" s="274">
        <f t="shared" ref="F44:F75" si="4">100*(D44/C44)</f>
        <v>94.350405855851449</v>
      </c>
      <c r="G44" s="227">
        <v>21.527113181308618</v>
      </c>
      <c r="H44" s="220">
        <v>38</v>
      </c>
      <c r="I44" s="189" t="s">
        <v>2091</v>
      </c>
      <c r="J44" s="150" t="s">
        <v>1504</v>
      </c>
      <c r="K44" s="150" t="s">
        <v>2189</v>
      </c>
      <c r="L44" s="150" t="s">
        <v>160</v>
      </c>
      <c r="M44" s="498">
        <v>18367</v>
      </c>
      <c r="N44" s="183"/>
      <c r="O44" s="157" t="s">
        <v>2188</v>
      </c>
      <c r="P44" s="498">
        <v>32579</v>
      </c>
    </row>
    <row r="45" spans="1:16">
      <c r="A45" s="220">
        <v>39</v>
      </c>
      <c r="B45" s="234">
        <v>1.5844907407407408E-2</v>
      </c>
      <c r="C45" s="227">
        <f t="shared" si="1"/>
        <v>22.816666666666666</v>
      </c>
      <c r="D45" s="227">
        <f t="shared" si="3"/>
        <v>21.777056755556618</v>
      </c>
      <c r="E45" s="232">
        <f>'5K'!$E45*(1-$K$2)+'10K'!$E45*$K$2</f>
        <v>0.96049098376572772</v>
      </c>
      <c r="F45" s="274">
        <f t="shared" si="4"/>
        <v>95.443638081329226</v>
      </c>
      <c r="G45" s="227">
        <v>21.683049630885851</v>
      </c>
      <c r="H45" s="220">
        <v>39</v>
      </c>
      <c r="I45" s="189" t="s">
        <v>2092</v>
      </c>
      <c r="J45" s="150" t="s">
        <v>2190</v>
      </c>
      <c r="K45" s="150" t="s">
        <v>2191</v>
      </c>
      <c r="L45" s="150" t="s">
        <v>155</v>
      </c>
      <c r="M45" s="498">
        <v>28126</v>
      </c>
      <c r="N45" s="183"/>
      <c r="O45" s="157" t="s">
        <v>170</v>
      </c>
      <c r="P45" s="498">
        <v>42547</v>
      </c>
    </row>
    <row r="46" spans="1:16">
      <c r="A46" s="220">
        <v>40</v>
      </c>
      <c r="B46" s="234">
        <v>1.6122685185185184E-2</v>
      </c>
      <c r="C46" s="227">
        <f t="shared" si="1"/>
        <v>23.216666666666665</v>
      </c>
      <c r="D46" s="227">
        <f t="shared" si="3"/>
        <v>21.924458579133354</v>
      </c>
      <c r="E46" s="232">
        <f>'5K'!$E46*(1-$K$2)+'10K'!$E46*$K$2</f>
        <v>0.95403344128981793</v>
      </c>
      <c r="F46" s="274">
        <f t="shared" si="4"/>
        <v>94.434136019239148</v>
      </c>
      <c r="G46" s="227">
        <v>21.849011048596523</v>
      </c>
      <c r="H46" s="220">
        <v>40</v>
      </c>
      <c r="I46" s="189" t="s">
        <v>2093</v>
      </c>
      <c r="J46" s="150" t="s">
        <v>2173</v>
      </c>
      <c r="K46" s="150" t="s">
        <v>2174</v>
      </c>
      <c r="L46" s="150" t="s">
        <v>172</v>
      </c>
      <c r="M46" s="498">
        <v>18992</v>
      </c>
      <c r="N46" s="183" t="s">
        <v>1385</v>
      </c>
      <c r="O46" s="157" t="s">
        <v>1386</v>
      </c>
      <c r="P46" s="498">
        <v>33684</v>
      </c>
    </row>
    <row r="47" spans="1:16">
      <c r="A47" s="220">
        <v>41</v>
      </c>
      <c r="B47" s="234">
        <v>1.5729166666666666E-2</v>
      </c>
      <c r="C47" s="227">
        <f t="shared" si="1"/>
        <v>22.65</v>
      </c>
      <c r="D47" s="227">
        <f t="shared" si="3"/>
        <v>22.083350951380336</v>
      </c>
      <c r="E47" s="232">
        <f>'5K'!$E47*(1-$K$2)+'10K'!$E47*$K$2</f>
        <v>0.94716905567084031</v>
      </c>
      <c r="F47" s="274">
        <f t="shared" si="4"/>
        <v>97.498238195939678</v>
      </c>
      <c r="G47" s="227">
        <v>22.017532588931193</v>
      </c>
      <c r="H47" s="220">
        <v>41</v>
      </c>
      <c r="I47" s="189" t="s">
        <v>2094</v>
      </c>
      <c r="J47" s="150" t="s">
        <v>2192</v>
      </c>
      <c r="K47" s="150" t="s">
        <v>2193</v>
      </c>
      <c r="L47" s="150" t="s">
        <v>331</v>
      </c>
      <c r="M47" s="498">
        <v>18655</v>
      </c>
      <c r="N47" s="183"/>
      <c r="O47" s="157" t="s">
        <v>2185</v>
      </c>
      <c r="P47" s="498">
        <v>33649</v>
      </c>
    </row>
    <row r="48" spans="1:16" ht="15.75">
      <c r="A48" s="220">
        <v>42</v>
      </c>
      <c r="B48" s="234">
        <v>1.6458333333333332E-2</v>
      </c>
      <c r="C48" s="227">
        <f t="shared" si="1"/>
        <v>23.7</v>
      </c>
      <c r="D48" s="227">
        <f t="shared" si="3"/>
        <v>22.25098145228424</v>
      </c>
      <c r="E48" s="232">
        <f>'5K'!$E48*(1-$K$2)+'10K'!$E48*$K$2</f>
        <v>0.94003344128981792</v>
      </c>
      <c r="F48" s="274">
        <f t="shared" si="4"/>
        <v>93.885997688963045</v>
      </c>
      <c r="G48" s="227">
        <v>22.188673951068868</v>
      </c>
      <c r="H48" s="220">
        <v>42</v>
      </c>
      <c r="I48" s="189" t="s">
        <v>2095</v>
      </c>
      <c r="J48" s="505" t="s">
        <v>2194</v>
      </c>
      <c r="K48" s="181" t="s">
        <v>2195</v>
      </c>
      <c r="L48" s="505" t="s">
        <v>197</v>
      </c>
      <c r="M48" s="498">
        <v>21151</v>
      </c>
      <c r="N48" s="181"/>
      <c r="O48" s="505" t="s">
        <v>1380</v>
      </c>
      <c r="P48" s="285">
        <v>36848</v>
      </c>
    </row>
    <row r="49" spans="1:17">
      <c r="A49" s="220">
        <v>43</v>
      </c>
      <c r="B49" s="234">
        <v>1.650462962962963E-2</v>
      </c>
      <c r="C49" s="227">
        <f t="shared" si="1"/>
        <v>23.766666666666666</v>
      </c>
      <c r="D49" s="227">
        <f t="shared" si="3"/>
        <v>22.426066401784851</v>
      </c>
      <c r="E49" s="232">
        <f>'5K'!$E49*(1-$K$2)+'10K'!$E49*$K$2</f>
        <v>0.93269440533726156</v>
      </c>
      <c r="F49" s="274">
        <f t="shared" si="4"/>
        <v>94.359325673709066</v>
      </c>
      <c r="G49" s="227">
        <v>22.362496704886315</v>
      </c>
      <c r="H49" s="220">
        <v>43</v>
      </c>
      <c r="I49" s="189" t="s">
        <v>2096</v>
      </c>
      <c r="J49" s="150" t="s">
        <v>1450</v>
      </c>
      <c r="K49" s="150" t="s">
        <v>1725</v>
      </c>
      <c r="L49" s="150" t="s">
        <v>338</v>
      </c>
      <c r="M49" s="498">
        <v>17935</v>
      </c>
      <c r="N49" s="183" t="s">
        <v>1385</v>
      </c>
      <c r="O49" s="157" t="s">
        <v>1386</v>
      </c>
      <c r="P49" s="498">
        <v>33684</v>
      </c>
    </row>
    <row r="50" spans="1:17">
      <c r="A50" s="220">
        <v>44</v>
      </c>
      <c r="B50" s="234">
        <v>1.6469907407407409E-2</v>
      </c>
      <c r="C50" s="227">
        <f t="shared" si="1"/>
        <v>23.716666666666669</v>
      </c>
      <c r="D50" s="227">
        <f t="shared" si="3"/>
        <v>22.603928564843951</v>
      </c>
      <c r="E50" s="232">
        <f>'5K'!$E50*(1-$K$2)+'10K'!$E50*$K$2</f>
        <v>0.9253553693847052</v>
      </c>
      <c r="F50" s="274">
        <f t="shared" si="4"/>
        <v>95.308201959988537</v>
      </c>
      <c r="G50" s="227">
        <v>22.539064364810464</v>
      </c>
      <c r="H50" s="220">
        <v>44</v>
      </c>
      <c r="I50" s="189" t="s">
        <v>2097</v>
      </c>
      <c r="J50" s="150" t="s">
        <v>1457</v>
      </c>
      <c r="K50" s="150" t="s">
        <v>2196</v>
      </c>
      <c r="L50" s="150" t="s">
        <v>160</v>
      </c>
      <c r="M50" s="498">
        <v>17944</v>
      </c>
      <c r="N50" s="183"/>
      <c r="O50" s="157" t="s">
        <v>2197</v>
      </c>
      <c r="P50" s="498">
        <v>34209</v>
      </c>
    </row>
    <row r="51" spans="1:17">
      <c r="A51" s="220">
        <v>45</v>
      </c>
      <c r="B51" s="234">
        <v>1.6840277777777777E-2</v>
      </c>
      <c r="C51" s="227">
        <f t="shared" si="1"/>
        <v>24.25</v>
      </c>
      <c r="D51" s="227">
        <f t="shared" si="3"/>
        <v>22.784634548348834</v>
      </c>
      <c r="E51" s="232">
        <f>'5K'!$E51*(1-$K$2)+'10K'!$E51*$K$2</f>
        <v>0.91801633343214895</v>
      </c>
      <c r="F51" s="274">
        <f t="shared" si="4"/>
        <v>93.957255869479724</v>
      </c>
      <c r="G51" s="227">
        <v>22.718442467197303</v>
      </c>
      <c r="H51" s="220">
        <v>45</v>
      </c>
      <c r="I51" s="189" t="s">
        <v>2098</v>
      </c>
      <c r="J51" s="150" t="s">
        <v>1607</v>
      </c>
      <c r="K51" s="150" t="s">
        <v>1608</v>
      </c>
      <c r="L51" s="150" t="s">
        <v>407</v>
      </c>
      <c r="M51" s="498">
        <v>14817</v>
      </c>
      <c r="N51" s="183"/>
      <c r="O51" s="157" t="s">
        <v>2197</v>
      </c>
      <c r="P51" s="498">
        <v>31283</v>
      </c>
    </row>
    <row r="52" spans="1:17">
      <c r="A52" s="220">
        <v>46</v>
      </c>
      <c r="B52" s="234">
        <v>1.7141203703703704E-2</v>
      </c>
      <c r="C52" s="227">
        <f t="shared" si="1"/>
        <v>24.683333333333334</v>
      </c>
      <c r="D52" s="227">
        <f t="shared" si="3"/>
        <v>22.968253106293549</v>
      </c>
      <c r="E52" s="232">
        <f>'5K'!$E52*(1-$K$2)+'10K'!$E52*$K$2</f>
        <v>0.91067729747959247</v>
      </c>
      <c r="F52" s="274">
        <f t="shared" si="4"/>
        <v>93.051666872222356</v>
      </c>
      <c r="G52" s="227">
        <v>22.900698651435402</v>
      </c>
      <c r="H52" s="220">
        <v>46</v>
      </c>
      <c r="I52" s="189" t="s">
        <v>2099</v>
      </c>
      <c r="J52" s="150" t="s">
        <v>1992</v>
      </c>
      <c r="K52" s="150" t="s">
        <v>2198</v>
      </c>
      <c r="L52" s="150" t="s">
        <v>155</v>
      </c>
      <c r="M52" s="498">
        <v>23836</v>
      </c>
      <c r="N52" s="183"/>
      <c r="O52" s="157" t="s">
        <v>2199</v>
      </c>
      <c r="P52" s="498">
        <v>40684</v>
      </c>
    </row>
    <row r="53" spans="1:17">
      <c r="A53" s="220">
        <v>47</v>
      </c>
      <c r="B53" s="234">
        <v>1.6828703703703703E-2</v>
      </c>
      <c r="C53" s="227">
        <f t="shared" si="1"/>
        <v>24.233333333333334</v>
      </c>
      <c r="D53" s="227">
        <f t="shared" si="3"/>
        <v>23.154855226998091</v>
      </c>
      <c r="E53" s="232">
        <f>'5K'!$E53*(1-$K$2)+'10K'!$E53*$K$2</f>
        <v>0.90333826152703622</v>
      </c>
      <c r="F53" s="274">
        <f t="shared" si="4"/>
        <v>95.549608914710134</v>
      </c>
      <c r="G53" s="227">
        <v>23.085902744984864</v>
      </c>
      <c r="H53" s="220">
        <v>47</v>
      </c>
      <c r="I53" s="189" t="s">
        <v>2100</v>
      </c>
      <c r="J53" s="150" t="s">
        <v>1471</v>
      </c>
      <c r="K53" s="150" t="s">
        <v>2200</v>
      </c>
      <c r="L53" s="150" t="s">
        <v>155</v>
      </c>
      <c r="M53" s="498">
        <v>22822</v>
      </c>
      <c r="N53" s="183" t="s">
        <v>1385</v>
      </c>
      <c r="O53" s="157" t="s">
        <v>1386</v>
      </c>
      <c r="P53" s="498">
        <v>40257</v>
      </c>
    </row>
    <row r="54" spans="1:17">
      <c r="A54" s="220">
        <v>48</v>
      </c>
      <c r="B54" s="234">
        <v>1.6655092592592593E-2</v>
      </c>
      <c r="C54" s="227">
        <f t="shared" si="1"/>
        <v>23.983333333333334</v>
      </c>
      <c r="D54" s="227">
        <f t="shared" si="3"/>
        <v>23.344514224614098</v>
      </c>
      <c r="E54" s="232">
        <f>'5K'!$E54*(1-$K$2)+'10K'!$E54*$K$2</f>
        <v>0.89599922557447997</v>
      </c>
      <c r="F54" s="274">
        <f t="shared" si="4"/>
        <v>97.336403994221385</v>
      </c>
      <c r="G54" s="227">
        <v>23.274126852576284</v>
      </c>
      <c r="H54" s="220">
        <v>48</v>
      </c>
      <c r="I54" s="189" t="s">
        <v>2101</v>
      </c>
      <c r="J54" s="150" t="s">
        <v>2201</v>
      </c>
      <c r="K54" s="150" t="s">
        <v>2202</v>
      </c>
      <c r="L54" s="150" t="s">
        <v>338</v>
      </c>
      <c r="M54" s="498">
        <v>18457</v>
      </c>
      <c r="N54" s="183"/>
      <c r="O54" s="157" t="s">
        <v>2203</v>
      </c>
      <c r="P54" s="498">
        <v>36261</v>
      </c>
    </row>
    <row r="55" spans="1:17">
      <c r="A55" s="220">
        <v>49</v>
      </c>
      <c r="B55" s="234">
        <v>1.7361111111111112E-2</v>
      </c>
      <c r="C55" s="227">
        <f t="shared" si="1"/>
        <v>25</v>
      </c>
      <c r="D55" s="227">
        <f t="shared" si="3"/>
        <v>23.537305835164691</v>
      </c>
      <c r="E55" s="232">
        <f>'5K'!$E55*(1-$K$2)+'10K'!$E55*$K$2</f>
        <v>0.88866018962192361</v>
      </c>
      <c r="F55" s="274">
        <f t="shared" si="4"/>
        <v>94.149223340658764</v>
      </c>
      <c r="G55" s="227">
        <v>23.465445449809181</v>
      </c>
      <c r="H55" s="220">
        <v>49</v>
      </c>
      <c r="I55" s="189" t="s">
        <v>1367</v>
      </c>
      <c r="J55" s="150" t="s">
        <v>215</v>
      </c>
      <c r="K55" s="150" t="s">
        <v>1609</v>
      </c>
      <c r="L55" s="150" t="s">
        <v>1176</v>
      </c>
      <c r="M55" s="498">
        <v>19418</v>
      </c>
      <c r="N55" s="183"/>
      <c r="O55" s="157" t="s">
        <v>2204</v>
      </c>
      <c r="P55" s="498">
        <v>37616</v>
      </c>
    </row>
    <row r="56" spans="1:17">
      <c r="A56" s="220">
        <v>50</v>
      </c>
      <c r="B56" s="234">
        <v>1.7175925925925924E-2</v>
      </c>
      <c r="C56" s="227">
        <f t="shared" si="1"/>
        <v>24.733333333333331</v>
      </c>
      <c r="D56" s="227">
        <f t="shared" si="3"/>
        <v>23.733308317382875</v>
      </c>
      <c r="E56" s="232">
        <f>'5K'!$E56*(1-$K$2)+'10K'!$E56*$K$2</f>
        <v>0.88132115366936725</v>
      </c>
      <c r="F56" s="274">
        <f t="shared" si="4"/>
        <v>95.956772172707048</v>
      </c>
      <c r="G56" s="227">
        <v>23.659935481405022</v>
      </c>
      <c r="H56" s="220">
        <v>50</v>
      </c>
      <c r="I56" s="189" t="s">
        <v>2102</v>
      </c>
      <c r="J56" s="150" t="s">
        <v>215</v>
      </c>
      <c r="K56" s="150" t="s">
        <v>1609</v>
      </c>
      <c r="L56" s="150" t="s">
        <v>1176</v>
      </c>
      <c r="M56" s="498">
        <v>19418</v>
      </c>
      <c r="N56" s="183"/>
      <c r="O56" s="157" t="s">
        <v>2205</v>
      </c>
      <c r="P56" s="498">
        <v>37689</v>
      </c>
    </row>
    <row r="57" spans="1:17">
      <c r="A57" s="220">
        <v>51</v>
      </c>
      <c r="B57" s="234">
        <v>1.744212962962963E-2</v>
      </c>
      <c r="C57" s="227">
        <f t="shared" si="1"/>
        <v>25.116666666666667</v>
      </c>
      <c r="D57" s="227">
        <f t="shared" si="3"/>
        <v>23.932602558630514</v>
      </c>
      <c r="E57" s="232">
        <f>'5K'!$E57*(1-$K$2)+'10K'!$E57*$K$2</f>
        <v>0.87398211771681089</v>
      </c>
      <c r="F57" s="274">
        <f t="shared" si="4"/>
        <v>95.285743431840132</v>
      </c>
      <c r="G57" s="227">
        <v>23.857676464387289</v>
      </c>
      <c r="H57" s="220">
        <v>51</v>
      </c>
      <c r="I57" s="189" t="s">
        <v>1368</v>
      </c>
      <c r="J57" s="150" t="s">
        <v>215</v>
      </c>
      <c r="K57" s="150" t="s">
        <v>1609</v>
      </c>
      <c r="L57" s="150" t="s">
        <v>1176</v>
      </c>
      <c r="M57" s="498">
        <v>19418</v>
      </c>
      <c r="N57" s="183"/>
      <c r="O57" s="157" t="s">
        <v>1491</v>
      </c>
      <c r="P57" s="498">
        <v>38045</v>
      </c>
    </row>
    <row r="58" spans="1:17">
      <c r="A58" s="220">
        <v>52</v>
      </c>
      <c r="B58" s="234">
        <v>1.7627314814814814E-2</v>
      </c>
      <c r="C58" s="227">
        <f t="shared" si="1"/>
        <v>25.383333333333333</v>
      </c>
      <c r="D58" s="227">
        <f t="shared" si="3"/>
        <v>24.135272186199071</v>
      </c>
      <c r="E58" s="232">
        <f>'5K'!$E58*(1-$K$2)+'10K'!$E58*$K$2</f>
        <v>0.86664308176425475</v>
      </c>
      <c r="F58" s="274">
        <f t="shared" si="4"/>
        <v>95.083147155084973</v>
      </c>
      <c r="G58" s="227">
        <v>24.058750596479157</v>
      </c>
      <c r="H58" s="220">
        <v>52</v>
      </c>
      <c r="I58" s="189" t="s">
        <v>1369</v>
      </c>
      <c r="J58" s="150" t="s">
        <v>1617</v>
      </c>
      <c r="K58" s="150" t="s">
        <v>1546</v>
      </c>
      <c r="L58" s="150" t="s">
        <v>155</v>
      </c>
      <c r="M58" s="498">
        <v>13971</v>
      </c>
      <c r="N58" s="183"/>
      <c r="O58" s="157" t="s">
        <v>2206</v>
      </c>
      <c r="P58" s="498">
        <v>33088</v>
      </c>
    </row>
    <row r="59" spans="1:17">
      <c r="A59" s="220">
        <v>53</v>
      </c>
      <c r="B59" s="234">
        <v>1.7569444444444443E-2</v>
      </c>
      <c r="C59" s="227">
        <f t="shared" si="1"/>
        <v>25.299999999999997</v>
      </c>
      <c r="D59" s="227">
        <f t="shared" si="3"/>
        <v>24.341403684313843</v>
      </c>
      <c r="E59" s="232">
        <f>'5K'!$E59*(1-$K$2)+'10K'!$E59*$K$2</f>
        <v>0.85930404581169828</v>
      </c>
      <c r="F59" s="274">
        <f t="shared" si="4"/>
        <v>96.211081756181201</v>
      </c>
      <c r="G59" s="227">
        <v>24.263242870029252</v>
      </c>
      <c r="H59" s="220">
        <v>53</v>
      </c>
      <c r="I59" s="189" t="s">
        <v>2103</v>
      </c>
      <c r="J59" s="150" t="s">
        <v>215</v>
      </c>
      <c r="K59" s="150" t="s">
        <v>1609</v>
      </c>
      <c r="L59" s="150" t="s">
        <v>1176</v>
      </c>
      <c r="M59" s="498">
        <v>19418</v>
      </c>
      <c r="N59" s="183"/>
      <c r="O59" s="157" t="s">
        <v>328</v>
      </c>
      <c r="P59" s="498">
        <v>38838</v>
      </c>
    </row>
    <row r="60" spans="1:17">
      <c r="A60" s="220">
        <v>54</v>
      </c>
      <c r="B60" s="234">
        <v>1.7858796296296296E-2</v>
      </c>
      <c r="C60" s="227">
        <f t="shared" si="1"/>
        <v>25.716666666666665</v>
      </c>
      <c r="D60" s="227">
        <f t="shared" si="3"/>
        <v>24.551086517185585</v>
      </c>
      <c r="E60" s="232">
        <f>'5K'!$E60*(1-$K$2)+'10K'!$E60*$K$2</f>
        <v>0.85196500985914203</v>
      </c>
      <c r="F60" s="274">
        <f t="shared" si="4"/>
        <v>95.467607973501956</v>
      </c>
      <c r="G60" s="227">
        <v>24.471241191797294</v>
      </c>
      <c r="H60" s="220">
        <v>54</v>
      </c>
      <c r="I60" s="189" t="s">
        <v>1370</v>
      </c>
      <c r="J60" s="150" t="s">
        <v>215</v>
      </c>
      <c r="K60" s="150" t="s">
        <v>1609</v>
      </c>
      <c r="L60" s="150" t="s">
        <v>1176</v>
      </c>
      <c r="M60" s="498">
        <v>19418</v>
      </c>
      <c r="N60" s="183"/>
      <c r="O60" s="157" t="s">
        <v>1474</v>
      </c>
      <c r="P60" s="498">
        <v>39340</v>
      </c>
    </row>
    <row r="61" spans="1:17">
      <c r="A61" s="220">
        <v>55</v>
      </c>
      <c r="B61" s="234">
        <v>1.818287037037037E-2</v>
      </c>
      <c r="C61" s="227">
        <f t="shared" si="1"/>
        <v>26.183333333333334</v>
      </c>
      <c r="D61" s="227">
        <f t="shared" si="3"/>
        <v>24.764413258477433</v>
      </c>
      <c r="E61" s="232">
        <f>'5K'!$E61*(1-$K$2)+'10K'!$E61*$K$2</f>
        <v>0.84462597390658567</v>
      </c>
      <c r="F61" s="274">
        <f t="shared" si="4"/>
        <v>94.580827212517249</v>
      </c>
      <c r="G61" s="227">
        <v>24.682836508954139</v>
      </c>
      <c r="H61" s="220">
        <v>55</v>
      </c>
      <c r="I61" s="189" t="s">
        <v>2104</v>
      </c>
      <c r="J61" s="150" t="s">
        <v>215</v>
      </c>
      <c r="K61" s="150" t="s">
        <v>1609</v>
      </c>
      <c r="L61" s="150" t="s">
        <v>1176</v>
      </c>
      <c r="M61" s="498">
        <v>19418</v>
      </c>
      <c r="N61" s="183"/>
      <c r="O61" s="157" t="s">
        <v>2204</v>
      </c>
      <c r="P61" s="498">
        <v>39808</v>
      </c>
    </row>
    <row r="62" spans="1:17">
      <c r="A62" s="220">
        <v>56</v>
      </c>
      <c r="B62" s="234">
        <v>1.8518518518518517E-2</v>
      </c>
      <c r="C62" s="227">
        <f t="shared" si="1"/>
        <v>26.666666666666664</v>
      </c>
      <c r="D62" s="227">
        <f t="shared" si="3"/>
        <v>24.981479727580652</v>
      </c>
      <c r="E62" s="232">
        <f>'5K'!$E62*(1-$K$2)+'10K'!$E62*$K$2</f>
        <v>0.83728693795402942</v>
      </c>
      <c r="F62" s="274">
        <f t="shared" si="4"/>
        <v>93.680548978427453</v>
      </c>
      <c r="G62" s="227">
        <v>24.898122941675819</v>
      </c>
      <c r="H62" s="220">
        <v>56</v>
      </c>
      <c r="I62" s="189" t="s">
        <v>2105</v>
      </c>
      <c r="J62" s="150" t="s">
        <v>1483</v>
      </c>
      <c r="K62" s="150" t="s">
        <v>2207</v>
      </c>
      <c r="L62" s="150" t="s">
        <v>155</v>
      </c>
      <c r="M62" s="498">
        <v>20690</v>
      </c>
      <c r="N62" s="183" t="s">
        <v>2208</v>
      </c>
      <c r="O62" s="157" t="s">
        <v>2209</v>
      </c>
      <c r="P62" s="498">
        <v>41421</v>
      </c>
      <c r="Q62" s="220" t="s">
        <v>2210</v>
      </c>
    </row>
    <row r="63" spans="1:17">
      <c r="A63" s="220">
        <v>57</v>
      </c>
      <c r="B63" s="234">
        <v>1.8541666666666668E-2</v>
      </c>
      <c r="C63" s="227">
        <f t="shared" si="1"/>
        <v>26.700000000000003</v>
      </c>
      <c r="D63" s="227">
        <f t="shared" si="3"/>
        <v>25.202385133120728</v>
      </c>
      <c r="E63" s="232">
        <f>'5K'!$E63*(1-$K$2)+'10K'!$E63*$K$2</f>
        <v>0.82994790200147306</v>
      </c>
      <c r="F63" s="274">
        <f t="shared" si="4"/>
        <v>94.390955554759273</v>
      </c>
      <c r="G63" s="227">
        <v>25.117197922737621</v>
      </c>
      <c r="H63" s="220">
        <v>57</v>
      </c>
      <c r="I63" s="189" t="s">
        <v>2106</v>
      </c>
      <c r="J63" s="150" t="s">
        <v>2211</v>
      </c>
      <c r="K63" s="150" t="s">
        <v>2212</v>
      </c>
      <c r="L63" s="150" t="s">
        <v>2213</v>
      </c>
      <c r="M63" s="498">
        <v>19378</v>
      </c>
      <c r="N63" s="183"/>
      <c r="O63" s="157" t="s">
        <v>2214</v>
      </c>
      <c r="P63" s="498">
        <v>40375</v>
      </c>
    </row>
    <row r="64" spans="1:17">
      <c r="A64" s="220">
        <v>58</v>
      </c>
      <c r="B64" s="234">
        <v>1.9027777777777779E-2</v>
      </c>
      <c r="C64" s="227">
        <f t="shared" si="1"/>
        <v>27.400000000000002</v>
      </c>
      <c r="D64" s="227">
        <f t="shared" si="3"/>
        <v>25.427232224145332</v>
      </c>
      <c r="E64" s="232">
        <f>'5K'!$E64*(1-$K$2)+'10K'!$E64*$K$2</f>
        <v>0.8226088660489167</v>
      </c>
      <c r="F64" s="274">
        <f t="shared" si="4"/>
        <v>92.80011760636981</v>
      </c>
      <c r="G64" s="227">
        <v>25.340162344543153</v>
      </c>
      <c r="H64" s="220">
        <v>58</v>
      </c>
      <c r="I64" s="189" t="s">
        <v>2107</v>
      </c>
      <c r="J64" s="150" t="s">
        <v>1483</v>
      </c>
      <c r="K64" s="150" t="s">
        <v>2207</v>
      </c>
      <c r="L64" s="150" t="s">
        <v>155</v>
      </c>
      <c r="M64" s="498">
        <v>20690</v>
      </c>
      <c r="N64" s="183" t="s">
        <v>1388</v>
      </c>
      <c r="O64" s="157" t="s">
        <v>1374</v>
      </c>
      <c r="P64" s="498">
        <v>42057</v>
      </c>
    </row>
    <row r="65" spans="1:17">
      <c r="A65" s="220">
        <v>59</v>
      </c>
      <c r="B65" s="234">
        <v>1.8414351851851852E-2</v>
      </c>
      <c r="C65" s="227">
        <f t="shared" si="1"/>
        <v>26.516666666666666</v>
      </c>
      <c r="D65" s="227">
        <f t="shared" si="3"/>
        <v>25.656127449478198</v>
      </c>
      <c r="E65" s="232">
        <f>'5K'!$E65*(1-$K$2)+'10K'!$E65*$K$2</f>
        <v>0.81526983009636056</v>
      </c>
      <c r="F65" s="274">
        <f t="shared" si="4"/>
        <v>96.754723253846137</v>
      </c>
      <c r="G65" s="227">
        <v>25.567120714054621</v>
      </c>
      <c r="H65" s="220">
        <v>59</v>
      </c>
      <c r="I65" s="189" t="s">
        <v>2108</v>
      </c>
      <c r="J65" s="150" t="s">
        <v>215</v>
      </c>
      <c r="K65" s="150" t="s">
        <v>1609</v>
      </c>
      <c r="L65" s="150" t="s">
        <v>1176</v>
      </c>
      <c r="M65" s="498">
        <v>19418</v>
      </c>
      <c r="N65" s="183"/>
      <c r="O65" s="1" t="s">
        <v>1491</v>
      </c>
      <c r="P65" s="498">
        <v>41167</v>
      </c>
    </row>
    <row r="66" spans="1:17">
      <c r="A66" s="220">
        <v>60</v>
      </c>
      <c r="B66" s="234">
        <v>1.8171296296296297E-2</v>
      </c>
      <c r="C66" s="227">
        <f t="shared" si="1"/>
        <v>26.166666666666668</v>
      </c>
      <c r="D66" s="227">
        <f t="shared" si="3"/>
        <v>25.88918112575827</v>
      </c>
      <c r="E66" s="232">
        <f>'5K'!$E66*(1-$K$2)+'10K'!$E66*$K$2</f>
        <v>0.80793079414380409</v>
      </c>
      <c r="F66" s="274">
        <f t="shared" si="4"/>
        <v>98.939545703534776</v>
      </c>
      <c r="G66" s="227">
        <v>25.798181316124111</v>
      </c>
      <c r="H66" s="220">
        <v>60</v>
      </c>
      <c r="I66" s="189" t="s">
        <v>1366</v>
      </c>
      <c r="J66" s="150" t="s">
        <v>215</v>
      </c>
      <c r="K66" s="150" t="s">
        <v>1609</v>
      </c>
      <c r="L66" s="150" t="s">
        <v>1176</v>
      </c>
      <c r="M66" s="498">
        <v>19418</v>
      </c>
      <c r="N66" s="183"/>
      <c r="O66" s="157" t="s">
        <v>1491</v>
      </c>
      <c r="P66" s="498">
        <v>41531</v>
      </c>
    </row>
    <row r="67" spans="1:17">
      <c r="A67" s="220">
        <v>61</v>
      </c>
      <c r="B67" s="234">
        <v>1.8749999999999999E-2</v>
      </c>
      <c r="C67" s="227">
        <f t="shared" si="1"/>
        <v>27</v>
      </c>
      <c r="D67" s="227">
        <f t="shared" si="3"/>
        <v>26.126507614721191</v>
      </c>
      <c r="E67" s="232">
        <f>'5K'!$E67*(1-$K$2)+'10K'!$E67*$K$2</f>
        <v>0.80059175819124784</v>
      </c>
      <c r="F67" s="274">
        <f t="shared" si="4"/>
        <v>96.764843017485887</v>
      </c>
      <c r="G67" s="227">
        <v>26.033456385762179</v>
      </c>
      <c r="H67" s="220">
        <v>61</v>
      </c>
      <c r="I67" s="189" t="s">
        <v>2109</v>
      </c>
      <c r="J67" s="150" t="s">
        <v>215</v>
      </c>
      <c r="K67" s="150" t="s">
        <v>1609</v>
      </c>
      <c r="L67" s="150" t="s">
        <v>1176</v>
      </c>
      <c r="M67" s="498">
        <v>19418</v>
      </c>
      <c r="N67" s="183"/>
      <c r="O67" s="157" t="s">
        <v>328</v>
      </c>
      <c r="P67" s="498">
        <v>41764</v>
      </c>
    </row>
    <row r="68" spans="1:17">
      <c r="A68" s="220">
        <v>62</v>
      </c>
      <c r="B68" s="234">
        <v>1.8807870370370371E-2</v>
      </c>
      <c r="C68" s="227">
        <f t="shared" si="1"/>
        <v>27.083333333333332</v>
      </c>
      <c r="D68" s="227">
        <f t="shared" si="3"/>
        <v>26.368225510322034</v>
      </c>
      <c r="E68" s="232">
        <f>'5K'!$E68*(1-$K$2)+'10K'!$E68*$K$2</f>
        <v>0.79325272223869148</v>
      </c>
      <c r="F68" s="274">
        <f t="shared" si="4"/>
        <v>97.359601884265984</v>
      </c>
      <c r="G68" s="227">
        <v>26.273062289919562</v>
      </c>
      <c r="H68" s="220">
        <v>62</v>
      </c>
      <c r="I68" s="189" t="s">
        <v>2110</v>
      </c>
      <c r="J68" s="150" t="s">
        <v>215</v>
      </c>
      <c r="K68" s="150" t="s">
        <v>1609</v>
      </c>
      <c r="L68" s="150" t="s">
        <v>1176</v>
      </c>
      <c r="M68" s="498">
        <v>19418</v>
      </c>
      <c r="N68" s="183"/>
      <c r="O68" s="157" t="s">
        <v>328</v>
      </c>
      <c r="P68" s="498">
        <v>42128</v>
      </c>
    </row>
    <row r="69" spans="1:17">
      <c r="A69" s="220">
        <v>63</v>
      </c>
      <c r="B69" s="234">
        <v>1.9432870370370371E-2</v>
      </c>
      <c r="C69" s="227">
        <f t="shared" si="1"/>
        <v>27.983333333333334</v>
      </c>
      <c r="D69" s="227">
        <f t="shared" si="3"/>
        <v>26.614457836342265</v>
      </c>
      <c r="E69" s="232">
        <f>'5K'!$E69*(1-$K$2)+'10K'!$E69*$K$2</f>
        <v>0.78591368628613512</v>
      </c>
      <c r="F69" s="274">
        <f t="shared" si="4"/>
        <v>95.108247181687659</v>
      </c>
      <c r="G69" s="227">
        <v>26.517119719400629</v>
      </c>
      <c r="H69" s="220">
        <v>63</v>
      </c>
      <c r="I69" s="189" t="s">
        <v>2111</v>
      </c>
      <c r="J69" s="150" t="s">
        <v>1496</v>
      </c>
      <c r="K69" s="150" t="s">
        <v>1625</v>
      </c>
      <c r="L69" s="150" t="s">
        <v>225</v>
      </c>
      <c r="M69" s="498">
        <v>11388</v>
      </c>
      <c r="N69" s="183"/>
      <c r="O69" s="157" t="s">
        <v>1377</v>
      </c>
      <c r="P69" s="506">
        <v>34490</v>
      </c>
    </row>
    <row r="70" spans="1:17">
      <c r="A70" s="220">
        <v>64</v>
      </c>
      <c r="B70" s="234">
        <v>1.9722222222222221E-2</v>
      </c>
      <c r="C70" s="227">
        <f t="shared" si="1"/>
        <v>28.4</v>
      </c>
      <c r="D70" s="227">
        <f t="shared" si="3"/>
        <v>26.865332255172909</v>
      </c>
      <c r="E70" s="232">
        <f>'5K'!$E70*(1-$K$2)+'10K'!$E70*$K$2</f>
        <v>0.77857465033357887</v>
      </c>
      <c r="F70" s="274">
        <f t="shared" si="4"/>
        <v>94.59624033511588</v>
      </c>
      <c r="G70" s="227">
        <v>26.765753891573496</v>
      </c>
      <c r="H70" s="220">
        <v>64</v>
      </c>
      <c r="I70" s="189" t="s">
        <v>1372</v>
      </c>
      <c r="J70" s="150" t="s">
        <v>1496</v>
      </c>
      <c r="K70" s="150" t="s">
        <v>1625</v>
      </c>
      <c r="L70" s="150" t="s">
        <v>225</v>
      </c>
      <c r="M70" s="498">
        <v>11388</v>
      </c>
      <c r="N70" s="183"/>
      <c r="O70" s="157" t="s">
        <v>2215</v>
      </c>
      <c r="P70" s="498">
        <v>35085</v>
      </c>
    </row>
    <row r="71" spans="1:17">
      <c r="A71" s="220">
        <v>65</v>
      </c>
      <c r="B71" s="234">
        <v>1.9861111111111111E-2</v>
      </c>
      <c r="C71" s="227">
        <f t="shared" si="1"/>
        <v>28.599999999999998</v>
      </c>
      <c r="D71" s="227">
        <f t="shared" si="3"/>
        <v>27.120981288518347</v>
      </c>
      <c r="E71" s="232">
        <f>'5K'!$E71*(1-$K$2)+'10K'!$E71*$K$2</f>
        <v>0.77123561438102251</v>
      </c>
      <c r="F71" s="274">
        <f t="shared" si="4"/>
        <v>94.828605903910315</v>
      </c>
      <c r="G71" s="227">
        <v>27.019094764592207</v>
      </c>
      <c r="H71" s="220">
        <v>65</v>
      </c>
      <c r="I71" s="189" t="s">
        <v>2112</v>
      </c>
      <c r="J71" s="150" t="s">
        <v>1496</v>
      </c>
      <c r="K71" s="150" t="s">
        <v>1625</v>
      </c>
      <c r="L71" s="150" t="s">
        <v>225</v>
      </c>
      <c r="M71" s="498">
        <v>11388</v>
      </c>
      <c r="N71" s="183"/>
      <c r="O71" s="157" t="s">
        <v>1377</v>
      </c>
      <c r="P71" s="498">
        <v>35254</v>
      </c>
    </row>
    <row r="72" spans="1:17">
      <c r="A72" s="220">
        <v>66</v>
      </c>
      <c r="B72" s="234">
        <v>2.0104166666666666E-2</v>
      </c>
      <c r="C72" s="227">
        <f t="shared" si="1"/>
        <v>28.95</v>
      </c>
      <c r="D72" s="227">
        <f t="shared" si="3"/>
        <v>27.381542550822367</v>
      </c>
      <c r="E72" s="232">
        <f>'5K'!$E72*(1-$K$2)+'10K'!$E72*$K$2</f>
        <v>0.76389657842846626</v>
      </c>
      <c r="F72" s="274">
        <f t="shared" si="4"/>
        <v>94.582184976933917</v>
      </c>
      <c r="G72" s="227">
        <v>27.277277263900981</v>
      </c>
      <c r="H72" s="220">
        <v>66</v>
      </c>
      <c r="I72" s="189" t="s">
        <v>2113</v>
      </c>
      <c r="J72" s="150" t="s">
        <v>1496</v>
      </c>
      <c r="K72" s="150" t="s">
        <v>1625</v>
      </c>
      <c r="L72" s="150" t="s">
        <v>225</v>
      </c>
      <c r="M72" s="498">
        <v>11388</v>
      </c>
      <c r="N72" s="183"/>
      <c r="O72" s="157" t="s">
        <v>1377</v>
      </c>
      <c r="P72" s="498">
        <v>35599</v>
      </c>
    </row>
    <row r="73" spans="1:17">
      <c r="A73" s="220">
        <v>67</v>
      </c>
      <c r="B73" s="234">
        <v>2.0659722222222222E-2</v>
      </c>
      <c r="C73" s="227">
        <f t="shared" si="1"/>
        <v>29.75</v>
      </c>
      <c r="D73" s="227">
        <f t="shared" ref="D73:D104" si="5">E$4/E73</f>
        <v>27.647158996280428</v>
      </c>
      <c r="E73" s="232">
        <f>'5K'!$E73*(1-$K$2)+'10K'!$E73*$K$2</f>
        <v>0.75655754247590989</v>
      </c>
      <c r="F73" s="274">
        <f t="shared" si="4"/>
        <v>92.931626878253539</v>
      </c>
      <c r="G73" s="227">
        <v>27.540441521850013</v>
      </c>
      <c r="H73" s="220">
        <v>67</v>
      </c>
      <c r="I73" s="189" t="s">
        <v>2114</v>
      </c>
      <c r="J73" s="150" t="s">
        <v>1918</v>
      </c>
      <c r="K73" s="150" t="s">
        <v>2216</v>
      </c>
      <c r="L73" s="150" t="s">
        <v>155</v>
      </c>
      <c r="M73" s="498">
        <v>5708</v>
      </c>
      <c r="N73" s="183" t="s">
        <v>2217</v>
      </c>
      <c r="O73" s="157" t="s">
        <v>1160</v>
      </c>
      <c r="P73" s="498">
        <v>30458</v>
      </c>
      <c r="Q73" s="220" t="s">
        <v>2218</v>
      </c>
    </row>
    <row r="74" spans="1:17">
      <c r="A74" s="220">
        <v>68</v>
      </c>
      <c r="B74" s="234">
        <v>2.0706018518518519E-2</v>
      </c>
      <c r="C74" s="227">
        <f t="shared" si="1"/>
        <v>29.816666666666666</v>
      </c>
      <c r="D74" s="227">
        <f t="shared" si="5"/>
        <v>27.919178826130189</v>
      </c>
      <c r="E74" s="232">
        <f>'5K'!$E74*(1-$K$2)+'10K'!$E74*$K$2</f>
        <v>0.74918631371386479</v>
      </c>
      <c r="F74" s="274">
        <f t="shared" si="4"/>
        <v>93.636150339173355</v>
      </c>
      <c r="G74" s="227">
        <v>27.80873313131687</v>
      </c>
      <c r="H74" s="220">
        <v>68</v>
      </c>
      <c r="I74" s="189" t="s">
        <v>2115</v>
      </c>
      <c r="J74" s="150" t="s">
        <v>1496</v>
      </c>
      <c r="K74" s="150" t="s">
        <v>1625</v>
      </c>
      <c r="L74" s="150" t="s">
        <v>225</v>
      </c>
      <c r="M74" s="498">
        <v>11388</v>
      </c>
      <c r="N74" s="183"/>
      <c r="O74" s="157" t="s">
        <v>2215</v>
      </c>
      <c r="P74" s="498">
        <v>36548</v>
      </c>
    </row>
    <row r="75" spans="1:17">
      <c r="A75" s="220">
        <v>69</v>
      </c>
      <c r="B75" s="234">
        <v>2.1226851851851851E-2</v>
      </c>
      <c r="C75" s="227">
        <f t="shared" ref="C75:C91" si="6">B75*1440</f>
        <v>30.566666666666666</v>
      </c>
      <c r="D75" s="227">
        <f t="shared" si="5"/>
        <v>28.205172848862244</v>
      </c>
      <c r="E75" s="232">
        <f>'5K'!$E75*(1-$K$2)+'10K'!$E75*$K$2</f>
        <v>0.74158973528539862</v>
      </c>
      <c r="F75" s="274">
        <f t="shared" si="4"/>
        <v>92.274284129320321</v>
      </c>
      <c r="G75" s="227">
        <v>28.082303414298028</v>
      </c>
      <c r="H75" s="220">
        <v>69</v>
      </c>
      <c r="I75" s="189" t="s">
        <v>2116</v>
      </c>
      <c r="J75" s="1" t="s">
        <v>1496</v>
      </c>
      <c r="K75" s="1" t="s">
        <v>1625</v>
      </c>
      <c r="L75" s="150" t="s">
        <v>225</v>
      </c>
      <c r="M75" s="498">
        <v>11388</v>
      </c>
      <c r="N75" s="1"/>
      <c r="O75" s="157" t="s">
        <v>1377</v>
      </c>
      <c r="P75" s="506">
        <v>36624</v>
      </c>
    </row>
    <row r="76" spans="1:17">
      <c r="A76" s="220">
        <v>70</v>
      </c>
      <c r="B76" s="234">
        <v>2.1122685185185185E-2</v>
      </c>
      <c r="C76" s="227">
        <f t="shared" si="6"/>
        <v>30.416666666666668</v>
      </c>
      <c r="D76" s="227">
        <f t="shared" si="5"/>
        <v>28.50597150340311</v>
      </c>
      <c r="E76" s="232">
        <f>'5K'!$E76*(1-$K$2)+'10K'!$E76*$K$2</f>
        <v>0.7337643856189775</v>
      </c>
      <c r="F76" s="274">
        <f t="shared" ref="F76:F91" si="7">100*(D76/C76)</f>
        <v>93.718262476941732</v>
      </c>
      <c r="G76" s="227">
        <v>28.372873347732867</v>
      </c>
      <c r="H76" s="220">
        <v>70</v>
      </c>
      <c r="I76" s="189" t="s">
        <v>2117</v>
      </c>
      <c r="J76" s="150" t="s">
        <v>1500</v>
      </c>
      <c r="K76" s="150" t="s">
        <v>1636</v>
      </c>
      <c r="L76" s="150" t="s">
        <v>155</v>
      </c>
      <c r="M76" s="498">
        <v>7482</v>
      </c>
      <c r="N76" s="183" t="s">
        <v>1382</v>
      </c>
      <c r="O76" s="157" t="s">
        <v>358</v>
      </c>
      <c r="P76" s="498">
        <v>33307</v>
      </c>
      <c r="Q76" s="220" t="s">
        <v>2219</v>
      </c>
    </row>
    <row r="77" spans="1:17" ht="15.75">
      <c r="A77" s="220">
        <v>71</v>
      </c>
      <c r="B77" s="234">
        <v>2.1597222222222223E-2</v>
      </c>
      <c r="C77" s="227">
        <f t="shared" si="6"/>
        <v>31.1</v>
      </c>
      <c r="D77" s="227">
        <f t="shared" si="5"/>
        <v>28.826310326375626</v>
      </c>
      <c r="E77" s="232">
        <f>'5K'!$E77*(1-$K$2)+'10K'!$E77*$K$2</f>
        <v>0.72561026471460133</v>
      </c>
      <c r="F77" s="274">
        <f t="shared" si="7"/>
        <v>92.689100727895905</v>
      </c>
      <c r="G77" s="227">
        <v>28.694853316265547</v>
      </c>
      <c r="H77" s="220">
        <v>71</v>
      </c>
      <c r="I77" s="189" t="s">
        <v>1365</v>
      </c>
      <c r="J77" s="1" t="s">
        <v>1500</v>
      </c>
      <c r="K77" s="1" t="s">
        <v>1636</v>
      </c>
      <c r="L77" s="150" t="s">
        <v>155</v>
      </c>
      <c r="M77" s="498">
        <v>7482</v>
      </c>
      <c r="N77" s="507" t="s">
        <v>1382</v>
      </c>
      <c r="O77" s="157" t="s">
        <v>358</v>
      </c>
      <c r="P77" s="506">
        <v>33675</v>
      </c>
      <c r="Q77" s="220" t="s">
        <v>2218</v>
      </c>
    </row>
    <row r="78" spans="1:17">
      <c r="A78" s="220">
        <v>72</v>
      </c>
      <c r="B78" s="234">
        <v>2.2199074074074072E-2</v>
      </c>
      <c r="C78" s="227">
        <f t="shared" si="6"/>
        <v>31.966666666666665</v>
      </c>
      <c r="D78" s="227">
        <f t="shared" si="5"/>
        <v>29.183853130765943</v>
      </c>
      <c r="E78" s="232">
        <f>'5K'!$E78*(1-$K$2)+'10K'!$E78*$K$2</f>
        <v>0.71672052942920284</v>
      </c>
      <c r="F78" s="274">
        <f t="shared" si="7"/>
        <v>91.294639616577513</v>
      </c>
      <c r="G78" s="227">
        <v>29.050205252614589</v>
      </c>
      <c r="H78" s="220">
        <v>72</v>
      </c>
      <c r="I78" s="189" t="s">
        <v>2118</v>
      </c>
      <c r="J78" s="150" t="s">
        <v>1500</v>
      </c>
      <c r="K78" s="150" t="s">
        <v>1636</v>
      </c>
      <c r="L78" s="150" t="s">
        <v>155</v>
      </c>
      <c r="M78" s="498">
        <v>7482</v>
      </c>
      <c r="N78" s="183" t="s">
        <v>1382</v>
      </c>
      <c r="O78" s="157" t="s">
        <v>358</v>
      </c>
      <c r="P78" s="498">
        <v>34042</v>
      </c>
    </row>
    <row r="79" spans="1:17">
      <c r="A79" s="220">
        <v>73</v>
      </c>
      <c r="B79" s="234">
        <v>2.2870370370370371E-2</v>
      </c>
      <c r="C79" s="227">
        <f t="shared" si="6"/>
        <v>32.933333333333337</v>
      </c>
      <c r="D79" s="227">
        <f t="shared" si="5"/>
        <v>29.575446713952893</v>
      </c>
      <c r="E79" s="232">
        <f>'5K'!$E79*(1-$K$2)+'10K'!$E79*$K$2</f>
        <v>0.70723079414380408</v>
      </c>
      <c r="F79" s="274">
        <f t="shared" si="7"/>
        <v>89.803987997832664</v>
      </c>
      <c r="G79" s="227">
        <v>29.441152755043714</v>
      </c>
      <c r="H79" s="220">
        <v>73</v>
      </c>
      <c r="I79" s="189" t="s">
        <v>2119</v>
      </c>
      <c r="J79" s="150" t="s">
        <v>2028</v>
      </c>
      <c r="K79" s="150" t="s">
        <v>2220</v>
      </c>
      <c r="L79" s="150" t="s">
        <v>172</v>
      </c>
      <c r="M79" s="498">
        <v>15438</v>
      </c>
      <c r="N79" s="183"/>
      <c r="O79" s="157" t="s">
        <v>1389</v>
      </c>
      <c r="P79" s="498">
        <v>42211</v>
      </c>
    </row>
    <row r="80" spans="1:17">
      <c r="A80" s="220">
        <v>74</v>
      </c>
      <c r="B80" s="234">
        <v>2.2222222222222223E-2</v>
      </c>
      <c r="C80" s="227">
        <f t="shared" si="6"/>
        <v>32</v>
      </c>
      <c r="D80" s="227">
        <f t="shared" si="5"/>
        <v>30.00487826990128</v>
      </c>
      <c r="E80" s="232">
        <f>'5K'!$E80*(1-$K$2)+'10K'!$E80*$K$2</f>
        <v>0.69710886604891675</v>
      </c>
      <c r="F80" s="274">
        <f t="shared" si="7"/>
        <v>93.765244593441494</v>
      </c>
      <c r="G80" s="227">
        <v>29.870233342251488</v>
      </c>
      <c r="H80" s="220">
        <v>74</v>
      </c>
      <c r="I80" s="189" t="s">
        <v>2120</v>
      </c>
      <c r="J80" s="1" t="s">
        <v>1500</v>
      </c>
      <c r="K80" s="1" t="s">
        <v>1636</v>
      </c>
      <c r="L80" s="150" t="s">
        <v>155</v>
      </c>
      <c r="M80" s="498">
        <v>7482</v>
      </c>
      <c r="N80" s="183" t="s">
        <v>2221</v>
      </c>
      <c r="O80" s="157" t="s">
        <v>2222</v>
      </c>
      <c r="P80" s="498">
        <v>34791</v>
      </c>
      <c r="Q80" s="220" t="s">
        <v>2218</v>
      </c>
    </row>
    <row r="81" spans="1:18">
      <c r="A81" s="220">
        <v>75</v>
      </c>
      <c r="B81" s="234">
        <v>2.2129629629629631E-2</v>
      </c>
      <c r="C81" s="227">
        <f t="shared" si="6"/>
        <v>31.866666666666667</v>
      </c>
      <c r="D81" s="227">
        <f t="shared" si="5"/>
        <v>30.478171436961773</v>
      </c>
      <c r="E81" s="232">
        <f>'5K'!$E81*(1-$K$2)+'10K'!$E81*$K$2</f>
        <v>0.68628351638249563</v>
      </c>
      <c r="F81" s="274">
        <f t="shared" si="7"/>
        <v>95.642797396323559</v>
      </c>
      <c r="G81" s="227">
        <v>30.340343944391616</v>
      </c>
      <c r="H81" s="220">
        <v>75</v>
      </c>
      <c r="I81" s="189" t="s">
        <v>2121</v>
      </c>
      <c r="J81" s="150" t="s">
        <v>1500</v>
      </c>
      <c r="K81" s="150" t="s">
        <v>1636</v>
      </c>
      <c r="L81" s="150" t="s">
        <v>155</v>
      </c>
      <c r="M81" s="498">
        <v>7482</v>
      </c>
      <c r="N81" s="183"/>
      <c r="O81" s="157" t="s">
        <v>2223</v>
      </c>
      <c r="P81" s="498">
        <v>34884</v>
      </c>
    </row>
    <row r="82" spans="1:18">
      <c r="A82" s="220">
        <v>76</v>
      </c>
      <c r="B82" s="234">
        <v>2.3009259259259261E-2</v>
      </c>
      <c r="C82" s="227">
        <f t="shared" si="6"/>
        <v>33.133333333333333</v>
      </c>
      <c r="D82" s="227">
        <f t="shared" si="5"/>
        <v>30.994166920212585</v>
      </c>
      <c r="E82" s="232">
        <f>'5K'!$E82*(1-$K$2)+'10K'!$E82*$K$2</f>
        <v>0.67485816671607446</v>
      </c>
      <c r="F82" s="274">
        <f t="shared" si="7"/>
        <v>93.543763340681849</v>
      </c>
      <c r="G82" s="227">
        <v>30.854795498979694</v>
      </c>
      <c r="H82" s="220">
        <v>76</v>
      </c>
      <c r="I82" s="189" t="s">
        <v>2122</v>
      </c>
      <c r="J82" s="150" t="s">
        <v>1500</v>
      </c>
      <c r="K82" s="150" t="s">
        <v>1636</v>
      </c>
      <c r="L82" s="150" t="s">
        <v>155</v>
      </c>
      <c r="M82" s="498">
        <v>7482</v>
      </c>
      <c r="N82" s="183" t="s">
        <v>2224</v>
      </c>
      <c r="O82" s="157" t="s">
        <v>361</v>
      </c>
      <c r="P82" s="498">
        <v>35512</v>
      </c>
    </row>
    <row r="83" spans="1:18">
      <c r="A83" s="220">
        <v>77</v>
      </c>
      <c r="B83" s="234">
        <v>2.3229166666666665E-2</v>
      </c>
      <c r="C83" s="227">
        <f t="shared" si="6"/>
        <v>33.449999999999996</v>
      </c>
      <c r="D83" s="227">
        <f t="shared" si="5"/>
        <v>31.559702693285061</v>
      </c>
      <c r="E83" s="232">
        <f>'5K'!$E83*(1-$K$2)+'10K'!$E83*$K$2</f>
        <v>0.662765009859142</v>
      </c>
      <c r="F83" s="274">
        <f t="shared" si="7"/>
        <v>94.348886975441147</v>
      </c>
      <c r="G83" s="227">
        <v>31.417378738571848</v>
      </c>
      <c r="H83" s="220">
        <v>77</v>
      </c>
      <c r="I83" s="189" t="s">
        <v>2123</v>
      </c>
      <c r="J83" s="150" t="s">
        <v>1500</v>
      </c>
      <c r="K83" s="150" t="s">
        <v>1636</v>
      </c>
      <c r="L83" s="150" t="s">
        <v>155</v>
      </c>
      <c r="M83" s="498">
        <v>7482</v>
      </c>
      <c r="N83" s="183" t="s">
        <v>2225</v>
      </c>
      <c r="O83" s="157" t="s">
        <v>1384</v>
      </c>
      <c r="P83" s="498">
        <v>35623</v>
      </c>
    </row>
    <row r="84" spans="1:18">
      <c r="A84" s="220">
        <v>78</v>
      </c>
      <c r="B84" s="234">
        <v>2.3854166666666666E-2</v>
      </c>
      <c r="C84" s="227">
        <f t="shared" si="6"/>
        <v>34.35</v>
      </c>
      <c r="D84" s="227">
        <f t="shared" si="5"/>
        <v>32.17928688512513</v>
      </c>
      <c r="E84" s="232">
        <f>'5K'!$E84*(1-$K$2)+'10K'!$E84*$K$2</f>
        <v>0.65000404581169846</v>
      </c>
      <c r="F84" s="274">
        <f t="shared" si="7"/>
        <v>93.680602285662673</v>
      </c>
      <c r="G84" s="227">
        <v>32.032443835571705</v>
      </c>
      <c r="H84" s="220">
        <v>78</v>
      </c>
      <c r="I84" s="189" t="s">
        <v>2124</v>
      </c>
      <c r="J84" s="150" t="s">
        <v>1496</v>
      </c>
      <c r="K84" s="150" t="s">
        <v>1645</v>
      </c>
      <c r="L84" s="150" t="s">
        <v>155</v>
      </c>
      <c r="M84" s="498">
        <v>2750</v>
      </c>
      <c r="N84" s="183" t="s">
        <v>2226</v>
      </c>
      <c r="O84" s="157" t="s">
        <v>2227</v>
      </c>
      <c r="P84" s="498">
        <v>31319</v>
      </c>
      <c r="Q84" s="220" t="s">
        <v>2218</v>
      </c>
    </row>
    <row r="85" spans="1:18">
      <c r="A85" s="220">
        <v>79</v>
      </c>
      <c r="B85" s="234">
        <v>2.6157407407407407E-2</v>
      </c>
      <c r="C85" s="227">
        <f t="shared" si="6"/>
        <v>37.666666666666664</v>
      </c>
      <c r="D85" s="227">
        <f t="shared" si="5"/>
        <v>32.856281646405968</v>
      </c>
      <c r="E85" s="232">
        <f>'5K'!$E85*(1-$K$2)+'10K'!$E85*$K$2</f>
        <v>0.63661088895476592</v>
      </c>
      <c r="F85" s="274">
        <f t="shared" si="7"/>
        <v>87.229066317891963</v>
      </c>
      <c r="G85" s="227">
        <v>32.704997333011811</v>
      </c>
      <c r="H85" s="220">
        <v>79</v>
      </c>
      <c r="I85" s="189" t="s">
        <v>2125</v>
      </c>
      <c r="J85" s="1" t="s">
        <v>2228</v>
      </c>
      <c r="K85" s="1" t="s">
        <v>2229</v>
      </c>
      <c r="L85" s="150" t="s">
        <v>225</v>
      </c>
      <c r="M85" s="498">
        <v>10962</v>
      </c>
      <c r="N85" s="1"/>
      <c r="O85" s="1" t="s">
        <v>1387</v>
      </c>
      <c r="P85" s="506">
        <v>39824</v>
      </c>
    </row>
    <row r="86" spans="1:18">
      <c r="A86" s="220">
        <v>80</v>
      </c>
      <c r="B86" s="254">
        <v>2.4780092592592593E-2</v>
      </c>
      <c r="C86" s="227">
        <f t="shared" si="6"/>
        <v>35.683333333333337</v>
      </c>
      <c r="D86" s="227">
        <f t="shared" si="5"/>
        <v>33.596639015868533</v>
      </c>
      <c r="E86" s="232">
        <f>'5K'!$E86*(1-$K$2)+'10K'!$E86*$K$2</f>
        <v>0.62258211771681093</v>
      </c>
      <c r="F86" s="274">
        <f t="shared" si="7"/>
        <v>94.152187807198118</v>
      </c>
      <c r="G86" s="227">
        <v>33.440820807115649</v>
      </c>
      <c r="H86" s="220">
        <v>80</v>
      </c>
      <c r="I86" s="189" t="s">
        <v>2126</v>
      </c>
      <c r="J86" s="150" t="s">
        <v>1513</v>
      </c>
      <c r="K86" s="150" t="s">
        <v>1642</v>
      </c>
      <c r="L86" s="150" t="s">
        <v>172</v>
      </c>
      <c r="M86" s="498">
        <v>9774</v>
      </c>
      <c r="N86" s="183"/>
      <c r="O86" s="150" t="s">
        <v>173</v>
      </c>
      <c r="P86" s="498">
        <v>39189</v>
      </c>
    </row>
    <row r="87" spans="1:18" ht="15.75">
      <c r="A87" s="220">
        <v>81</v>
      </c>
      <c r="B87" s="234">
        <v>2.5289351851851851E-2</v>
      </c>
      <c r="C87" s="227"/>
      <c r="D87" s="227">
        <f t="shared" si="5"/>
        <v>34.408890020897573</v>
      </c>
      <c r="E87" s="232">
        <f>'5K'!$E87*(1-$K$2)+'10K'!$E87*$K$2</f>
        <v>0.60788553928834477</v>
      </c>
      <c r="F87" s="274"/>
      <c r="G87" s="227">
        <v>34.246617075207311</v>
      </c>
      <c r="H87" s="220">
        <v>81</v>
      </c>
      <c r="I87" s="189" t="s">
        <v>2127</v>
      </c>
      <c r="J87" s="1" t="s">
        <v>1496</v>
      </c>
      <c r="K87" s="1" t="s">
        <v>1645</v>
      </c>
      <c r="L87" s="150" t="s">
        <v>155</v>
      </c>
      <c r="M87" s="498">
        <v>2750</v>
      </c>
      <c r="N87" s="1" t="s">
        <v>1385</v>
      </c>
      <c r="O87" s="1" t="s">
        <v>1392</v>
      </c>
      <c r="P87" s="285">
        <v>32585</v>
      </c>
      <c r="Q87" s="220" t="s">
        <v>2218</v>
      </c>
    </row>
    <row r="88" spans="1:18">
      <c r="A88" s="220">
        <v>82</v>
      </c>
      <c r="B88" s="234">
        <v>2.5497685185185186E-2</v>
      </c>
      <c r="C88" s="227">
        <f t="shared" si="6"/>
        <v>36.716666666666669</v>
      </c>
      <c r="D88" s="227">
        <f t="shared" si="5"/>
        <v>35.297091319952116</v>
      </c>
      <c r="E88" s="232">
        <f>'5K'!$E88*(1-$K$2)+'10K'!$E88*$K$2</f>
        <v>0.59258896085987856</v>
      </c>
      <c r="F88" s="274">
        <f t="shared" si="7"/>
        <v>96.133703095648059</v>
      </c>
      <c r="G88" s="227">
        <v>35.130191621143361</v>
      </c>
      <c r="H88" s="220">
        <v>82</v>
      </c>
      <c r="I88" s="189" t="s">
        <v>2128</v>
      </c>
      <c r="J88" s="150" t="s">
        <v>1496</v>
      </c>
      <c r="K88" s="150" t="s">
        <v>1645</v>
      </c>
      <c r="L88" s="150" t="s">
        <v>155</v>
      </c>
      <c r="M88" s="498">
        <v>2750</v>
      </c>
      <c r="N88" s="183" t="s">
        <v>2230</v>
      </c>
      <c r="O88" s="157" t="s">
        <v>2231</v>
      </c>
      <c r="P88" s="498">
        <v>32886</v>
      </c>
      <c r="Q88" s="220" t="s">
        <v>2218</v>
      </c>
    </row>
    <row r="89" spans="1:18">
      <c r="A89" s="220">
        <v>83</v>
      </c>
      <c r="B89" s="234">
        <v>2.9259259259259259E-2</v>
      </c>
      <c r="C89" s="227">
        <f t="shared" si="6"/>
        <v>42.133333333333333</v>
      </c>
      <c r="D89" s="227">
        <f t="shared" si="5"/>
        <v>36.274323996559005</v>
      </c>
      <c r="E89" s="232">
        <f>'5K'!$E89*(1-$K$2)+'10K'!$E89*$K$2</f>
        <v>0.57662457524090116</v>
      </c>
      <c r="F89" s="274">
        <f t="shared" si="7"/>
        <v>86.094123409554598</v>
      </c>
      <c r="G89" s="227">
        <v>36.100679463959281</v>
      </c>
      <c r="H89" s="220">
        <v>83</v>
      </c>
      <c r="I89" s="189" t="s">
        <v>2129</v>
      </c>
      <c r="J89" s="150" t="s">
        <v>1450</v>
      </c>
      <c r="K89" s="150" t="s">
        <v>2232</v>
      </c>
      <c r="L89" s="150" t="s">
        <v>155</v>
      </c>
      <c r="M89" s="498">
        <v>2217</v>
      </c>
      <c r="N89" s="183" t="s">
        <v>2233</v>
      </c>
      <c r="O89" s="157" t="s">
        <v>2234</v>
      </c>
      <c r="P89" s="498">
        <v>32789</v>
      </c>
      <c r="Q89" s="220" t="s">
        <v>2218</v>
      </c>
    </row>
    <row r="90" spans="1:18">
      <c r="A90" s="220">
        <v>84</v>
      </c>
      <c r="B90" s="234">
        <v>2.6342592592592591E-2</v>
      </c>
      <c r="C90" s="227">
        <f t="shared" si="6"/>
        <v>37.93333333333333</v>
      </c>
      <c r="D90" s="227">
        <f t="shared" si="5"/>
        <v>37.353845959637361</v>
      </c>
      <c r="E90" s="232">
        <f>'5K'!$E90*(1-$K$2)+'10K'!$E90*$K$2</f>
        <v>0.55996018962192362</v>
      </c>
      <c r="F90" s="274">
        <f t="shared" si="7"/>
        <v>98.472353144913967</v>
      </c>
      <c r="G90" s="227">
        <v>37.168831245251461</v>
      </c>
      <c r="H90" s="220">
        <v>84</v>
      </c>
      <c r="I90" s="189" t="s">
        <v>2130</v>
      </c>
      <c r="J90" s="150" t="s">
        <v>1496</v>
      </c>
      <c r="K90" s="150" t="s">
        <v>1645</v>
      </c>
      <c r="L90" s="150" t="s">
        <v>155</v>
      </c>
      <c r="M90" s="498">
        <v>2750</v>
      </c>
      <c r="N90" s="1" t="s">
        <v>2235</v>
      </c>
      <c r="O90" s="1" t="s">
        <v>1392</v>
      </c>
      <c r="P90" s="506">
        <v>33684</v>
      </c>
      <c r="Q90" s="220" t="s">
        <v>2218</v>
      </c>
    </row>
    <row r="91" spans="1:18">
      <c r="A91" s="220">
        <v>85</v>
      </c>
      <c r="B91" s="234">
        <v>2.8634259259259259E-2</v>
      </c>
      <c r="C91" s="227">
        <f t="shared" si="6"/>
        <v>41.233333333333334</v>
      </c>
      <c r="D91" s="227">
        <f t="shared" si="5"/>
        <v>38.539870413015379</v>
      </c>
      <c r="E91" s="232">
        <f>'5K'!$E91*(1-$K$2)+'10K'!$E91*$K$2</f>
        <v>0.54272799681243489</v>
      </c>
      <c r="F91" s="274">
        <f t="shared" si="7"/>
        <v>93.467753628978272</v>
      </c>
      <c r="G91" s="227">
        <v>38.347377308638841</v>
      </c>
      <c r="H91" s="220">
        <v>85</v>
      </c>
      <c r="I91" s="189" t="s">
        <v>2131</v>
      </c>
      <c r="J91" s="150" t="s">
        <v>1513</v>
      </c>
      <c r="K91" s="150" t="s">
        <v>1642</v>
      </c>
      <c r="L91" s="150" t="s">
        <v>172</v>
      </c>
      <c r="M91" s="498">
        <v>9774</v>
      </c>
      <c r="N91" s="183"/>
      <c r="O91" s="157" t="s">
        <v>173</v>
      </c>
      <c r="P91" s="498">
        <v>41121</v>
      </c>
    </row>
    <row r="92" spans="1:18" ht="15.75">
      <c r="A92" s="220">
        <v>86</v>
      </c>
      <c r="B92" s="234">
        <v>3.528935185185185E-2</v>
      </c>
      <c r="C92" s="227"/>
      <c r="D92" s="227">
        <f t="shared" si="5"/>
        <v>39.854327119942013</v>
      </c>
      <c r="E92" s="232">
        <f>'5K'!$E92*(1-$K$2)+'10K'!$E92*$K$2</f>
        <v>0.52482799681243486</v>
      </c>
      <c r="F92" s="274"/>
      <c r="G92" s="227">
        <v>39.651495678072472</v>
      </c>
      <c r="H92" s="220">
        <v>86</v>
      </c>
      <c r="I92" s="508" t="s">
        <v>518</v>
      </c>
      <c r="J92" s="1" t="s">
        <v>2052</v>
      </c>
      <c r="K92" s="1" t="s">
        <v>2236</v>
      </c>
      <c r="L92" s="150" t="s">
        <v>155</v>
      </c>
      <c r="M92" s="285">
        <v>8825</v>
      </c>
      <c r="N92" s="1" t="s">
        <v>2237</v>
      </c>
      <c r="O92" s="1" t="s">
        <v>2238</v>
      </c>
      <c r="P92" s="506">
        <v>40355</v>
      </c>
    </row>
    <row r="93" spans="1:18" ht="15.75">
      <c r="A93" s="220">
        <v>87</v>
      </c>
      <c r="B93" s="234">
        <v>3.6111111111111108E-2</v>
      </c>
      <c r="C93" s="227"/>
      <c r="D93" s="227">
        <f t="shared" si="5"/>
        <v>41.316040833246795</v>
      </c>
      <c r="E93" s="232">
        <f>'5K'!$E93*(1-$K$2)+'10K'!$E93*$K$2</f>
        <v>0.50626018962192365</v>
      </c>
      <c r="F93" s="274"/>
      <c r="G93" s="227">
        <v>41.099420175441537</v>
      </c>
      <c r="H93" s="220">
        <v>87</v>
      </c>
      <c r="I93" s="508">
        <v>2.036111111111111</v>
      </c>
      <c r="J93" s="1" t="s">
        <v>1528</v>
      </c>
      <c r="K93" s="1" t="s">
        <v>1725</v>
      </c>
      <c r="L93" s="150" t="s">
        <v>155</v>
      </c>
      <c r="M93" s="285">
        <v>9004</v>
      </c>
      <c r="N93" s="1" t="s">
        <v>2239</v>
      </c>
      <c r="O93" s="1" t="s">
        <v>1391</v>
      </c>
      <c r="P93" s="506">
        <v>41062</v>
      </c>
      <c r="Q93" s="220" t="s">
        <v>2210</v>
      </c>
    </row>
    <row r="94" spans="1:18" ht="15.75">
      <c r="A94" s="220">
        <v>88</v>
      </c>
      <c r="B94" s="234">
        <v>3.3101851851851855E-2</v>
      </c>
      <c r="C94" s="227"/>
      <c r="D94" s="227">
        <f t="shared" si="5"/>
        <v>42.947866966098118</v>
      </c>
      <c r="E94" s="232">
        <f>'5K'!$E94*(1-$K$2)+'10K'!$E94*$K$2</f>
        <v>0.48702457524090109</v>
      </c>
      <c r="F94" s="274"/>
      <c r="G94" s="227">
        <v>42.713240130965325</v>
      </c>
      <c r="H94" s="220">
        <v>88</v>
      </c>
      <c r="I94" s="508" t="s">
        <v>2132</v>
      </c>
      <c r="J94" s="1" t="s">
        <v>1528</v>
      </c>
      <c r="K94" s="1" t="s">
        <v>1725</v>
      </c>
      <c r="L94" s="150" t="s">
        <v>155</v>
      </c>
      <c r="M94" s="285">
        <v>9004</v>
      </c>
      <c r="N94" s="1"/>
      <c r="O94" s="1" t="s">
        <v>318</v>
      </c>
      <c r="P94" s="506">
        <v>41230</v>
      </c>
      <c r="R94" s="220" t="s">
        <v>2240</v>
      </c>
    </row>
    <row r="95" spans="1:18" ht="15.75">
      <c r="A95" s="220">
        <v>89</v>
      </c>
      <c r="B95" s="234">
        <v>4.4166666666666667E-2</v>
      </c>
      <c r="C95" s="227"/>
      <c r="D95" s="227">
        <f t="shared" si="5"/>
        <v>44.774405718147463</v>
      </c>
      <c r="E95" s="232">
        <f>'5K'!$E95*(1-$K$2)+'10K'!$E95*$K$2</f>
        <v>0.46715676805038986</v>
      </c>
      <c r="F95" s="274"/>
      <c r="G95" s="227">
        <v>44.519965934085675</v>
      </c>
      <c r="H95" s="220">
        <v>89</v>
      </c>
      <c r="I95" s="508" t="s">
        <v>2133</v>
      </c>
      <c r="J95" s="1" t="s">
        <v>2052</v>
      </c>
      <c r="K95" s="1" t="s">
        <v>2236</v>
      </c>
      <c r="L95" s="150" t="s">
        <v>155</v>
      </c>
      <c r="M95" s="285">
        <v>8825</v>
      </c>
      <c r="N95" s="1" t="s">
        <v>1388</v>
      </c>
      <c r="O95" s="1" t="s">
        <v>2241</v>
      </c>
      <c r="P95" s="506">
        <v>41426</v>
      </c>
      <c r="Q95" s="220" t="s">
        <v>2210</v>
      </c>
    </row>
    <row r="96" spans="1:18" ht="15.75">
      <c r="A96" s="220">
        <v>90</v>
      </c>
      <c r="B96" s="234">
        <v>4.1388888888888892E-2</v>
      </c>
      <c r="C96" s="227"/>
      <c r="D96" s="227">
        <f t="shared" si="5"/>
        <v>46.829754733869059</v>
      </c>
      <c r="E96" s="232">
        <f>'5K'!$E96*(1-$K$2)+'10K'!$E96*$K$2</f>
        <v>0.44665334647885602</v>
      </c>
      <c r="F96" s="274"/>
      <c r="G96" s="227">
        <v>46.55296949192995</v>
      </c>
      <c r="H96" s="220">
        <v>90</v>
      </c>
      <c r="I96" s="508" t="s">
        <v>2134</v>
      </c>
      <c r="J96" s="1" t="s">
        <v>1440</v>
      </c>
      <c r="K96" s="1" t="s">
        <v>1665</v>
      </c>
      <c r="L96" s="150" t="s">
        <v>155</v>
      </c>
      <c r="M96" s="285" t="s">
        <v>1666</v>
      </c>
      <c r="N96" s="1" t="s">
        <v>2242</v>
      </c>
      <c r="O96" s="1" t="s">
        <v>2243</v>
      </c>
      <c r="P96" s="506">
        <v>32586</v>
      </c>
      <c r="Q96" s="220" t="s">
        <v>2210</v>
      </c>
    </row>
    <row r="97" spans="1:18" ht="15.75">
      <c r="A97" s="220">
        <v>91</v>
      </c>
      <c r="B97" s="234">
        <v>3.9004629629629632E-2</v>
      </c>
      <c r="C97" s="227"/>
      <c r="D97" s="227">
        <f t="shared" si="5"/>
        <v>49.159919525897003</v>
      </c>
      <c r="E97" s="232">
        <f>'5K'!$E97*(1-$K$2)+'10K'!$E97*$K$2</f>
        <v>0.42548211771681099</v>
      </c>
      <c r="F97" s="274"/>
      <c r="G97" s="227">
        <v>48.853962994699067</v>
      </c>
      <c r="H97" s="220">
        <v>91</v>
      </c>
      <c r="I97" s="508" t="s">
        <v>2135</v>
      </c>
      <c r="J97" s="1" t="s">
        <v>1440</v>
      </c>
      <c r="K97" s="1" t="s">
        <v>1665</v>
      </c>
      <c r="L97" s="150" t="s">
        <v>155</v>
      </c>
      <c r="M97" s="285" t="s">
        <v>1666</v>
      </c>
      <c r="N97" s="1" t="s">
        <v>2242</v>
      </c>
      <c r="O97" s="1" t="s">
        <v>2243</v>
      </c>
      <c r="P97" s="506">
        <v>32957</v>
      </c>
      <c r="Q97" s="220" t="s">
        <v>2244</v>
      </c>
    </row>
    <row r="98" spans="1:18">
      <c r="A98" s="220">
        <v>92</v>
      </c>
      <c r="B98" s="234">
        <v>5.6203703703703707E-2</v>
      </c>
      <c r="C98" s="227"/>
      <c r="D98" s="227">
        <f t="shared" si="5"/>
        <v>51.811004456236716</v>
      </c>
      <c r="E98" s="232">
        <f>'5K'!$E98*(1-$K$2)+'10K'!$E98*$K$2</f>
        <v>0.40371088895476592</v>
      </c>
      <c r="F98" s="274"/>
      <c r="G98" s="227">
        <v>51.47576618963847</v>
      </c>
      <c r="H98" s="220">
        <v>92</v>
      </c>
      <c r="I98" s="250" t="s">
        <v>2136</v>
      </c>
      <c r="J98" s="220" t="s">
        <v>2055</v>
      </c>
      <c r="K98" s="220" t="s">
        <v>2056</v>
      </c>
      <c r="L98" s="220" t="s">
        <v>155</v>
      </c>
      <c r="N98" s="220" t="s">
        <v>1388</v>
      </c>
      <c r="O98" s="220" t="s">
        <v>1392</v>
      </c>
      <c r="P98" s="498">
        <v>43540</v>
      </c>
      <c r="Q98" s="220" t="s">
        <v>2245</v>
      </c>
    </row>
    <row r="99" spans="1:18">
      <c r="A99" s="220">
        <v>93</v>
      </c>
      <c r="B99" s="234">
        <v>5.6064814814814817E-2</v>
      </c>
      <c r="C99" s="227"/>
      <c r="D99" s="227">
        <f t="shared" si="5"/>
        <v>54.860243424644949</v>
      </c>
      <c r="E99" s="232">
        <f>'5K'!$E99*(1-$K$2)+'10K'!$E99*$K$2</f>
        <v>0.38127185300220962</v>
      </c>
      <c r="F99" s="274"/>
      <c r="G99" s="227">
        <v>54.48625473201016</v>
      </c>
      <c r="H99" s="220">
        <v>93</v>
      </c>
      <c r="I99" s="250" t="s">
        <v>2137</v>
      </c>
      <c r="J99" s="220" t="s">
        <v>1440</v>
      </c>
      <c r="K99" s="220" t="s">
        <v>1665</v>
      </c>
      <c r="L99" s="220" t="s">
        <v>155</v>
      </c>
      <c r="M99" s="220" t="s">
        <v>1666</v>
      </c>
      <c r="N99" s="220" t="s">
        <v>2242</v>
      </c>
      <c r="O99" s="220" t="s">
        <v>2243</v>
      </c>
      <c r="P99" s="498">
        <v>33685</v>
      </c>
      <c r="Q99" s="220" t="s">
        <v>2218</v>
      </c>
    </row>
    <row r="100" spans="1:18">
      <c r="A100" s="220">
        <v>94</v>
      </c>
      <c r="B100" s="234">
        <v>5.890046296296296E-2</v>
      </c>
      <c r="C100" s="227"/>
      <c r="D100" s="227">
        <f t="shared" si="5"/>
        <v>58.404775186426647</v>
      </c>
      <c r="E100" s="232">
        <f>'5K'!$E100*(1-$K$2)+'10K'!$E100*$K$2</f>
        <v>0.35813281704965327</v>
      </c>
      <c r="F100" s="274"/>
      <c r="G100" s="227">
        <v>57.974122659286664</v>
      </c>
      <c r="H100" s="220">
        <v>94</v>
      </c>
      <c r="I100" s="250" t="s">
        <v>2138</v>
      </c>
      <c r="J100" s="220" t="s">
        <v>1440</v>
      </c>
      <c r="K100" s="220" t="s">
        <v>1665</v>
      </c>
      <c r="L100" s="220" t="s">
        <v>155</v>
      </c>
      <c r="M100" s="220" t="s">
        <v>1666</v>
      </c>
      <c r="N100" s="220" t="s">
        <v>2242</v>
      </c>
      <c r="O100" s="220" t="s">
        <v>2243</v>
      </c>
      <c r="P100" s="498">
        <v>34049</v>
      </c>
      <c r="Q100" s="220" t="s">
        <v>2218</v>
      </c>
    </row>
    <row r="101" spans="1:18">
      <c r="A101" s="220">
        <v>95</v>
      </c>
      <c r="B101" s="234"/>
      <c r="C101" s="227"/>
      <c r="D101" s="227">
        <f t="shared" si="5"/>
        <v>62.55766644524158</v>
      </c>
      <c r="E101" s="232">
        <f>'5K'!$E101*(1-$K$2)+'10K'!$E101*$K$2</f>
        <v>0.33435816671607449</v>
      </c>
      <c r="F101" s="274"/>
      <c r="G101" s="227">
        <v>62.057511978235944</v>
      </c>
      <c r="H101" s="220">
        <v>95</v>
      </c>
      <c r="I101" s="250"/>
    </row>
    <row r="102" spans="1:18">
      <c r="A102" s="220">
        <v>96</v>
      </c>
      <c r="C102" s="227"/>
      <c r="D102" s="227">
        <f t="shared" si="5"/>
        <v>67.476706215749616</v>
      </c>
      <c r="E102" s="232">
        <f>'5K'!$E102*(1-$K$2)+'10K'!$E102*$K$2</f>
        <v>0.30998351638249561</v>
      </c>
      <c r="F102" s="274"/>
      <c r="G102" s="227">
        <v>66.89732403385625</v>
      </c>
      <c r="H102" s="220">
        <v>96</v>
      </c>
      <c r="I102" s="250"/>
    </row>
    <row r="103" spans="1:18">
      <c r="A103" s="220">
        <v>97</v>
      </c>
      <c r="C103" s="227"/>
      <c r="D103" s="227">
        <f t="shared" si="5"/>
        <v>73.406994241081605</v>
      </c>
      <c r="E103" s="232">
        <f>'5K'!$E103*(1-$K$2)+'10K'!$E103*$K$2</f>
        <v>0.28494105885840548</v>
      </c>
      <c r="G103" s="227">
        <v>72.718470452675277</v>
      </c>
      <c r="H103" s="220">
        <v>97</v>
      </c>
      <c r="I103" s="250"/>
    </row>
    <row r="104" spans="1:18">
      <c r="A104" s="220">
        <v>98</v>
      </c>
      <c r="B104" s="273">
        <v>8.3819444444444446E-2</v>
      </c>
      <c r="C104" s="227"/>
      <c r="D104" s="227">
        <f t="shared" si="5"/>
        <v>80.666330473949102</v>
      </c>
      <c r="E104" s="232">
        <f>'5K'!$E104*(1-$K$2)+'10K'!$E104*$K$2</f>
        <v>0.25929860133431537</v>
      </c>
      <c r="G104" s="227">
        <v>79.84519819319695</v>
      </c>
      <c r="H104" s="220">
        <v>98</v>
      </c>
      <c r="I104" s="250" t="s">
        <v>2139</v>
      </c>
      <c r="J104" s="220" t="s">
        <v>1423</v>
      </c>
      <c r="K104" s="220" t="s">
        <v>2246</v>
      </c>
      <c r="L104" s="220" t="s">
        <v>155</v>
      </c>
      <c r="M104" s="220">
        <v>3687</v>
      </c>
      <c r="O104" s="220" t="s">
        <v>269</v>
      </c>
      <c r="P104" s="220">
        <v>39614</v>
      </c>
      <c r="R104" s="220" t="s">
        <v>2247</v>
      </c>
    </row>
    <row r="105" spans="1:18">
      <c r="A105" s="220">
        <v>99</v>
      </c>
      <c r="C105" s="227"/>
      <c r="D105" s="227">
        <f>E$4/E105</f>
        <v>89.814144281607895</v>
      </c>
      <c r="E105" s="232">
        <f>'5K'!$E105*(1-$K$2)+'10K'!$E105*$K$2</f>
        <v>0.23288833661971403</v>
      </c>
      <c r="G105" s="227">
        <v>88.762712344352778</v>
      </c>
      <c r="H105" s="220">
        <v>99</v>
      </c>
      <c r="I105" s="250"/>
    </row>
    <row r="106" spans="1:18">
      <c r="A106" s="220">
        <v>100</v>
      </c>
      <c r="D106" s="227">
        <f>E$4/E106</f>
        <v>101.58146654640008</v>
      </c>
      <c r="E106" s="232">
        <f>'5K'!$E106*(1-$K$2)+'10K'!$E106*$K$2</f>
        <v>0.20591026471460139</v>
      </c>
      <c r="G106" s="227">
        <v>100.23117209001997</v>
      </c>
    </row>
    <row r="107" spans="1:18">
      <c r="E107" s="232"/>
    </row>
    <row r="108" spans="1:18">
      <c r="E108" s="232"/>
    </row>
  </sheetData>
  <conditionalFormatting sqref="N77 P87">
    <cfRule type="expression" dxfId="14" priority="1" stopIfTrue="1">
      <formula>#REF!="unvalidatable"</formula>
    </cfRule>
    <cfRule type="expression" dxfId="13" priority="2" stopIfTrue="1">
      <formula>$AK77="record"</formula>
    </cfRule>
    <cfRule type="expression" dxfId="12" priority="3" stopIfTrue="1">
      <formula>$AK77="best"</formula>
    </cfRule>
  </conditionalFormatting>
  <pageMargins left="0.5" right="0.5" top="0.5" bottom="0.5" header="0" footer="0"/>
  <pageSetup orientation="portrait" vertic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6"/>
  <sheetViews>
    <sheetView zoomScale="87" zoomScaleNormal="87" workbookViewId="0">
      <selection activeCell="I40" sqref="I40"/>
    </sheetView>
  </sheetViews>
  <sheetFormatPr defaultColWidth="9.6640625" defaultRowHeight="15"/>
  <cols>
    <col min="1" max="5" width="9.6640625" style="220" customWidth="1"/>
    <col min="6" max="7" width="10.6640625" style="220" customWidth="1"/>
    <col min="8" max="16384" width="9.6640625" style="220"/>
  </cols>
  <sheetData>
    <row r="1" spans="1:11" ht="47.25">
      <c r="A1" s="216" t="s">
        <v>79</v>
      </c>
      <c r="B1" s="217"/>
      <c r="C1" s="218"/>
      <c r="D1" s="219" t="s">
        <v>32</v>
      </c>
      <c r="E1" s="219" t="s">
        <v>71</v>
      </c>
      <c r="F1" s="219" t="s">
        <v>72</v>
      </c>
      <c r="G1" s="219" t="s">
        <v>73</v>
      </c>
      <c r="H1" s="219" t="s">
        <v>74</v>
      </c>
      <c r="I1" s="219" t="s">
        <v>75</v>
      </c>
      <c r="K1" s="217" t="s">
        <v>1361</v>
      </c>
    </row>
    <row r="2" spans="1:11" ht="21.75" customHeight="1">
      <c r="A2" s="216"/>
      <c r="B2" s="217"/>
      <c r="C2" s="218"/>
      <c r="D2" s="219"/>
      <c r="E2" s="219"/>
      <c r="F2" s="268">
        <f>(+H$3-H$4)*F$4/2</f>
        <v>4.725E-2</v>
      </c>
      <c r="G2" s="269">
        <f>(+I$4-I$3)*G$4/2</f>
        <v>0.17219999999999999</v>
      </c>
      <c r="H2" s="221"/>
      <c r="I2" s="221"/>
      <c r="K2" s="217">
        <f>Parameters!Z17</f>
        <v>0.68647273752760152</v>
      </c>
    </row>
    <row r="3" spans="1:11" ht="17.25" customHeight="1">
      <c r="A3" s="216"/>
      <c r="B3" s="217"/>
      <c r="C3" s="218"/>
      <c r="D3" s="219"/>
      <c r="E3" s="219"/>
      <c r="F3" s="268">
        <f>F4/(2*(+H3-H4))</f>
        <v>1.89E-3</v>
      </c>
      <c r="G3" s="269">
        <f>G4/(2*(+I4-I3))</f>
        <v>1.6006097560975613E-4</v>
      </c>
      <c r="H3" s="222">
        <v>22</v>
      </c>
      <c r="I3" s="223">
        <v>24</v>
      </c>
    </row>
    <row r="4" spans="1:11" ht="15.75">
      <c r="A4" s="217"/>
      <c r="B4" s="217"/>
      <c r="C4" s="217"/>
      <c r="D4" s="224">
        <f>Parameters!G17</f>
        <v>1.462962962962963E-2</v>
      </c>
      <c r="E4" s="225">
        <f>D4*1440</f>
        <v>21.066666666666666</v>
      </c>
      <c r="F4" s="226">
        <v>1.89E-2</v>
      </c>
      <c r="G4" s="215">
        <v>1.0500000000000001E-2</v>
      </c>
      <c r="H4" s="222">
        <v>17</v>
      </c>
      <c r="I4" s="223">
        <v>56.8</v>
      </c>
    </row>
    <row r="5" spans="1:11" ht="15.75">
      <c r="A5" s="217"/>
      <c r="B5" s="217"/>
      <c r="C5" s="217"/>
      <c r="D5" s="224"/>
      <c r="E5" s="217">
        <f>E4*60</f>
        <v>1264</v>
      </c>
      <c r="F5" s="226">
        <v>9.1E-4</v>
      </c>
      <c r="G5" s="215">
        <v>5.1000000000000004E-4</v>
      </c>
      <c r="H5" s="222">
        <v>15</v>
      </c>
      <c r="I5" s="223">
        <v>76.7</v>
      </c>
    </row>
    <row r="6" spans="1:11" ht="31.5">
      <c r="A6" s="228" t="s">
        <v>69</v>
      </c>
      <c r="B6" s="228" t="s">
        <v>32</v>
      </c>
      <c r="C6" s="228" t="s">
        <v>70</v>
      </c>
      <c r="D6" s="228" t="s">
        <v>141</v>
      </c>
      <c r="E6" s="228" t="s">
        <v>145</v>
      </c>
    </row>
    <row r="7" spans="1:11">
      <c r="A7" s="220">
        <v>1</v>
      </c>
    </row>
    <row r="8" spans="1:11">
      <c r="A8" s="220">
        <v>2</v>
      </c>
    </row>
    <row r="9" spans="1:11">
      <c r="A9" s="220">
        <v>3</v>
      </c>
      <c r="B9" s="231"/>
      <c r="C9" s="227"/>
      <c r="D9" s="227"/>
      <c r="E9" s="232">
        <f>'5K'!$E9*(1-$K$2)+'10K'!$E9*$K$2</f>
        <v>0.38655891596267078</v>
      </c>
    </row>
    <row r="10" spans="1:11">
      <c r="A10" s="220">
        <v>4</v>
      </c>
      <c r="B10" s="234"/>
      <c r="C10" s="227"/>
      <c r="D10" s="227">
        <f>E$4/E10</f>
        <v>46.176656820890926</v>
      </c>
      <c r="E10" s="232">
        <f>'5K'!$E10*(1-$K$2)+'10K'!$E10*$K$2</f>
        <v>0.45621896683381868</v>
      </c>
    </row>
    <row r="11" spans="1:11">
      <c r="A11" s="220">
        <v>5</v>
      </c>
      <c r="B11" s="234"/>
      <c r="C11" s="227"/>
      <c r="D11" s="227">
        <f t="shared" ref="D11:D41" si="0">E$4/E11</f>
        <v>40.383937612848442</v>
      </c>
      <c r="E11" s="232">
        <f>'5K'!$E11*(1-$K$2)+'10K'!$E11*$K$2</f>
        <v>0.52165954862123587</v>
      </c>
    </row>
    <row r="12" spans="1:11">
      <c r="A12" s="220">
        <v>6</v>
      </c>
      <c r="B12" s="234"/>
      <c r="C12" s="227"/>
      <c r="D12" s="227">
        <f t="shared" si="0"/>
        <v>36.144276669584698</v>
      </c>
      <c r="E12" s="232">
        <f>'5K'!$E12*(1-$K$2)+'10K'!$E12*$K$2</f>
        <v>0.58284930859867512</v>
      </c>
    </row>
    <row r="13" spans="1:11">
      <c r="A13" s="220">
        <v>7</v>
      </c>
      <c r="B13" s="234"/>
      <c r="C13" s="227"/>
      <c r="D13" s="227">
        <f t="shared" si="0"/>
        <v>32.929174914609277</v>
      </c>
      <c r="E13" s="232">
        <f>'5K'!$E13*(1-$K$2)+'10K'!$E13*$K$2</f>
        <v>0.63975689403988922</v>
      </c>
    </row>
    <row r="14" spans="1:11">
      <c r="A14" s="220">
        <v>8</v>
      </c>
      <c r="B14" s="234"/>
      <c r="C14" s="227"/>
      <c r="D14" s="227">
        <f t="shared" si="0"/>
        <v>30.423595159675077</v>
      </c>
      <c r="E14" s="232">
        <f>'5K'!$E14*(1-$K$2)+'10K'!$E14*$K$2</f>
        <v>0.69244501039737272</v>
      </c>
    </row>
    <row r="15" spans="1:11">
      <c r="A15" s="220">
        <v>9</v>
      </c>
      <c r="B15" s="234"/>
      <c r="C15" s="227"/>
      <c r="D15" s="227">
        <f t="shared" si="0"/>
        <v>28.435769170004018</v>
      </c>
      <c r="E15" s="232">
        <f>'5K'!$E15*(1-$K$2)+'10K'!$E15*$K$2</f>
        <v>0.74085095221863095</v>
      </c>
    </row>
    <row r="16" spans="1:11">
      <c r="A16" s="220">
        <v>10</v>
      </c>
      <c r="B16" s="234"/>
      <c r="C16" s="227"/>
      <c r="D16" s="227">
        <f t="shared" si="0"/>
        <v>26.835238673930938</v>
      </c>
      <c r="E16" s="232">
        <f>'5K'!$E16*(1-$K$2)+'10K'!$E16*$K$2</f>
        <v>0.78503742495615869</v>
      </c>
    </row>
    <row r="17" spans="1:5">
      <c r="A17" s="220">
        <v>11</v>
      </c>
      <c r="B17" s="234"/>
      <c r="C17" s="227"/>
      <c r="D17" s="227">
        <f t="shared" si="0"/>
        <v>25.53618691628224</v>
      </c>
      <c r="E17" s="232">
        <f>'5K'!$E17*(1-$K$2)+'10K'!$E17*$K$2</f>
        <v>0.82497307588370827</v>
      </c>
    </row>
    <row r="18" spans="1:5">
      <c r="A18" s="220">
        <v>12</v>
      </c>
      <c r="B18" s="234"/>
      <c r="C18" s="227"/>
      <c r="D18" s="227">
        <f t="shared" si="0"/>
        <v>24.478290393176639</v>
      </c>
      <c r="E18" s="232">
        <f>'5K'!$E18*(1-$K$2)+'10K'!$E18*$K$2</f>
        <v>0.86062655227503271</v>
      </c>
    </row>
    <row r="19" spans="1:5">
      <c r="A19" s="220">
        <v>13</v>
      </c>
      <c r="B19" s="234"/>
      <c r="C19" s="227"/>
      <c r="D19" s="227">
        <f t="shared" si="0"/>
        <v>23.61573599501277</v>
      </c>
      <c r="E19" s="232">
        <f>'5K'!$E19*(1-$K$2)+'10K'!$E19*$K$2</f>
        <v>0.89206055958262653</v>
      </c>
    </row>
    <row r="20" spans="1:5">
      <c r="A20" s="220">
        <v>14</v>
      </c>
      <c r="B20" s="234"/>
      <c r="C20" s="227"/>
      <c r="D20" s="227">
        <f t="shared" si="0"/>
        <v>22.918170862250236</v>
      </c>
      <c r="E20" s="232">
        <f>'5K'!$E20*(1-$K$2)+'10K'!$E20*$K$2</f>
        <v>0.91921239235399532</v>
      </c>
    </row>
    <row r="21" spans="1:5">
      <c r="A21" s="220">
        <v>15</v>
      </c>
      <c r="B21" s="234"/>
      <c r="C21" s="227"/>
      <c r="D21" s="227">
        <f t="shared" si="0"/>
        <v>22.360328953246047</v>
      </c>
      <c r="E21" s="232">
        <f>'5K'!$E21*(1-$K$2)+'10K'!$E21*$K$2</f>
        <v>0.94214475604163328</v>
      </c>
    </row>
    <row r="22" spans="1:5">
      <c r="A22" s="220">
        <v>16</v>
      </c>
      <c r="B22" s="234"/>
      <c r="C22" s="227"/>
      <c r="D22" s="227">
        <f t="shared" si="0"/>
        <v>21.925572512208866</v>
      </c>
      <c r="E22" s="232">
        <f>'5K'!$E22*(1-$K$2)+'10K'!$E22*$K$2</f>
        <v>0.96082629791929342</v>
      </c>
    </row>
    <row r="23" spans="1:5">
      <c r="A23" s="220">
        <v>17</v>
      </c>
      <c r="B23" s="234"/>
      <c r="C23" s="227"/>
      <c r="D23" s="227">
        <f t="shared" si="0"/>
        <v>21.600448953636892</v>
      </c>
      <c r="E23" s="232">
        <f>'5K'!$E23*(1-$K$2)+'10K'!$E23*$K$2</f>
        <v>0.97528837071322294</v>
      </c>
    </row>
    <row r="24" spans="1:5">
      <c r="A24" s="220">
        <v>18</v>
      </c>
      <c r="B24" s="234"/>
      <c r="C24" s="227"/>
      <c r="D24" s="227">
        <f t="shared" si="0"/>
        <v>21.351502703894983</v>
      </c>
      <c r="E24" s="232">
        <f>'5K'!$E24*(1-$K$2)+'10K'!$E24*$K$2</f>
        <v>0.9866596725683221</v>
      </c>
    </row>
    <row r="25" spans="1:5">
      <c r="A25" s="220">
        <v>19</v>
      </c>
      <c r="B25" s="234"/>
      <c r="C25" s="227"/>
      <c r="D25" s="227">
        <f t="shared" si="0"/>
        <v>21.207885427784461</v>
      </c>
      <c r="E25" s="232">
        <f>'5K'!$E25*(1-$K$2)+'10K'!$E25*$K$2</f>
        <v>0.99334121444598222</v>
      </c>
    </row>
    <row r="26" spans="1:5">
      <c r="A26" s="220">
        <v>20</v>
      </c>
      <c r="B26" s="234"/>
      <c r="C26" s="227"/>
      <c r="D26" s="227">
        <f t="shared" si="0"/>
        <v>21.113045964140422</v>
      </c>
      <c r="E26" s="232">
        <f>'5K'!$E26*(1-$K$2)+'10K'!$E26*$K$2</f>
        <v>0.99780328723991174</v>
      </c>
    </row>
    <row r="27" spans="1:5">
      <c r="A27" s="220">
        <v>21</v>
      </c>
      <c r="B27" s="234"/>
      <c r="C27" s="227"/>
      <c r="D27" s="227">
        <f t="shared" si="0"/>
        <v>21.066666666666666</v>
      </c>
      <c r="E27" s="232">
        <f>'5K'!$E27*(1-$K$2)+'10K'!$E27*$K$2</f>
        <v>1</v>
      </c>
    </row>
    <row r="28" spans="1:5">
      <c r="A28" s="220">
        <v>22</v>
      </c>
      <c r="B28" s="234"/>
      <c r="C28" s="227"/>
      <c r="D28" s="227">
        <f t="shared" si="0"/>
        <v>21.066666666666666</v>
      </c>
      <c r="E28" s="232">
        <f>'5K'!$E28*(1-$K$2)+'10K'!$E28*$K$2</f>
        <v>1</v>
      </c>
    </row>
    <row r="29" spans="1:5">
      <c r="A29" s="220">
        <v>23</v>
      </c>
      <c r="B29" s="234"/>
      <c r="C29" s="227"/>
      <c r="D29" s="227">
        <f t="shared" si="0"/>
        <v>21.066666666666666</v>
      </c>
      <c r="E29" s="232">
        <f>'5K'!$E29*(1-$K$2)+'10K'!$E29*$K$2</f>
        <v>1</v>
      </c>
    </row>
    <row r="30" spans="1:5">
      <c r="A30" s="220">
        <v>24</v>
      </c>
      <c r="B30" s="234"/>
      <c r="C30" s="227"/>
      <c r="D30" s="227">
        <f t="shared" si="0"/>
        <v>21.066666666666666</v>
      </c>
      <c r="E30" s="232">
        <f>'5K'!$E30*(1-$K$2)+'10K'!$E30*$K$2</f>
        <v>1</v>
      </c>
    </row>
    <row r="31" spans="1:5">
      <c r="A31" s="220">
        <v>25</v>
      </c>
      <c r="B31" s="234"/>
      <c r="C31" s="227"/>
      <c r="D31" s="227">
        <f t="shared" si="0"/>
        <v>21.066666666666666</v>
      </c>
      <c r="E31" s="232">
        <f>'5K'!$E31*(1-$K$2)+'10K'!$E31*$K$2</f>
        <v>1</v>
      </c>
    </row>
    <row r="32" spans="1:5">
      <c r="A32" s="220">
        <v>26</v>
      </c>
      <c r="B32" s="234"/>
      <c r="C32" s="227"/>
      <c r="D32" s="227">
        <f t="shared" si="0"/>
        <v>21.066666666666666</v>
      </c>
      <c r="E32" s="232">
        <f>'5K'!$E32*(1-$K$2)+'10K'!$E32*$K$2</f>
        <v>1</v>
      </c>
    </row>
    <row r="33" spans="1:5">
      <c r="A33" s="220">
        <v>27</v>
      </c>
      <c r="B33" s="234"/>
      <c r="C33" s="227"/>
      <c r="D33" s="227">
        <f t="shared" si="0"/>
        <v>21.066666666666666</v>
      </c>
      <c r="E33" s="232">
        <f>'5K'!$E33*(1-$K$2)+'10K'!$E33*$K$2</f>
        <v>1</v>
      </c>
    </row>
    <row r="34" spans="1:5">
      <c r="A34" s="220">
        <v>28</v>
      </c>
      <c r="B34" s="234"/>
      <c r="C34" s="227"/>
      <c r="D34" s="227">
        <f t="shared" si="0"/>
        <v>21.069559402290945</v>
      </c>
      <c r="E34" s="232">
        <f>'5K'!$E34*(1-$K$2)+'10K'!$E34*$K$2</f>
        <v>0.99986270545249445</v>
      </c>
    </row>
    <row r="35" spans="1:5">
      <c r="A35" s="220">
        <v>29</v>
      </c>
      <c r="B35" s="234"/>
      <c r="C35" s="227"/>
      <c r="D35" s="227">
        <f t="shared" si="0"/>
        <v>21.081138293381123</v>
      </c>
      <c r="E35" s="232">
        <f>'5K'!$E35*(1-$K$2)+'10K'!$E35*$K$2</f>
        <v>0.99931352726247236</v>
      </c>
    </row>
    <row r="36" spans="1:5">
      <c r="A36" s="220">
        <v>30</v>
      </c>
      <c r="B36" s="234"/>
      <c r="C36" s="227"/>
      <c r="D36" s="227">
        <f t="shared" si="0"/>
        <v>21.099193029646869</v>
      </c>
      <c r="E36" s="232">
        <f>'5K'!$E36*(1-$K$2)+'10K'!$E36*$K$2</f>
        <v>0.99845840725119206</v>
      </c>
    </row>
    <row r="37" spans="1:5">
      <c r="A37" s="220">
        <v>31</v>
      </c>
      <c r="B37" s="234"/>
      <c r="C37" s="227"/>
      <c r="D37" s="227">
        <f t="shared" si="0"/>
        <v>21.133310061014619</v>
      </c>
      <c r="E37" s="232">
        <f>'5K'!$E37*(1-$K$2)+'10K'!$E37*$K$2</f>
        <v>0.99684652360867543</v>
      </c>
    </row>
    <row r="38" spans="1:5">
      <c r="A38" s="220">
        <v>32</v>
      </c>
      <c r="B38" s="234"/>
      <c r="C38" s="227"/>
      <c r="D38" s="227">
        <f t="shared" si="0"/>
        <v>21.181388920766189</v>
      </c>
      <c r="E38" s="232">
        <f>'5K'!$E38*(1-$K$2)+'10K'!$E38*$K$2</f>
        <v>0.99458381815618102</v>
      </c>
    </row>
    <row r="39" spans="1:5">
      <c r="A39" s="220">
        <v>33</v>
      </c>
      <c r="B39" s="234"/>
      <c r="C39" s="227"/>
      <c r="D39" s="227">
        <f t="shared" si="0"/>
        <v>21.24790511642788</v>
      </c>
      <c r="E39" s="232">
        <f>'5K'!$E39*(1-$K$2)+'10K'!$E39*$K$2</f>
        <v>0.99147029089370853</v>
      </c>
    </row>
    <row r="40" spans="1:5">
      <c r="A40" s="220">
        <v>34</v>
      </c>
      <c r="B40" s="234"/>
      <c r="C40" s="227"/>
      <c r="D40" s="227">
        <f t="shared" si="0"/>
        <v>21.328885222479531</v>
      </c>
      <c r="E40" s="232">
        <f>'5K'!$E40*(1-$K$2)+'10K'!$E40*$K$2</f>
        <v>0.98770594182125837</v>
      </c>
    </row>
    <row r="41" spans="1:5">
      <c r="A41" s="220">
        <v>35</v>
      </c>
      <c r="B41" s="234"/>
      <c r="C41" s="227"/>
      <c r="D41" s="227">
        <f t="shared" si="0"/>
        <v>21.429014786242437</v>
      </c>
      <c r="E41" s="232">
        <f>'5K'!$E41*(1-$K$2)+'10K'!$E41*$K$2</f>
        <v>0.98309077093883002</v>
      </c>
    </row>
    <row r="42" spans="1:5">
      <c r="A42" s="220">
        <v>36</v>
      </c>
      <c r="B42" s="234"/>
      <c r="C42" s="227"/>
      <c r="D42" s="227">
        <f t="shared" ref="D42:D73" si="1">E$4/E42</f>
        <v>21.540274962528599</v>
      </c>
      <c r="E42" s="232">
        <f>'5K'!$E42*(1-$K$2)+'10K'!$E42*$K$2</f>
        <v>0.97801289460390728</v>
      </c>
    </row>
    <row r="43" spans="1:5">
      <c r="A43" s="220">
        <v>37</v>
      </c>
      <c r="B43" s="234"/>
      <c r="C43" s="227"/>
      <c r="D43" s="227">
        <f t="shared" si="1"/>
        <v>21.66186686629112</v>
      </c>
      <c r="E43" s="232">
        <f>'5K'!$E43*(1-$K$2)+'10K'!$E43*$K$2</f>
        <v>0.972523134626468</v>
      </c>
    </row>
    <row r="44" spans="1:5">
      <c r="A44" s="220">
        <v>38</v>
      </c>
      <c r="B44" s="234"/>
      <c r="C44" s="227"/>
      <c r="D44" s="227">
        <f t="shared" si="1"/>
        <v>21.791026863639051</v>
      </c>
      <c r="E44" s="232">
        <f>'5K'!$E44*(1-$K$2)+'10K'!$E44*$K$2</f>
        <v>0.96675878555401784</v>
      </c>
    </row>
    <row r="45" spans="1:5">
      <c r="A45" s="220">
        <v>39</v>
      </c>
      <c r="B45" s="234"/>
      <c r="C45" s="227"/>
      <c r="D45" s="227">
        <f t="shared" si="1"/>
        <v>21.931136063634568</v>
      </c>
      <c r="E45" s="232">
        <f>'5K'!$E45*(1-$K$2)+'10K'!$E45*$K$2</f>
        <v>0.96058255283905081</v>
      </c>
    </row>
    <row r="46" spans="1:5">
      <c r="A46" s="220">
        <v>40</v>
      </c>
      <c r="B46" s="234"/>
      <c r="C46" s="227"/>
      <c r="D46" s="227">
        <f t="shared" si="1"/>
        <v>22.079411030534896</v>
      </c>
      <c r="E46" s="232">
        <f>'5K'!$E46*(1-$K$2)+'10K'!$E46*$K$2</f>
        <v>0.95413173102907289</v>
      </c>
    </row>
    <row r="47" spans="1:5">
      <c r="A47" s="220">
        <v>41</v>
      </c>
      <c r="B47" s="234"/>
      <c r="C47" s="227"/>
      <c r="D47" s="227">
        <f t="shared" si="1"/>
        <v>22.239370334994252</v>
      </c>
      <c r="E47" s="232">
        <f>'5K'!$E47*(1-$K$2)+'10K'!$E47*$K$2</f>
        <v>0.94726902557657833</v>
      </c>
    </row>
    <row r="48" spans="1:5">
      <c r="A48" s="220">
        <v>42</v>
      </c>
      <c r="B48" s="234"/>
      <c r="C48" s="227"/>
      <c r="D48" s="227">
        <f t="shared" si="1"/>
        <v>22.408207245177213</v>
      </c>
      <c r="E48" s="232">
        <f>'5K'!$E48*(1-$K$2)+'10K'!$E48*$K$2</f>
        <v>0.94013173102907288</v>
      </c>
    </row>
    <row r="49" spans="1:5">
      <c r="A49" s="220">
        <v>43</v>
      </c>
      <c r="B49" s="234"/>
      <c r="C49" s="227"/>
      <c r="D49" s="227">
        <f t="shared" si="1"/>
        <v>22.584612468165631</v>
      </c>
      <c r="E49" s="232">
        <f>'5K'!$E49*(1-$K$2)+'10K'!$E49*$K$2</f>
        <v>0.93278849466030911</v>
      </c>
    </row>
    <row r="50" spans="1:5">
      <c r="A50" s="220">
        <v>44</v>
      </c>
      <c r="B50" s="234"/>
      <c r="C50" s="227"/>
      <c r="D50" s="227">
        <f t="shared" si="1"/>
        <v>22.763817176563869</v>
      </c>
      <c r="E50" s="232">
        <f>'5K'!$E50*(1-$K$2)+'10K'!$E50*$K$2</f>
        <v>0.92544525829154534</v>
      </c>
    </row>
    <row r="51" spans="1:5">
      <c r="A51" s="220">
        <v>45</v>
      </c>
      <c r="B51" s="234"/>
      <c r="C51" s="227"/>
      <c r="D51" s="227">
        <f t="shared" si="1"/>
        <v>22.945888543570284</v>
      </c>
      <c r="E51" s="232">
        <f>'5K'!$E51*(1-$K$2)+'10K'!$E51*$K$2</f>
        <v>0.91810202192278156</v>
      </c>
    </row>
    <row r="52" spans="1:5">
      <c r="A52" s="220">
        <v>46</v>
      </c>
      <c r="B52" s="234"/>
      <c r="C52" s="227"/>
      <c r="D52" s="227">
        <f t="shared" si="1"/>
        <v>23.130895908790755</v>
      </c>
      <c r="E52" s="232">
        <f>'5K'!$E52*(1-$K$2)+'10K'!$E52*$K$2</f>
        <v>0.91075878555401779</v>
      </c>
    </row>
    <row r="53" spans="1:5">
      <c r="A53" s="220">
        <v>47</v>
      </c>
      <c r="B53" s="234"/>
      <c r="C53" s="227"/>
      <c r="D53" s="227">
        <f t="shared" si="1"/>
        <v>23.318910866284799</v>
      </c>
      <c r="E53" s="232">
        <f>'5K'!$E53*(1-$K$2)+'10K'!$E53*$K$2</f>
        <v>0.90341554918525391</v>
      </c>
    </row>
    <row r="54" spans="1:5">
      <c r="A54" s="220">
        <v>48</v>
      </c>
      <c r="B54" s="234"/>
      <c r="C54" s="227"/>
      <c r="D54" s="227">
        <f t="shared" si="1"/>
        <v>23.510007356940825</v>
      </c>
      <c r="E54" s="232">
        <f>'5K'!$E54*(1-$K$2)+'10K'!$E54*$K$2</f>
        <v>0.89607231281649025</v>
      </c>
    </row>
    <row r="55" spans="1:5">
      <c r="A55" s="220">
        <v>49</v>
      </c>
      <c r="B55" s="234"/>
      <c r="C55" s="227"/>
      <c r="D55" s="227">
        <f t="shared" si="1"/>
        <v>23.704261765431024</v>
      </c>
      <c r="E55" s="232">
        <f>'5K'!$E55*(1-$K$2)+'10K'!$E55*$K$2</f>
        <v>0.88872907644772636</v>
      </c>
    </row>
    <row r="56" spans="1:5">
      <c r="A56" s="220">
        <v>50</v>
      </c>
      <c r="B56" s="234"/>
      <c r="C56" s="227"/>
      <c r="D56" s="227">
        <f t="shared" si="1"/>
        <v>23.901753022012841</v>
      </c>
      <c r="E56" s="232">
        <f>'5K'!$E56*(1-$K$2)+'10K'!$E56*$K$2</f>
        <v>0.88138584007896248</v>
      </c>
    </row>
    <row r="57" spans="1:5">
      <c r="A57" s="220">
        <v>51</v>
      </c>
      <c r="B57" s="234"/>
      <c r="C57" s="227"/>
      <c r="D57" s="227">
        <f t="shared" si="1"/>
        <v>24.10256270946218</v>
      </c>
      <c r="E57" s="232">
        <f>'5K'!$E57*(1-$K$2)+'10K'!$E57*$K$2</f>
        <v>0.87404260371019871</v>
      </c>
    </row>
    <row r="58" spans="1:5">
      <c r="A58" s="220">
        <v>52</v>
      </c>
      <c r="B58" s="234"/>
      <c r="C58" s="227"/>
      <c r="D58" s="227">
        <f t="shared" si="1"/>
        <v>24.306775175442681</v>
      </c>
      <c r="E58" s="232">
        <f>'5K'!$E58*(1-$K$2)+'10K'!$E58*$K$2</f>
        <v>0.86669936734143493</v>
      </c>
    </row>
    <row r="59" spans="1:5">
      <c r="A59" s="220">
        <v>53</v>
      </c>
      <c r="B59" s="234"/>
      <c r="C59" s="227"/>
      <c r="D59" s="227">
        <f t="shared" si="1"/>
        <v>24.514477650636113</v>
      </c>
      <c r="E59" s="232">
        <f>'5K'!$E59*(1-$K$2)+'10K'!$E59*$K$2</f>
        <v>0.85935613097267116</v>
      </c>
    </row>
    <row r="60" spans="1:5">
      <c r="A60" s="220">
        <v>54</v>
      </c>
      <c r="B60" s="234"/>
      <c r="C60" s="227"/>
      <c r="D60" s="227">
        <f t="shared" si="1"/>
        <v>24.725760372981629</v>
      </c>
      <c r="E60" s="232">
        <f>'5K'!$E60*(1-$K$2)+'10K'!$E60*$K$2</f>
        <v>0.85201289460390739</v>
      </c>
    </row>
    <row r="61" spans="1:5">
      <c r="A61" s="220">
        <v>55</v>
      </c>
      <c r="B61" s="234"/>
      <c r="C61" s="227"/>
      <c r="D61" s="227">
        <f t="shared" si="1"/>
        <v>24.94071671839551</v>
      </c>
      <c r="E61" s="232">
        <f>'5K'!$E61*(1-$K$2)+'10K'!$E61*$K$2</f>
        <v>0.84466965823514351</v>
      </c>
    </row>
    <row r="62" spans="1:5">
      <c r="A62" s="220">
        <v>56</v>
      </c>
      <c r="B62" s="234"/>
      <c r="C62" s="227"/>
      <c r="D62" s="227">
        <f t="shared" si="1"/>
        <v>25.159443338369275</v>
      </c>
      <c r="E62" s="232">
        <f>'5K'!$E62*(1-$K$2)+'10K'!$E62*$K$2</f>
        <v>0.83732642186637962</v>
      </c>
    </row>
    <row r="63" spans="1:5">
      <c r="A63" s="220">
        <v>57</v>
      </c>
      <c r="B63" s="234"/>
      <c r="C63" s="227"/>
      <c r="D63" s="227">
        <f t="shared" si="1"/>
        <v>25.382040304872149</v>
      </c>
      <c r="E63" s="232">
        <f>'5K'!$E63*(1-$K$2)+'10K'!$E63*$K$2</f>
        <v>0.82998318549761596</v>
      </c>
    </row>
    <row r="64" spans="1:5">
      <c r="A64" s="220">
        <v>58</v>
      </c>
      <c r="B64" s="234"/>
      <c r="C64" s="227"/>
      <c r="D64" s="227">
        <f t="shared" si="1"/>
        <v>25.608611263014343</v>
      </c>
      <c r="E64" s="232">
        <f>'5K'!$E64*(1-$K$2)+'10K'!$E64*$K$2</f>
        <v>0.82263994912885208</v>
      </c>
    </row>
    <row r="65" spans="1:5">
      <c r="A65" s="220">
        <v>59</v>
      </c>
      <c r="B65" s="234"/>
      <c r="C65" s="227"/>
      <c r="D65" s="227">
        <f t="shared" si="1"/>
        <v>25.839263591960304</v>
      </c>
      <c r="E65" s="232">
        <f>'5K'!$E65*(1-$K$2)+'10K'!$E65*$K$2</f>
        <v>0.8152967127600883</v>
      </c>
    </row>
    <row r="66" spans="1:5">
      <c r="A66" s="220">
        <v>60</v>
      </c>
      <c r="B66" s="234"/>
      <c r="C66" s="227"/>
      <c r="D66" s="227">
        <f t="shared" si="1"/>
        <v>26.074108574617021</v>
      </c>
      <c r="E66" s="232">
        <f>'5K'!$E66*(1-$K$2)+'10K'!$E66*$K$2</f>
        <v>0.80795347639132453</v>
      </c>
    </row>
    <row r="67" spans="1:5">
      <c r="A67" s="220">
        <v>61</v>
      </c>
      <c r="B67" s="234"/>
      <c r="C67" s="227"/>
      <c r="D67" s="227">
        <f t="shared" si="1"/>
        <v>26.313261576660597</v>
      </c>
      <c r="E67" s="232">
        <f>'5K'!$E67*(1-$K$2)+'10K'!$E67*$K$2</f>
        <v>0.80061024002256076</v>
      </c>
    </row>
    <row r="68" spans="1:5">
      <c r="A68" s="220">
        <v>62</v>
      </c>
      <c r="B68" s="234"/>
      <c r="C68" s="227"/>
      <c r="D68" s="227">
        <f t="shared" si="1"/>
        <v>26.556842235506277</v>
      </c>
      <c r="E68" s="232">
        <f>'5K'!$E68*(1-$K$2)+'10K'!$E68*$K$2</f>
        <v>0.79326700365379688</v>
      </c>
    </row>
    <row r="69" spans="1:5">
      <c r="A69" s="220">
        <v>63</v>
      </c>
      <c r="B69" s="234"/>
      <c r="C69" s="227"/>
      <c r="D69" s="227">
        <f t="shared" si="1"/>
        <v>26.804974659872268</v>
      </c>
      <c r="E69" s="232">
        <f>'5K'!$E69*(1-$K$2)+'10K'!$E69*$K$2</f>
        <v>0.78592376728503321</v>
      </c>
    </row>
    <row r="70" spans="1:5">
      <c r="A70" s="220">
        <v>64</v>
      </c>
      <c r="B70" s="234"/>
      <c r="C70" s="227"/>
      <c r="D70" s="227">
        <f t="shared" si="1"/>
        <v>27.057787640636796</v>
      </c>
      <c r="E70" s="232">
        <f>'5K'!$E70*(1-$K$2)+'10K'!$E70*$K$2</f>
        <v>0.77858053091626933</v>
      </c>
    </row>
    <row r="71" spans="1:5">
      <c r="A71" s="220">
        <v>65</v>
      </c>
      <c r="B71" s="234"/>
      <c r="C71" s="227"/>
      <c r="D71" s="227">
        <f t="shared" si="1"/>
        <v>27.315414873740959</v>
      </c>
      <c r="E71" s="232">
        <f>'5K'!$E71*(1-$K$2)+'10K'!$E71*$K$2</f>
        <v>0.77123729454750545</v>
      </c>
    </row>
    <row r="72" spans="1:5">
      <c r="A72" s="220">
        <v>66</v>
      </c>
      <c r="B72" s="234"/>
      <c r="C72" s="227"/>
      <c r="D72" s="227">
        <f t="shared" si="1"/>
        <v>27.577995195948134</v>
      </c>
      <c r="E72" s="232">
        <f>'5K'!$E72*(1-$K$2)+'10K'!$E72*$K$2</f>
        <v>0.76389405817874179</v>
      </c>
    </row>
    <row r="73" spans="1:5">
      <c r="A73" s="220">
        <v>67</v>
      </c>
      <c r="B73" s="234"/>
      <c r="C73" s="227"/>
      <c r="D73" s="227">
        <f t="shared" si="1"/>
        <v>27.845672834333342</v>
      </c>
      <c r="E73" s="232">
        <f>'5K'!$E73*(1-$K$2)+'10K'!$E73*$K$2</f>
        <v>0.7565508218099779</v>
      </c>
    </row>
    <row r="74" spans="1:5">
      <c r="A74" s="220">
        <v>68</v>
      </c>
      <c r="B74" s="234"/>
      <c r="C74" s="227"/>
      <c r="D74" s="227">
        <f t="shared" ref="D74:D105" si="2">E$4/E74</f>
        <v>28.119774422531275</v>
      </c>
      <c r="E74" s="232">
        <f>'5K'!$E74*(1-$K$2)+'10K'!$E74*$K$2</f>
        <v>0.74917623271496692</v>
      </c>
    </row>
    <row r="75" spans="1:5">
      <c r="A75" s="220">
        <v>69</v>
      </c>
      <c r="B75" s="234"/>
      <c r="C75" s="227"/>
      <c r="D75" s="227">
        <f t="shared" si="2"/>
        <v>28.407730646764072</v>
      </c>
      <c r="E75" s="232">
        <f>'5K'!$E75*(1-$K$2)+'10K'!$E75*$K$2</f>
        <v>0.7415821745362251</v>
      </c>
    </row>
    <row r="76" spans="1:5">
      <c r="A76" s="220">
        <v>70</v>
      </c>
      <c r="B76" s="234"/>
      <c r="C76" s="227"/>
      <c r="D76" s="227">
        <f t="shared" si="2"/>
        <v>28.710462537988139</v>
      </c>
      <c r="E76" s="232">
        <f>'5K'!$E76*(1-$K$2)+'10K'!$E76*$K$2</f>
        <v>0.73376270545249445</v>
      </c>
    </row>
    <row r="77" spans="1:5">
      <c r="A77" s="220">
        <v>71</v>
      </c>
      <c r="B77" s="234"/>
      <c r="C77" s="227"/>
      <c r="D77" s="227">
        <f t="shared" si="2"/>
        <v>29.032730353891203</v>
      </c>
      <c r="E77" s="232">
        <f>'5K'!$E77*(1-$K$2)+'10K'!$E77*$K$2</f>
        <v>0.72561782546377485</v>
      </c>
    </row>
    <row r="78" spans="1:5">
      <c r="A78" s="220">
        <v>72</v>
      </c>
      <c r="B78" s="234"/>
      <c r="C78" s="227"/>
      <c r="D78" s="227">
        <f t="shared" si="2"/>
        <v>29.392519598269796</v>
      </c>
      <c r="E78" s="232">
        <f>'5K'!$E78*(1-$K$2)+'10K'!$E78*$K$2</f>
        <v>0.71673565092754976</v>
      </c>
    </row>
    <row r="79" spans="1:5">
      <c r="A79" s="220">
        <v>73</v>
      </c>
      <c r="B79" s="234"/>
      <c r="C79" s="227"/>
      <c r="D79" s="227">
        <f t="shared" si="2"/>
        <v>29.786586238015811</v>
      </c>
      <c r="E79" s="232">
        <f>'5K'!$E79*(1-$K$2)+'10K'!$E79*$K$2</f>
        <v>0.70725347639132452</v>
      </c>
    </row>
    <row r="80" spans="1:5">
      <c r="A80" s="220">
        <v>74</v>
      </c>
      <c r="B80" s="234"/>
      <c r="C80" s="227"/>
      <c r="D80" s="227">
        <f t="shared" si="2"/>
        <v>30.218705287211883</v>
      </c>
      <c r="E80" s="232">
        <f>'5K'!$E80*(1-$K$2)+'10K'!$E80*$K$2</f>
        <v>0.69713994912885213</v>
      </c>
    </row>
    <row r="81" spans="1:5">
      <c r="A81" s="220">
        <v>75</v>
      </c>
      <c r="B81" s="234"/>
      <c r="C81" s="227"/>
      <c r="D81" s="227">
        <f t="shared" si="2"/>
        <v>30.695086740354387</v>
      </c>
      <c r="E81" s="232">
        <f>'5K'!$E81*(1-$K$2)+'10K'!$E81*$K$2</f>
        <v>0.68632048004512147</v>
      </c>
    </row>
    <row r="82" spans="1:5">
      <c r="A82" s="220">
        <v>76</v>
      </c>
      <c r="B82" s="234"/>
      <c r="C82" s="227"/>
      <c r="D82" s="227">
        <f t="shared" si="2"/>
        <v>31.214454156258231</v>
      </c>
      <c r="E82" s="232">
        <f>'5K'!$E82*(1-$K$2)+'10K'!$E82*$K$2</f>
        <v>0.67490101096139077</v>
      </c>
    </row>
    <row r="83" spans="1:5">
      <c r="A83" s="220">
        <v>77</v>
      </c>
      <c r="B83" s="234"/>
      <c r="C83" s="227"/>
      <c r="D83" s="227">
        <f t="shared" si="2"/>
        <v>31.783730881180229</v>
      </c>
      <c r="E83" s="232">
        <f>'5K'!$E83*(1-$K$2)+'10K'!$E83*$K$2</f>
        <v>0.66281289460390735</v>
      </c>
    </row>
    <row r="84" spans="1:5">
      <c r="A84" s="220">
        <v>78</v>
      </c>
      <c r="B84" s="234"/>
      <c r="C84" s="227"/>
      <c r="D84" s="227">
        <f t="shared" si="2"/>
        <v>32.407457853131646</v>
      </c>
      <c r="E84" s="232">
        <f>'5K'!$E84*(1-$K$2)+'10K'!$E84*$K$2</f>
        <v>0.65005613097267112</v>
      </c>
    </row>
    <row r="85" spans="1:5">
      <c r="A85" s="220">
        <v>79</v>
      </c>
      <c r="B85" s="234"/>
      <c r="C85" s="227"/>
      <c r="D85" s="227">
        <f t="shared" si="2"/>
        <v>33.088935179820041</v>
      </c>
      <c r="E85" s="232">
        <f>'5K'!$E85*(1-$K$2)+'10K'!$E85*$K$2</f>
        <v>0.63666801461518774</v>
      </c>
    </row>
    <row r="86" spans="1:5">
      <c r="A86" s="220">
        <v>80</v>
      </c>
      <c r="B86" s="234"/>
      <c r="C86" s="227"/>
      <c r="D86" s="227">
        <f t="shared" si="2"/>
        <v>33.834283971470548</v>
      </c>
      <c r="E86" s="232">
        <f>'5K'!$E86*(1-$K$2)+'10K'!$E86*$K$2</f>
        <v>0.62264260371019875</v>
      </c>
    </row>
    <row r="87" spans="1:5">
      <c r="A87" s="220">
        <v>81</v>
      </c>
      <c r="B87" s="234"/>
      <c r="C87" s="227"/>
      <c r="D87" s="227">
        <f t="shared" si="2"/>
        <v>34.65205537789484</v>
      </c>
      <c r="E87" s="232">
        <f>'5K'!$E87*(1-$K$2)+'10K'!$E87*$K$2</f>
        <v>0.60794854553145694</v>
      </c>
    </row>
    <row r="88" spans="1:5">
      <c r="A88" s="220">
        <v>82</v>
      </c>
      <c r="B88" s="234"/>
      <c r="C88" s="227"/>
      <c r="D88" s="227">
        <f t="shared" si="2"/>
        <v>35.546287282439735</v>
      </c>
      <c r="E88" s="232">
        <f>'5K'!$E88*(1-$K$2)+'10K'!$E88*$K$2</f>
        <v>0.59265448735271531</v>
      </c>
    </row>
    <row r="89" spans="1:5">
      <c r="A89" s="220">
        <v>83</v>
      </c>
      <c r="B89" s="234"/>
      <c r="C89" s="227"/>
      <c r="D89" s="227">
        <f t="shared" si="2"/>
        <v>36.530200928563985</v>
      </c>
      <c r="E89" s="232">
        <f>'5K'!$E89*(1-$K$2)+'10K'!$E89*$K$2</f>
        <v>0.57669178190022086</v>
      </c>
    </row>
    <row r="90" spans="1:5">
      <c r="A90" s="220">
        <v>84</v>
      </c>
      <c r="B90" s="234"/>
      <c r="C90" s="227"/>
      <c r="D90" s="227">
        <f t="shared" si="2"/>
        <v>37.617094455689482</v>
      </c>
      <c r="E90" s="232">
        <f>'5K'!$E90*(1-$K$2)+'10K'!$E90*$K$2</f>
        <v>0.56002907644772626</v>
      </c>
    </row>
    <row r="91" spans="1:5">
      <c r="A91" s="220">
        <v>85</v>
      </c>
      <c r="B91" s="234"/>
      <c r="C91" s="227"/>
      <c r="D91" s="227">
        <f t="shared" si="2"/>
        <v>38.811265681497979</v>
      </c>
      <c r="E91" s="232">
        <f>'5K'!$E91*(1-$K$2)+'10K'!$E91*$K$2</f>
        <v>0.54279772372147916</v>
      </c>
    </row>
    <row r="92" spans="1:5">
      <c r="A92" s="220">
        <v>86</v>
      </c>
      <c r="B92" s="234"/>
      <c r="C92" s="227"/>
      <c r="D92" s="227">
        <f t="shared" si="2"/>
        <v>40.134802866558147</v>
      </c>
      <c r="E92" s="232">
        <f>'5K'!$E92*(1-$K$2)+'10K'!$E92*$K$2</f>
        <v>0.52489772372147914</v>
      </c>
    </row>
    <row r="93" spans="1:5">
      <c r="A93" s="220">
        <v>87</v>
      </c>
      <c r="B93" s="234"/>
      <c r="C93" s="227"/>
      <c r="D93" s="227">
        <f t="shared" si="2"/>
        <v>41.606669746215132</v>
      </c>
      <c r="E93" s="232">
        <f>'5K'!$E93*(1-$K$2)+'10K'!$E93*$K$2</f>
        <v>0.5063290764477264</v>
      </c>
    </row>
    <row r="94" spans="1:5">
      <c r="A94" s="220">
        <v>88</v>
      </c>
      <c r="B94" s="234"/>
      <c r="C94" s="227"/>
      <c r="D94" s="227">
        <f t="shared" si="2"/>
        <v>43.249891395174693</v>
      </c>
      <c r="E94" s="232">
        <f>'5K'!$E94*(1-$K$2)+'10K'!$E94*$K$2</f>
        <v>0.48709178190022073</v>
      </c>
    </row>
    <row r="95" spans="1:5">
      <c r="A95" s="220">
        <v>89</v>
      </c>
      <c r="B95" s="234"/>
      <c r="C95" s="227"/>
      <c r="D95" s="227">
        <f t="shared" si="2"/>
        <v>45.08909149695441</v>
      </c>
      <c r="E95" s="232">
        <f>'5K'!$E95*(1-$K$2)+'10K'!$E95*$K$2</f>
        <v>0.46722313462646808</v>
      </c>
    </row>
    <row r="96" spans="1:5">
      <c r="A96" s="220">
        <v>90</v>
      </c>
      <c r="B96" s="234"/>
      <c r="C96" s="227"/>
      <c r="D96" s="227">
        <f t="shared" si="2"/>
        <v>47.158844579892296</v>
      </c>
      <c r="E96" s="232">
        <f>'5K'!$E96*(1-$K$2)+'10K'!$E96*$K$2</f>
        <v>0.44671719280520972</v>
      </c>
    </row>
    <row r="97" spans="1:5">
      <c r="A97" s="220">
        <v>91</v>
      </c>
      <c r="B97" s="234"/>
      <c r="C97" s="227"/>
      <c r="D97" s="227">
        <f t="shared" si="2"/>
        <v>49.505423153855126</v>
      </c>
      <c r="E97" s="232">
        <f>'5K'!$E97*(1-$K$2)+'10K'!$E97*$K$2</f>
        <v>0.4255426037101987</v>
      </c>
    </row>
    <row r="98" spans="1:5">
      <c r="A98" s="220">
        <v>92</v>
      </c>
      <c r="B98" s="234"/>
      <c r="C98" s="227"/>
      <c r="D98" s="227">
        <f t="shared" si="2"/>
        <v>52.175174615414541</v>
      </c>
      <c r="E98" s="232">
        <f>'5K'!$E98*(1-$K$2)+'10K'!$E98*$K$2</f>
        <v>0.40376801461518763</v>
      </c>
    </row>
    <row r="99" spans="1:5">
      <c r="A99" s="220">
        <v>93</v>
      </c>
      <c r="B99" s="234"/>
      <c r="C99" s="227"/>
      <c r="D99" s="227">
        <f t="shared" si="2"/>
        <v>55.2459946703299</v>
      </c>
      <c r="E99" s="232">
        <f>'5K'!$E99*(1-$K$2)+'10K'!$E99*$K$2</f>
        <v>0.38132477824642391</v>
      </c>
    </row>
    <row r="100" spans="1:5">
      <c r="A100" s="220">
        <v>94</v>
      </c>
      <c r="C100" s="227"/>
      <c r="D100" s="227">
        <f t="shared" si="2"/>
        <v>58.815612206678594</v>
      </c>
      <c r="E100" s="232">
        <f>'5K'!$E100*(1-$K$2)+'10K'!$E100*$K$2</f>
        <v>0.3581815418776601</v>
      </c>
    </row>
    <row r="101" spans="1:5">
      <c r="A101" s="220">
        <v>95</v>
      </c>
      <c r="B101" s="234"/>
      <c r="C101" s="227"/>
      <c r="D101" s="227">
        <f t="shared" si="2"/>
        <v>62.998214646842015</v>
      </c>
      <c r="E101" s="232">
        <f>'5K'!$E101*(1-$K$2)+'10K'!$E101*$K$2</f>
        <v>0.3344010109613908</v>
      </c>
    </row>
    <row r="102" spans="1:5">
      <c r="A102" s="220">
        <v>96</v>
      </c>
      <c r="C102" s="227"/>
      <c r="D102" s="227">
        <f t="shared" si="2"/>
        <v>67.952499988389647</v>
      </c>
      <c r="E102" s="232">
        <f>'5K'!$E102*(1-$K$2)+'10K'!$E102*$K$2</f>
        <v>0.31002048004512145</v>
      </c>
    </row>
    <row r="103" spans="1:5">
      <c r="A103" s="220">
        <v>97</v>
      </c>
      <c r="C103" s="227"/>
      <c r="D103" s="227">
        <f t="shared" si="2"/>
        <v>73.925572608635974</v>
      </c>
      <c r="E103" s="232">
        <f>'5K'!$E103*(1-$K$2)+'10K'!$E103*$K$2</f>
        <v>0.28497130185509933</v>
      </c>
    </row>
    <row r="104" spans="1:5">
      <c r="A104" s="220">
        <v>98</v>
      </c>
      <c r="C104" s="227"/>
      <c r="D104" s="227">
        <f t="shared" si="2"/>
        <v>81.237444645775511</v>
      </c>
      <c r="E104" s="232">
        <f>'5K'!$E104*(1-$K$2)+'10K'!$E104*$K$2</f>
        <v>0.25932212366507729</v>
      </c>
    </row>
    <row r="105" spans="1:5">
      <c r="A105" s="220">
        <v>99</v>
      </c>
      <c r="C105" s="227"/>
      <c r="D105" s="227">
        <f t="shared" si="2"/>
        <v>90.452030423493738</v>
      </c>
      <c r="E105" s="232">
        <f>'5K'!$E105*(1-$K$2)+'10K'!$E105*$K$2</f>
        <v>0.23290429820130243</v>
      </c>
    </row>
    <row r="106" spans="1:5">
      <c r="A106" s="220">
        <v>100</v>
      </c>
      <c r="D106" s="227">
        <f>E$4/E106</f>
        <v>102.30618266883712</v>
      </c>
      <c r="E106" s="232">
        <f>'5K'!$E106*(1-$K$2)+'10K'!$E106*$K$2</f>
        <v>0.20591782546377482</v>
      </c>
    </row>
  </sheetData>
  <pageMargins left="0.5" right="0.5" top="0.5" bottom="0.5" header="0" footer="0"/>
  <pageSetup orientation="portrait" horizontalDpi="0" verticalDpi="0" copies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06"/>
  <sheetViews>
    <sheetView zoomScale="87" zoomScaleNormal="87" workbookViewId="0">
      <selection activeCell="E16" sqref="E16"/>
    </sheetView>
  </sheetViews>
  <sheetFormatPr defaultColWidth="9.6640625" defaultRowHeight="15"/>
  <cols>
    <col min="1" max="3" width="9.6640625" style="220" customWidth="1"/>
    <col min="4" max="4" width="11.5546875" style="220" customWidth="1"/>
    <col min="5" max="5" width="9.6640625" style="220" customWidth="1"/>
    <col min="6" max="6" width="10.6640625" style="220" customWidth="1"/>
    <col min="7" max="7" width="10.44140625" style="220" customWidth="1"/>
    <col min="8" max="8" width="10.6640625" style="220" customWidth="1"/>
    <col min="9" max="9" width="13" style="220" customWidth="1"/>
    <col min="10" max="11" width="12.109375" style="220" customWidth="1"/>
    <col min="12" max="12" width="12.5546875" style="220" customWidth="1"/>
    <col min="13" max="13" width="15.6640625" style="220" customWidth="1"/>
    <col min="14" max="14" width="9.6640625" style="220"/>
    <col min="15" max="15" width="10.109375" style="220" bestFit="1" customWidth="1"/>
    <col min="16" max="16" width="10.33203125" style="220" customWidth="1"/>
    <col min="17" max="17" width="16.6640625" style="220" customWidth="1"/>
    <col min="18" max="18" width="12.33203125" style="220" customWidth="1"/>
    <col min="19" max="19" width="15.6640625" style="220" customWidth="1"/>
    <col min="20" max="16384" width="9.6640625" style="220"/>
  </cols>
  <sheetData>
    <row r="1" spans="1:21" ht="35.25" customHeight="1">
      <c r="A1" s="216" t="s">
        <v>1537</v>
      </c>
      <c r="B1" s="217"/>
      <c r="C1" s="218"/>
      <c r="D1" s="219" t="s">
        <v>32</v>
      </c>
      <c r="E1" s="219" t="s">
        <v>71</v>
      </c>
      <c r="F1" s="219" t="s">
        <v>72</v>
      </c>
      <c r="G1" s="219" t="s">
        <v>73</v>
      </c>
      <c r="H1" s="219" t="s">
        <v>74</v>
      </c>
      <c r="I1" s="219" t="s">
        <v>75</v>
      </c>
    </row>
    <row r="2" spans="1:21" ht="17.100000000000001" customHeight="1">
      <c r="A2" s="216"/>
      <c r="B2" s="217"/>
      <c r="C2" s="218"/>
      <c r="D2" s="219"/>
      <c r="E2" s="219"/>
      <c r="F2" s="268">
        <f>(+H$3-H$4)*F$4/2</f>
        <v>3.2499999999999999E-3</v>
      </c>
      <c r="G2" s="269">
        <f>(+I$4-I$3)*G$4/2</f>
        <v>5.6249999999999994E-2</v>
      </c>
      <c r="H2" s="221"/>
      <c r="I2" s="221"/>
    </row>
    <row r="3" spans="1:21" ht="17.100000000000001" customHeight="1">
      <c r="A3" s="216"/>
      <c r="B3" s="217"/>
      <c r="C3" s="218"/>
      <c r="D3" s="219"/>
      <c r="E3" s="219"/>
      <c r="F3" s="268">
        <f>F4/(2*(+H3-H4))</f>
        <v>3.2499999999999999E-3</v>
      </c>
      <c r="G3" s="269">
        <f>G4/(2*(+I4-I3))</f>
        <v>2.5000000000000001E-4</v>
      </c>
      <c r="H3" s="31">
        <v>21</v>
      </c>
      <c r="I3" s="31">
        <v>27</v>
      </c>
      <c r="J3" s="215"/>
    </row>
    <row r="4" spans="1:21" ht="15.75">
      <c r="A4" s="217"/>
      <c r="B4" s="217"/>
      <c r="C4" s="217"/>
      <c r="D4" s="224">
        <f>Parameters!G18</f>
        <v>1.8333333333333333E-2</v>
      </c>
      <c r="E4" s="225">
        <f>D4*1440</f>
        <v>26.4</v>
      </c>
      <c r="F4" s="34">
        <v>6.4999999999999997E-3</v>
      </c>
      <c r="G4" s="319">
        <v>7.4999999999999997E-3</v>
      </c>
      <c r="H4" s="31">
        <v>20</v>
      </c>
      <c r="I4" s="31">
        <v>42</v>
      </c>
      <c r="J4" s="227"/>
    </row>
    <row r="5" spans="1:21" ht="15.75">
      <c r="A5" s="217"/>
      <c r="B5" s="217"/>
      <c r="C5" s="217"/>
      <c r="D5" s="224"/>
      <c r="E5" s="217">
        <f>E4*60</f>
        <v>1584</v>
      </c>
      <c r="F5" s="34">
        <v>2E-3</v>
      </c>
      <c r="G5" s="319">
        <v>3.3500000000000001E-4</v>
      </c>
      <c r="H5" s="31">
        <v>19</v>
      </c>
      <c r="I5" s="31">
        <v>69.95</v>
      </c>
      <c r="J5" s="227"/>
    </row>
    <row r="6" spans="1:21" ht="63">
      <c r="A6" s="228" t="s">
        <v>69</v>
      </c>
      <c r="B6" s="228" t="s">
        <v>393</v>
      </c>
      <c r="C6" s="228" t="s">
        <v>393</v>
      </c>
      <c r="D6" s="228" t="s">
        <v>395</v>
      </c>
      <c r="E6" s="228" t="s">
        <v>1045</v>
      </c>
      <c r="F6" s="228" t="s">
        <v>382</v>
      </c>
      <c r="G6" s="228" t="s">
        <v>152</v>
      </c>
      <c r="H6" s="228"/>
      <c r="I6" s="468" t="s">
        <v>69</v>
      </c>
      <c r="J6" s="321" t="s">
        <v>409</v>
      </c>
      <c r="K6" s="147" t="s">
        <v>1539</v>
      </c>
      <c r="L6" s="320" t="s">
        <v>1540</v>
      </c>
      <c r="M6" s="345" t="s">
        <v>237</v>
      </c>
      <c r="N6" s="345" t="s">
        <v>238</v>
      </c>
      <c r="O6" s="346" t="s">
        <v>239</v>
      </c>
      <c r="P6" s="346" t="s">
        <v>240</v>
      </c>
      <c r="Q6" s="347" t="s">
        <v>241</v>
      </c>
      <c r="R6" s="346" t="s">
        <v>242</v>
      </c>
      <c r="S6" s="346" t="s">
        <v>243</v>
      </c>
      <c r="T6" s="348" t="s">
        <v>244</v>
      </c>
    </row>
    <row r="7" spans="1:21">
      <c r="A7" s="220">
        <v>1</v>
      </c>
      <c r="B7" s="318"/>
      <c r="I7" s="1">
        <v>1</v>
      </c>
      <c r="J7" s="349"/>
      <c r="K7" s="148"/>
      <c r="L7" s="350"/>
      <c r="M7" s="326"/>
      <c r="N7" s="326"/>
      <c r="O7" s="326"/>
      <c r="P7" s="326"/>
      <c r="Q7" s="326"/>
      <c r="R7" s="326"/>
      <c r="S7" s="326"/>
      <c r="T7" s="326"/>
    </row>
    <row r="8" spans="1:21">
      <c r="A8" s="220">
        <v>2</v>
      </c>
      <c r="B8" s="318"/>
      <c r="I8" s="1">
        <v>2</v>
      </c>
      <c r="J8" s="349"/>
      <c r="K8" s="148"/>
      <c r="L8" s="350"/>
      <c r="M8" s="326"/>
      <c r="N8" s="326"/>
      <c r="O8" s="326"/>
      <c r="P8" s="326"/>
      <c r="Q8" s="326"/>
      <c r="R8" s="326"/>
      <c r="S8" s="326"/>
      <c r="T8" s="326"/>
    </row>
    <row r="9" spans="1:21">
      <c r="A9" s="220">
        <v>3</v>
      </c>
      <c r="B9" s="341"/>
      <c r="C9" s="227"/>
      <c r="D9" s="227">
        <f t="shared" ref="D9:D72" si="0">E$4/E9</f>
        <v>70.531659096981016</v>
      </c>
      <c r="E9" s="232">
        <f t="shared" ref="E9:E32" si="1">ROUND(1-IF(A9&gt;=H$3,0,IF(A9&gt;=H$4,F$3*(A9-H$3)^2,F$2+F$4*(H$4-A9)+(A9&lt;H$5)*F$5*(H$5-A9)^2)),4)</f>
        <v>0.37430000000000002</v>
      </c>
      <c r="F9" s="227">
        <v>54.0983606557377</v>
      </c>
      <c r="G9" s="227"/>
      <c r="H9" s="233"/>
      <c r="I9" s="1">
        <v>3</v>
      </c>
      <c r="J9" s="328"/>
      <c r="K9" s="148"/>
      <c r="L9" s="351"/>
      <c r="M9" s="1"/>
      <c r="N9" s="1"/>
      <c r="O9" s="1"/>
      <c r="P9" s="1"/>
      <c r="Q9" s="1"/>
      <c r="R9" s="1"/>
      <c r="S9" s="1"/>
      <c r="T9" s="1"/>
    </row>
    <row r="10" spans="1:21">
      <c r="A10" s="220">
        <v>4</v>
      </c>
      <c r="B10" s="88">
        <v>4.8958333333333333E-2</v>
      </c>
      <c r="C10" s="227">
        <f>B10*1440</f>
        <v>70.5</v>
      </c>
      <c r="D10" s="227">
        <f t="shared" si="0"/>
        <v>59.620596205962052</v>
      </c>
      <c r="E10" s="232">
        <f t="shared" si="1"/>
        <v>0.44280000000000003</v>
      </c>
      <c r="F10" s="227">
        <v>48</v>
      </c>
      <c r="G10" s="227">
        <v>70.5</v>
      </c>
      <c r="H10" s="233"/>
      <c r="I10" s="1">
        <v>4</v>
      </c>
      <c r="J10" s="328">
        <f>100*(+F10/+C10)</f>
        <v>68.085106382978722</v>
      </c>
      <c r="K10" s="149">
        <f>100*(+D10/+C10)</f>
        <v>84.568221568740498</v>
      </c>
      <c r="L10" s="352">
        <v>4.8958333333333333E-2</v>
      </c>
      <c r="M10" s="353" t="s">
        <v>1397</v>
      </c>
      <c r="N10" s="354" t="s">
        <v>1117</v>
      </c>
      <c r="O10" s="353" t="s">
        <v>155</v>
      </c>
      <c r="P10" s="355">
        <v>41414</v>
      </c>
      <c r="Q10" s="354"/>
      <c r="R10" s="353" t="s">
        <v>1541</v>
      </c>
      <c r="S10" s="355">
        <v>43057</v>
      </c>
      <c r="T10" s="354"/>
    </row>
    <row r="11" spans="1:21">
      <c r="A11" s="220">
        <v>5</v>
      </c>
      <c r="B11" s="88" t="s">
        <v>1538</v>
      </c>
      <c r="C11" s="227"/>
      <c r="D11" s="227">
        <f t="shared" si="0"/>
        <v>52.040212891780008</v>
      </c>
      <c r="E11" s="232">
        <f t="shared" si="1"/>
        <v>0.50729999999999997</v>
      </c>
      <c r="F11" s="227">
        <v>43.421052631578945</v>
      </c>
      <c r="G11" s="227"/>
      <c r="H11" s="233"/>
      <c r="I11" s="1">
        <v>5</v>
      </c>
      <c r="J11" s="328"/>
      <c r="K11" s="149"/>
      <c r="L11" s="352" t="s">
        <v>1538</v>
      </c>
      <c r="M11" s="353"/>
      <c r="N11" s="354"/>
      <c r="O11" s="353"/>
      <c r="P11" s="355"/>
      <c r="Q11" s="354"/>
      <c r="R11" s="353"/>
      <c r="S11" s="355"/>
      <c r="T11" s="354"/>
    </row>
    <row r="12" spans="1:21">
      <c r="A12" s="220">
        <v>6</v>
      </c>
      <c r="B12" s="342">
        <v>3.2523148148148148E-2</v>
      </c>
      <c r="C12" s="227">
        <f>B12*1440</f>
        <v>46.833333333333336</v>
      </c>
      <c r="D12" s="227">
        <f>E$4/E12</f>
        <v>46.49524480450863</v>
      </c>
      <c r="E12" s="232">
        <f t="shared" si="1"/>
        <v>0.56779999999999997</v>
      </c>
      <c r="F12" s="227">
        <v>39.879154078549853</v>
      </c>
      <c r="G12" s="227">
        <v>46.833333333333336</v>
      </c>
      <c r="H12" s="233"/>
      <c r="I12" s="1">
        <v>6</v>
      </c>
      <c r="J12" s="328">
        <f t="shared" ref="J12:J18" si="2">100*(+F12/+C12)</f>
        <v>85.151218673060185</v>
      </c>
      <c r="K12" s="149">
        <f t="shared" ref="K12:K18" si="3">100*(+D12/+C12)</f>
        <v>99.278102785427677</v>
      </c>
      <c r="L12" s="342">
        <v>3.2523148148148148E-2</v>
      </c>
      <c r="M12" s="353" t="s">
        <v>1542</v>
      </c>
      <c r="N12" s="354" t="s">
        <v>1543</v>
      </c>
      <c r="O12" s="353" t="s">
        <v>155</v>
      </c>
      <c r="P12" s="355">
        <v>40378</v>
      </c>
      <c r="Q12" s="354"/>
      <c r="R12" s="353" t="s">
        <v>1544</v>
      </c>
      <c r="S12" s="355">
        <v>42925</v>
      </c>
      <c r="T12" s="354"/>
      <c r="U12" s="238"/>
    </row>
    <row r="13" spans="1:21">
      <c r="A13" s="220">
        <v>7</v>
      </c>
      <c r="B13" s="88">
        <v>2.9641203703703704E-2</v>
      </c>
      <c r="C13" s="227">
        <f t="shared" ref="C13:C75" si="4">B13*1440</f>
        <v>42.683333333333337</v>
      </c>
      <c r="D13" s="227">
        <f t="shared" si="0"/>
        <v>42.287361845266702</v>
      </c>
      <c r="E13" s="232">
        <f t="shared" si="1"/>
        <v>0.62429999999999997</v>
      </c>
      <c r="F13" s="227">
        <v>37.078651685393261</v>
      </c>
      <c r="G13" s="227">
        <v>42.68333333333333</v>
      </c>
      <c r="H13" s="233"/>
      <c r="I13" s="1">
        <v>7</v>
      </c>
      <c r="J13" s="328">
        <f t="shared" si="2"/>
        <v>86.869156623334447</v>
      </c>
      <c r="K13" s="149">
        <f t="shared" si="3"/>
        <v>99.072304206013357</v>
      </c>
      <c r="L13" s="352">
        <v>2.9641203703703704E-2</v>
      </c>
      <c r="M13" s="353" t="s">
        <v>1545</v>
      </c>
      <c r="N13" s="354" t="s">
        <v>1546</v>
      </c>
      <c r="O13" s="353" t="s">
        <v>155</v>
      </c>
      <c r="P13" s="355">
        <v>39139</v>
      </c>
      <c r="Q13" s="354"/>
      <c r="R13" s="353" t="s">
        <v>1547</v>
      </c>
      <c r="S13" s="355">
        <v>41965</v>
      </c>
      <c r="T13" s="354"/>
      <c r="U13" s="238"/>
    </row>
    <row r="14" spans="1:21">
      <c r="A14" s="220">
        <v>8</v>
      </c>
      <c r="B14" s="88">
        <v>2.8287037037037038E-2</v>
      </c>
      <c r="C14" s="227">
        <f t="shared" si="4"/>
        <v>40.733333333333334</v>
      </c>
      <c r="D14" s="227">
        <f>E$4/E14</f>
        <v>39.00709219858156</v>
      </c>
      <c r="E14" s="232">
        <f t="shared" si="1"/>
        <v>0.67679999999999996</v>
      </c>
      <c r="F14" s="227">
        <v>34.828496042216358</v>
      </c>
      <c r="G14" s="227">
        <v>40.733333333333334</v>
      </c>
      <c r="H14" s="233"/>
      <c r="I14" s="1">
        <v>8</v>
      </c>
      <c r="J14" s="328">
        <f t="shared" si="2"/>
        <v>85.503672771398584</v>
      </c>
      <c r="K14" s="149">
        <f t="shared" si="3"/>
        <v>95.762092140543928</v>
      </c>
      <c r="L14" s="352">
        <v>2.8287037037037038E-2</v>
      </c>
      <c r="M14" s="353" t="s">
        <v>1545</v>
      </c>
      <c r="N14" s="354" t="s">
        <v>1546</v>
      </c>
      <c r="O14" s="353" t="s">
        <v>155</v>
      </c>
      <c r="P14" s="355">
        <v>39139</v>
      </c>
      <c r="Q14" s="354"/>
      <c r="R14" s="353" t="s">
        <v>1547</v>
      </c>
      <c r="S14" s="355">
        <v>42329</v>
      </c>
      <c r="T14" s="354"/>
      <c r="U14" s="238"/>
    </row>
    <row r="15" spans="1:21">
      <c r="A15" s="220">
        <v>9</v>
      </c>
      <c r="B15" s="88">
        <v>2.675925925925926E-2</v>
      </c>
      <c r="C15" s="227">
        <f t="shared" si="4"/>
        <v>38.533333333333331</v>
      </c>
      <c r="D15" s="227">
        <f t="shared" si="0"/>
        <v>36.398731559354751</v>
      </c>
      <c r="E15" s="232">
        <f t="shared" si="1"/>
        <v>0.72529999999999994</v>
      </c>
      <c r="F15" s="227">
        <v>32.999999999999993</v>
      </c>
      <c r="G15" s="227">
        <v>38.533333333333331</v>
      </c>
      <c r="H15" s="233"/>
      <c r="I15" s="1">
        <v>9</v>
      </c>
      <c r="J15" s="328">
        <f t="shared" si="2"/>
        <v>85.640138408304495</v>
      </c>
      <c r="K15" s="149">
        <f t="shared" si="3"/>
        <v>94.460376019086723</v>
      </c>
      <c r="L15" s="352">
        <v>2.675925925925926E-2</v>
      </c>
      <c r="M15" s="353" t="s">
        <v>1548</v>
      </c>
      <c r="N15" s="354" t="s">
        <v>1549</v>
      </c>
      <c r="O15" s="353" t="s">
        <v>155</v>
      </c>
      <c r="P15" s="355">
        <v>26414</v>
      </c>
      <c r="Q15" s="354"/>
      <c r="R15" s="353" t="s">
        <v>289</v>
      </c>
      <c r="S15" s="355">
        <v>30016</v>
      </c>
      <c r="T15" s="354"/>
      <c r="U15" s="238"/>
    </row>
    <row r="16" spans="1:21">
      <c r="A16" s="220">
        <v>10</v>
      </c>
      <c r="B16" s="88">
        <v>2.5902777777777778E-2</v>
      </c>
      <c r="C16" s="227">
        <f t="shared" si="4"/>
        <v>37.299999999999997</v>
      </c>
      <c r="D16" s="227">
        <f t="shared" si="0"/>
        <v>34.294621979734991</v>
      </c>
      <c r="E16" s="232">
        <f t="shared" si="1"/>
        <v>0.76980000000000004</v>
      </c>
      <c r="F16" s="227">
        <v>31.503579952267302</v>
      </c>
      <c r="G16" s="227">
        <v>37.299999999999997</v>
      </c>
      <c r="H16" s="233"/>
      <c r="I16" s="1">
        <v>10</v>
      </c>
      <c r="J16" s="328">
        <f t="shared" si="2"/>
        <v>84.459999872030309</v>
      </c>
      <c r="K16" s="149">
        <f t="shared" si="3"/>
        <v>91.942686272747977</v>
      </c>
      <c r="L16" s="352">
        <v>2.5902777777777778E-2</v>
      </c>
      <c r="M16" s="353" t="s">
        <v>1550</v>
      </c>
      <c r="N16" s="354" t="s">
        <v>1551</v>
      </c>
      <c r="O16" s="353" t="s">
        <v>155</v>
      </c>
      <c r="P16" s="355">
        <v>36319</v>
      </c>
      <c r="Q16" s="354"/>
      <c r="R16" s="353" t="s">
        <v>1552</v>
      </c>
      <c r="S16" s="355">
        <v>40314</v>
      </c>
      <c r="T16" s="354"/>
      <c r="U16" s="238"/>
    </row>
    <row r="17" spans="1:21">
      <c r="A17" s="220">
        <v>11</v>
      </c>
      <c r="B17" s="88">
        <v>2.6215277777777778E-2</v>
      </c>
      <c r="C17" s="227">
        <f t="shared" si="4"/>
        <v>37.75</v>
      </c>
      <c r="D17" s="227">
        <f t="shared" si="0"/>
        <v>32.580525731210663</v>
      </c>
      <c r="E17" s="232">
        <f t="shared" si="1"/>
        <v>0.81030000000000002</v>
      </c>
      <c r="F17" s="227">
        <v>30.275229357798164</v>
      </c>
      <c r="G17" s="227">
        <v>37.75</v>
      </c>
      <c r="H17" s="233"/>
      <c r="I17" s="1">
        <v>11</v>
      </c>
      <c r="J17" s="328">
        <f t="shared" si="2"/>
        <v>80.199283067015003</v>
      </c>
      <c r="K17" s="149">
        <f t="shared" si="3"/>
        <v>86.306028427048105</v>
      </c>
      <c r="L17" s="352">
        <v>2.6215277777777778E-2</v>
      </c>
      <c r="M17" s="353" t="s">
        <v>1553</v>
      </c>
      <c r="N17" s="354" t="s">
        <v>1554</v>
      </c>
      <c r="O17" s="353" t="s">
        <v>155</v>
      </c>
      <c r="P17" s="355">
        <v>38397</v>
      </c>
      <c r="Q17" s="354"/>
      <c r="R17" s="353" t="s">
        <v>1555</v>
      </c>
      <c r="S17" s="355">
        <v>42770</v>
      </c>
      <c r="T17" s="354"/>
      <c r="U17" s="238"/>
    </row>
    <row r="18" spans="1:21">
      <c r="A18" s="220">
        <v>12</v>
      </c>
      <c r="B18" s="88">
        <v>2.4699074074074075E-2</v>
      </c>
      <c r="C18" s="227">
        <f t="shared" si="4"/>
        <v>35.56666666666667</v>
      </c>
      <c r="D18" s="227">
        <f t="shared" si="0"/>
        <v>31.17619272555503</v>
      </c>
      <c r="E18" s="232">
        <f t="shared" si="1"/>
        <v>0.8468</v>
      </c>
      <c r="F18" s="227">
        <v>29.268292682926827</v>
      </c>
      <c r="G18" s="227">
        <v>35.56666666666667</v>
      </c>
      <c r="H18" s="233"/>
      <c r="I18" s="1">
        <v>12</v>
      </c>
      <c r="J18" s="328">
        <f t="shared" si="2"/>
        <v>82.291357121631179</v>
      </c>
      <c r="K18" s="149">
        <f t="shared" si="3"/>
        <v>87.655649650107861</v>
      </c>
      <c r="L18" s="352">
        <v>2.4699074074074075E-2</v>
      </c>
      <c r="M18" s="353" t="s">
        <v>1553</v>
      </c>
      <c r="N18" s="354" t="s">
        <v>1554</v>
      </c>
      <c r="O18" s="353" t="s">
        <v>155</v>
      </c>
      <c r="P18" s="355">
        <v>38397</v>
      </c>
      <c r="Q18" s="354"/>
      <c r="R18" s="353" t="s">
        <v>1556</v>
      </c>
      <c r="S18" s="355">
        <v>43057</v>
      </c>
      <c r="T18" s="354"/>
      <c r="U18" s="238"/>
    </row>
    <row r="19" spans="1:21">
      <c r="A19" s="220">
        <v>13</v>
      </c>
      <c r="B19" s="88"/>
      <c r="C19" s="227">
        <f t="shared" si="4"/>
        <v>0</v>
      </c>
      <c r="D19" s="227">
        <f t="shared" si="0"/>
        <v>30.023882633913338</v>
      </c>
      <c r="E19" s="232">
        <f t="shared" si="1"/>
        <v>0.87929999999999997</v>
      </c>
      <c r="F19" s="227">
        <v>28.448275862068964</v>
      </c>
      <c r="G19" s="227"/>
      <c r="H19" s="233"/>
      <c r="I19" s="1">
        <v>13</v>
      </c>
      <c r="J19" s="328"/>
      <c r="K19" s="149"/>
      <c r="L19" s="352"/>
      <c r="M19" s="353"/>
      <c r="N19" s="354"/>
      <c r="O19" s="353"/>
      <c r="P19" s="355"/>
      <c r="Q19" s="354"/>
      <c r="R19" s="353"/>
      <c r="S19" s="355"/>
      <c r="T19" s="354"/>
      <c r="U19" s="238"/>
    </row>
    <row r="20" spans="1:21" ht="15.75">
      <c r="A20" s="220">
        <v>14</v>
      </c>
      <c r="B20" s="88">
        <v>2.0324074074074074E-2</v>
      </c>
      <c r="C20" s="227">
        <f t="shared" si="4"/>
        <v>29.266666666666666</v>
      </c>
      <c r="D20" s="227">
        <f t="shared" si="0"/>
        <v>29.081295439524123</v>
      </c>
      <c r="E20" s="232">
        <f t="shared" si="1"/>
        <v>0.90780000000000005</v>
      </c>
      <c r="F20" s="227">
        <v>27.789473684210527</v>
      </c>
      <c r="G20" s="227">
        <v>29.266666666666666</v>
      </c>
      <c r="H20" s="233"/>
      <c r="I20" s="1">
        <v>14</v>
      </c>
      <c r="J20" s="328">
        <f t="shared" ref="J20:J83" si="5">100*(+F20/+C20)</f>
        <v>94.952643567917534</v>
      </c>
      <c r="K20" s="149">
        <f t="shared" ref="K20:K83" si="6">100*(+D20/+C20)</f>
        <v>99.366613119102936</v>
      </c>
      <c r="L20" s="356">
        <v>2.0324074074074074E-2</v>
      </c>
      <c r="M20" s="357" t="s">
        <v>1557</v>
      </c>
      <c r="N20" s="358" t="s">
        <v>1558</v>
      </c>
      <c r="O20" s="357" t="s">
        <v>738</v>
      </c>
      <c r="P20" s="359">
        <v>31744</v>
      </c>
      <c r="Q20" s="358"/>
      <c r="R20" s="357" t="s">
        <v>1559</v>
      </c>
      <c r="S20" s="359">
        <v>37094</v>
      </c>
      <c r="T20" s="358"/>
      <c r="U20" s="238"/>
    </row>
    <row r="21" spans="1:21" ht="15.75">
      <c r="A21" s="220">
        <v>15</v>
      </c>
      <c r="B21" s="88">
        <v>1.9884259259259258E-2</v>
      </c>
      <c r="C21" s="227">
        <f t="shared" si="4"/>
        <v>28.633333333333333</v>
      </c>
      <c r="D21" s="227">
        <f>E$4/E21</f>
        <v>28.317065322321138</v>
      </c>
      <c r="E21" s="232">
        <f t="shared" si="1"/>
        <v>0.93230000000000002</v>
      </c>
      <c r="F21" s="227">
        <v>27.272727272727273</v>
      </c>
      <c r="G21" s="227">
        <v>28.633333333333333</v>
      </c>
      <c r="H21" s="233"/>
      <c r="I21" s="1">
        <v>15</v>
      </c>
      <c r="J21" s="328">
        <f t="shared" si="5"/>
        <v>95.248174409990483</v>
      </c>
      <c r="K21" s="149">
        <f t="shared" si="6"/>
        <v>98.895455141983021</v>
      </c>
      <c r="L21" s="356">
        <v>1.9884259259259258E-2</v>
      </c>
      <c r="M21" s="357" t="s">
        <v>1560</v>
      </c>
      <c r="N21" s="358" t="s">
        <v>1561</v>
      </c>
      <c r="O21" s="357" t="s">
        <v>163</v>
      </c>
      <c r="P21" s="359">
        <v>34720</v>
      </c>
      <c r="Q21" s="358"/>
      <c r="R21" s="357" t="s">
        <v>1562</v>
      </c>
      <c r="S21" s="359">
        <v>40543</v>
      </c>
      <c r="T21" s="358"/>
      <c r="U21" s="238"/>
    </row>
    <row r="22" spans="1:21" ht="15.75">
      <c r="A22" s="220">
        <v>16</v>
      </c>
      <c r="B22" s="88">
        <v>1.9502314814814816E-2</v>
      </c>
      <c r="C22" s="227">
        <f t="shared" si="4"/>
        <v>28.083333333333336</v>
      </c>
      <c r="D22" s="227">
        <f t="shared" si="0"/>
        <v>27.707808564231737</v>
      </c>
      <c r="E22" s="232">
        <f t="shared" si="1"/>
        <v>0.95279999999999998</v>
      </c>
      <c r="F22" s="227">
        <v>26.883910386965375</v>
      </c>
      <c r="G22" s="227">
        <v>28.083333333333336</v>
      </c>
      <c r="H22" s="233"/>
      <c r="I22" s="1">
        <v>16</v>
      </c>
      <c r="J22" s="328">
        <f t="shared" si="5"/>
        <v>95.729057757740193</v>
      </c>
      <c r="K22" s="149">
        <f t="shared" si="6"/>
        <v>98.662819813288067</v>
      </c>
      <c r="L22" s="356">
        <v>1.9502314814814816E-2</v>
      </c>
      <c r="M22" s="357" t="s">
        <v>1563</v>
      </c>
      <c r="N22" s="358" t="s">
        <v>1564</v>
      </c>
      <c r="O22" s="357" t="s">
        <v>163</v>
      </c>
      <c r="P22" s="359">
        <v>36130</v>
      </c>
      <c r="Q22" s="358"/>
      <c r="R22" s="357" t="s">
        <v>261</v>
      </c>
      <c r="S22" s="359">
        <v>42288</v>
      </c>
      <c r="T22" s="358"/>
      <c r="U22" s="238"/>
    </row>
    <row r="23" spans="1:21" ht="15.75">
      <c r="A23" s="220">
        <v>17</v>
      </c>
      <c r="B23" s="88">
        <v>1.9398148148148147E-2</v>
      </c>
      <c r="C23" s="227">
        <f t="shared" si="4"/>
        <v>27.93333333333333</v>
      </c>
      <c r="D23" s="227">
        <f t="shared" si="0"/>
        <v>27.236149798823892</v>
      </c>
      <c r="E23" s="232">
        <f t="shared" si="1"/>
        <v>0.96930000000000005</v>
      </c>
      <c r="F23" s="227">
        <v>26.612903225806452</v>
      </c>
      <c r="G23" s="227">
        <v>27.93333333333333</v>
      </c>
      <c r="H23" s="233"/>
      <c r="I23" s="1">
        <v>17</v>
      </c>
      <c r="J23" s="328">
        <f t="shared" si="5"/>
        <v>95.272923242743872</v>
      </c>
      <c r="K23" s="149">
        <f t="shared" si="6"/>
        <v>97.504116224906539</v>
      </c>
      <c r="L23" s="356">
        <v>1.9398148148148147E-2</v>
      </c>
      <c r="M23" s="357" t="s">
        <v>1565</v>
      </c>
      <c r="N23" s="358" t="s">
        <v>1566</v>
      </c>
      <c r="O23" s="357" t="s">
        <v>160</v>
      </c>
      <c r="P23" s="359">
        <v>33966</v>
      </c>
      <c r="Q23" s="358"/>
      <c r="R23" s="357" t="s">
        <v>1567</v>
      </c>
      <c r="S23" s="359">
        <v>40355</v>
      </c>
      <c r="T23" s="358"/>
      <c r="U23" s="238"/>
    </row>
    <row r="24" spans="1:21" ht="15.75">
      <c r="A24" s="220">
        <v>18</v>
      </c>
      <c r="B24" s="88">
        <v>1.923611111111111E-2</v>
      </c>
      <c r="C24" s="227">
        <f t="shared" si="4"/>
        <v>27.7</v>
      </c>
      <c r="D24" s="227">
        <f t="shared" si="0"/>
        <v>26.889386840497046</v>
      </c>
      <c r="E24" s="232">
        <f t="shared" si="1"/>
        <v>0.98180000000000001</v>
      </c>
      <c r="F24" s="227">
        <v>26.452905811623246</v>
      </c>
      <c r="G24" s="227">
        <v>27.7</v>
      </c>
      <c r="H24" s="233"/>
      <c r="I24" s="1">
        <v>18</v>
      </c>
      <c r="J24" s="328">
        <f t="shared" si="5"/>
        <v>95.497854915607391</v>
      </c>
      <c r="K24" s="149">
        <f t="shared" si="6"/>
        <v>97.073598702155408</v>
      </c>
      <c r="L24" s="356">
        <v>1.923611111111111E-2</v>
      </c>
      <c r="M24" s="357" t="s">
        <v>1568</v>
      </c>
      <c r="N24" s="358" t="s">
        <v>1569</v>
      </c>
      <c r="O24" s="357" t="s">
        <v>160</v>
      </c>
      <c r="P24" s="359">
        <v>31504</v>
      </c>
      <c r="Q24" s="358"/>
      <c r="R24" s="357" t="s">
        <v>264</v>
      </c>
      <c r="S24" s="359">
        <v>38249</v>
      </c>
      <c r="T24" s="358"/>
      <c r="U24" s="238"/>
    </row>
    <row r="25" spans="1:21" ht="15.75">
      <c r="A25" s="220">
        <v>19</v>
      </c>
      <c r="B25" s="88">
        <v>1.8703703703703705E-2</v>
      </c>
      <c r="C25" s="227">
        <f t="shared" si="4"/>
        <v>26.933333333333334</v>
      </c>
      <c r="D25" s="227">
        <f t="shared" si="0"/>
        <v>26.658588306573765</v>
      </c>
      <c r="E25" s="232">
        <f t="shared" si="1"/>
        <v>0.99029999999999996</v>
      </c>
      <c r="F25" s="227">
        <v>26.4</v>
      </c>
      <c r="G25" s="227">
        <v>27.183333333333334</v>
      </c>
      <c r="H25" s="233"/>
      <c r="I25" s="1">
        <v>19</v>
      </c>
      <c r="J25" s="328">
        <f t="shared" si="5"/>
        <v>98.019801980198025</v>
      </c>
      <c r="K25" s="149">
        <f t="shared" si="6"/>
        <v>98.979907078862993</v>
      </c>
      <c r="L25" s="356">
        <v>1.8703703703703705E-2</v>
      </c>
      <c r="M25" s="358" t="s">
        <v>1570</v>
      </c>
      <c r="N25" s="358" t="s">
        <v>1571</v>
      </c>
      <c r="O25" s="357" t="s">
        <v>163</v>
      </c>
      <c r="P25" s="359">
        <v>37276</v>
      </c>
      <c r="Q25" s="360" t="s">
        <v>388</v>
      </c>
      <c r="R25" s="361" t="s">
        <v>389</v>
      </c>
      <c r="S25" s="362">
        <v>44451</v>
      </c>
      <c r="T25" s="358"/>
      <c r="U25" s="238"/>
    </row>
    <row r="26" spans="1:21" ht="15" customHeight="1">
      <c r="A26" s="220">
        <v>20</v>
      </c>
      <c r="B26" s="88">
        <v>1.8333333333333333E-2</v>
      </c>
      <c r="C26" s="227">
        <f t="shared" si="4"/>
        <v>26.4</v>
      </c>
      <c r="D26" s="227">
        <f t="shared" si="0"/>
        <v>26.484751203852326</v>
      </c>
      <c r="E26" s="232">
        <f t="shared" si="1"/>
        <v>0.99680000000000002</v>
      </c>
      <c r="F26" s="227">
        <v>26.4</v>
      </c>
      <c r="G26" s="227">
        <v>27.400000000000002</v>
      </c>
      <c r="H26" s="233"/>
      <c r="I26" s="1">
        <v>20</v>
      </c>
      <c r="J26" s="328">
        <f t="shared" si="5"/>
        <v>100</v>
      </c>
      <c r="K26" s="149">
        <f t="shared" si="6"/>
        <v>100.32102728731942</v>
      </c>
      <c r="L26" s="88">
        <v>1.8333333333333333E-2</v>
      </c>
      <c r="M26" s="363" t="s">
        <v>1572</v>
      </c>
      <c r="N26" s="363" t="s">
        <v>1573</v>
      </c>
      <c r="O26" s="364" t="s">
        <v>160</v>
      </c>
      <c r="P26" s="365">
        <v>36445</v>
      </c>
      <c r="Q26" s="366"/>
      <c r="R26" s="363" t="s">
        <v>1574</v>
      </c>
      <c r="S26" s="365">
        <v>43842</v>
      </c>
      <c r="T26" s="367" t="s">
        <v>387</v>
      </c>
      <c r="U26" s="238"/>
    </row>
    <row r="27" spans="1:21" ht="15.75">
      <c r="A27" s="220">
        <v>21</v>
      </c>
      <c r="B27" s="88">
        <v>1.8553240740740742E-2</v>
      </c>
      <c r="C27" s="227">
        <f t="shared" si="4"/>
        <v>26.716666666666669</v>
      </c>
      <c r="D27" s="227">
        <f t="shared" si="0"/>
        <v>26.4</v>
      </c>
      <c r="E27" s="232">
        <f t="shared" si="1"/>
        <v>1</v>
      </c>
      <c r="F27" s="227">
        <v>26.4</v>
      </c>
      <c r="G27" s="227">
        <v>27.166666666666668</v>
      </c>
      <c r="H27" s="233"/>
      <c r="I27" s="1">
        <v>21</v>
      </c>
      <c r="J27" s="328">
        <f t="shared" si="5"/>
        <v>98.814722395508412</v>
      </c>
      <c r="K27" s="149">
        <f t="shared" si="6"/>
        <v>98.814722395508412</v>
      </c>
      <c r="L27" s="356">
        <v>1.8553240740740742E-2</v>
      </c>
      <c r="M27" s="368" t="s">
        <v>1572</v>
      </c>
      <c r="N27" s="368" t="s">
        <v>1573</v>
      </c>
      <c r="O27" s="357" t="s">
        <v>160</v>
      </c>
      <c r="P27" s="359">
        <v>36445</v>
      </c>
      <c r="Q27" s="360" t="s">
        <v>388</v>
      </c>
      <c r="R27" s="361" t="s">
        <v>389</v>
      </c>
      <c r="S27" s="362">
        <v>44451</v>
      </c>
      <c r="T27" s="369"/>
      <c r="U27" s="238"/>
    </row>
    <row r="28" spans="1:21" ht="15.75">
      <c r="A28" s="220">
        <v>22</v>
      </c>
      <c r="B28" s="88">
        <v>1.8564814814814815E-2</v>
      </c>
      <c r="C28" s="227">
        <f t="shared" si="4"/>
        <v>26.733333333333334</v>
      </c>
      <c r="D28" s="227">
        <f t="shared" si="0"/>
        <v>26.4</v>
      </c>
      <c r="E28" s="232">
        <f t="shared" si="1"/>
        <v>1</v>
      </c>
      <c r="F28" s="227">
        <v>26.4</v>
      </c>
      <c r="G28" s="227">
        <v>26.733333333333334</v>
      </c>
      <c r="H28" s="233"/>
      <c r="I28" s="1">
        <v>22</v>
      </c>
      <c r="J28" s="328">
        <f t="shared" si="5"/>
        <v>98.753117206982537</v>
      </c>
      <c r="K28" s="149">
        <f t="shared" si="6"/>
        <v>98.753117206982537</v>
      </c>
      <c r="L28" s="356">
        <v>1.8564814814814815E-2</v>
      </c>
      <c r="M28" s="357" t="s">
        <v>1575</v>
      </c>
      <c r="N28" s="358" t="s">
        <v>1576</v>
      </c>
      <c r="O28" s="357" t="s">
        <v>160</v>
      </c>
      <c r="P28" s="359">
        <v>32152</v>
      </c>
      <c r="Q28" s="358"/>
      <c r="R28" s="357" t="s">
        <v>259</v>
      </c>
      <c r="S28" s="359">
        <v>40447</v>
      </c>
      <c r="T28" s="369"/>
      <c r="U28" s="240" t="s">
        <v>387</v>
      </c>
    </row>
    <row r="29" spans="1:21" ht="18" customHeight="1">
      <c r="A29" s="220">
        <v>23</v>
      </c>
      <c r="B29" s="88">
        <v>1.849537037037037E-2</v>
      </c>
      <c r="C29" s="227">
        <f t="shared" si="4"/>
        <v>26.633333333333333</v>
      </c>
      <c r="D29" s="227">
        <f t="shared" si="0"/>
        <v>26.4</v>
      </c>
      <c r="E29" s="232">
        <f t="shared" si="1"/>
        <v>1</v>
      </c>
      <c r="F29" s="227">
        <v>26.4</v>
      </c>
      <c r="G29" s="227">
        <v>26.633333333333333</v>
      </c>
      <c r="H29" s="233"/>
      <c r="I29" s="1">
        <v>23</v>
      </c>
      <c r="J29" s="328">
        <f t="shared" si="5"/>
        <v>99.123904881101382</v>
      </c>
      <c r="K29" s="149">
        <f t="shared" si="6"/>
        <v>99.123904881101382</v>
      </c>
      <c r="L29" s="88">
        <v>1.849537037037037E-2</v>
      </c>
      <c r="M29" s="375" t="s">
        <v>1433</v>
      </c>
      <c r="N29" s="375" t="s">
        <v>1434</v>
      </c>
      <c r="O29" s="357" t="s">
        <v>1435</v>
      </c>
      <c r="P29" s="359">
        <v>35320</v>
      </c>
      <c r="Q29" s="358"/>
      <c r="R29" s="368" t="s">
        <v>1574</v>
      </c>
      <c r="S29" s="359">
        <v>43800</v>
      </c>
      <c r="T29" s="369"/>
      <c r="U29" s="238"/>
    </row>
    <row r="30" spans="1:21" ht="15.75">
      <c r="A30" s="220">
        <v>24</v>
      </c>
      <c r="B30" s="88">
        <v>1.892361111111111E-2</v>
      </c>
      <c r="C30" s="227">
        <f t="shared" si="4"/>
        <v>27.249999999999996</v>
      </c>
      <c r="D30" s="227">
        <f t="shared" si="0"/>
        <v>26.4</v>
      </c>
      <c r="E30" s="232">
        <f t="shared" si="1"/>
        <v>1</v>
      </c>
      <c r="F30" s="227">
        <v>26.4</v>
      </c>
      <c r="G30" s="227">
        <v>27.249999999999996</v>
      </c>
      <c r="H30" s="233"/>
      <c r="I30" s="1">
        <v>24</v>
      </c>
      <c r="J30" s="328">
        <f t="shared" si="5"/>
        <v>96.88073394495413</v>
      </c>
      <c r="K30" s="149">
        <f t="shared" si="6"/>
        <v>96.88073394495413</v>
      </c>
      <c r="L30" s="356">
        <v>1.892361111111111E-2</v>
      </c>
      <c r="M30" s="357" t="s">
        <v>1577</v>
      </c>
      <c r="N30" s="358" t="s">
        <v>1578</v>
      </c>
      <c r="O30" s="357" t="s">
        <v>160</v>
      </c>
      <c r="P30" s="359">
        <v>31566</v>
      </c>
      <c r="Q30" s="358"/>
      <c r="R30" s="357" t="s">
        <v>1579</v>
      </c>
      <c r="S30" s="359">
        <v>40636</v>
      </c>
      <c r="T30" s="369"/>
      <c r="U30" s="238"/>
    </row>
    <row r="31" spans="1:21" ht="15.75">
      <c r="A31" s="220">
        <v>25</v>
      </c>
      <c r="B31" s="88">
        <v>1.8645833333333334E-2</v>
      </c>
      <c r="C31" s="227">
        <f t="shared" si="4"/>
        <v>26.85</v>
      </c>
      <c r="D31" s="227">
        <f t="shared" si="0"/>
        <v>26.4</v>
      </c>
      <c r="E31" s="232">
        <f t="shared" si="1"/>
        <v>1</v>
      </c>
      <c r="F31" s="227">
        <v>26.4</v>
      </c>
      <c r="G31" s="227">
        <v>27.400000000000002</v>
      </c>
      <c r="H31" s="233"/>
      <c r="I31" s="1">
        <v>25</v>
      </c>
      <c r="J31" s="328">
        <f t="shared" si="5"/>
        <v>98.324022346368707</v>
      </c>
      <c r="K31" s="149">
        <f t="shared" si="6"/>
        <v>98.324022346368707</v>
      </c>
      <c r="L31" s="356">
        <v>1.8645833333333334E-2</v>
      </c>
      <c r="M31" s="357" t="s">
        <v>1580</v>
      </c>
      <c r="N31" s="358" t="s">
        <v>1581</v>
      </c>
      <c r="O31" s="357" t="s">
        <v>160</v>
      </c>
      <c r="P31" s="359">
        <v>35236</v>
      </c>
      <c r="Q31" s="360" t="s">
        <v>390</v>
      </c>
      <c r="R31" s="361" t="s">
        <v>391</v>
      </c>
      <c r="S31" s="359">
        <v>44472</v>
      </c>
      <c r="T31" s="369"/>
      <c r="U31" s="238"/>
    </row>
    <row r="32" spans="1:21" ht="15.75">
      <c r="A32" s="220">
        <v>26</v>
      </c>
      <c r="B32" s="88">
        <v>1.9074074074074073E-2</v>
      </c>
      <c r="C32" s="227">
        <f t="shared" si="4"/>
        <v>27.466666666666665</v>
      </c>
      <c r="D32" s="227">
        <f t="shared" si="0"/>
        <v>26.4</v>
      </c>
      <c r="E32" s="232">
        <f t="shared" si="1"/>
        <v>1</v>
      </c>
      <c r="F32" s="227">
        <v>26.4</v>
      </c>
      <c r="G32" s="227">
        <v>27.466666666666665</v>
      </c>
      <c r="H32" s="233"/>
      <c r="I32" s="1">
        <v>26</v>
      </c>
      <c r="J32" s="328">
        <f t="shared" si="5"/>
        <v>96.116504854368941</v>
      </c>
      <c r="K32" s="149">
        <f t="shared" si="6"/>
        <v>96.116504854368941</v>
      </c>
      <c r="L32" s="356">
        <v>1.9074074074074073E-2</v>
      </c>
      <c r="M32" s="357" t="s">
        <v>1582</v>
      </c>
      <c r="N32" s="358" t="s">
        <v>1583</v>
      </c>
      <c r="O32" s="357" t="s">
        <v>338</v>
      </c>
      <c r="P32" s="359">
        <v>32826</v>
      </c>
      <c r="Q32" s="358"/>
      <c r="R32" s="357" t="s">
        <v>261</v>
      </c>
      <c r="S32" s="359">
        <v>42652</v>
      </c>
      <c r="T32" s="369"/>
      <c r="U32" s="238"/>
    </row>
    <row r="33" spans="1:21" ht="15.75">
      <c r="A33" s="220">
        <v>27</v>
      </c>
      <c r="B33" s="88">
        <v>1.9201388888888889E-2</v>
      </c>
      <c r="C33" s="227">
        <f t="shared" si="4"/>
        <v>27.650000000000002</v>
      </c>
      <c r="D33" s="227">
        <f t="shared" si="0"/>
        <v>26.4</v>
      </c>
      <c r="E33" s="232">
        <f t="shared" ref="E33:E64" si="7">ROUND(1-IF(A33&lt;I$3,0,IF(A33&lt;I$4,G$3*(A33-I$3)^2,G$2+G$4*(A33-I$4)+(A33&gt;I$5)*G$5*(A33-I$5)^2)),4)</f>
        <v>1</v>
      </c>
      <c r="F33" s="227">
        <v>26.4</v>
      </c>
      <c r="G33" s="227">
        <v>27.650000000000002</v>
      </c>
      <c r="H33" s="233"/>
      <c r="I33" s="1">
        <v>27</v>
      </c>
      <c r="J33" s="328">
        <f t="shared" si="5"/>
        <v>95.479204339963815</v>
      </c>
      <c r="K33" s="149">
        <f t="shared" si="6"/>
        <v>95.479204339963815</v>
      </c>
      <c r="L33" s="356">
        <v>1.9201388888888889E-2</v>
      </c>
      <c r="M33" s="357" t="s">
        <v>1516</v>
      </c>
      <c r="N33" s="358" t="s">
        <v>1584</v>
      </c>
      <c r="O33" s="357" t="s">
        <v>160</v>
      </c>
      <c r="P33" s="359">
        <v>29866</v>
      </c>
      <c r="Q33" s="358"/>
      <c r="R33" s="357" t="s">
        <v>1585</v>
      </c>
      <c r="S33" s="359">
        <v>40009</v>
      </c>
      <c r="T33" s="369"/>
      <c r="U33" s="238"/>
    </row>
    <row r="34" spans="1:21" ht="15.75">
      <c r="A34" s="220">
        <v>28</v>
      </c>
      <c r="B34" s="88">
        <v>1.9027777777777779E-2</v>
      </c>
      <c r="C34" s="227">
        <f t="shared" si="4"/>
        <v>27.400000000000002</v>
      </c>
      <c r="D34" s="227">
        <f t="shared" si="0"/>
        <v>26.405281056211241</v>
      </c>
      <c r="E34" s="232">
        <f t="shared" si="7"/>
        <v>0.99980000000000002</v>
      </c>
      <c r="F34" s="227">
        <v>26.4</v>
      </c>
      <c r="G34" s="227">
        <v>27.400000000000002</v>
      </c>
      <c r="H34" s="233"/>
      <c r="I34" s="1">
        <v>28</v>
      </c>
      <c r="J34" s="328">
        <f t="shared" si="5"/>
        <v>96.350364963503637</v>
      </c>
      <c r="K34" s="149">
        <f t="shared" si="6"/>
        <v>96.369638891281895</v>
      </c>
      <c r="L34" s="356">
        <v>1.9027777777777779E-2</v>
      </c>
      <c r="M34" s="357" t="s">
        <v>1586</v>
      </c>
      <c r="N34" s="358" t="s">
        <v>1587</v>
      </c>
      <c r="O34" s="357" t="s">
        <v>163</v>
      </c>
      <c r="P34" s="359">
        <v>29520</v>
      </c>
      <c r="Q34" s="358"/>
      <c r="R34" s="357" t="s">
        <v>273</v>
      </c>
      <c r="S34" s="359">
        <v>39956</v>
      </c>
      <c r="T34" s="369"/>
      <c r="U34" s="238"/>
    </row>
    <row r="35" spans="1:21" ht="15.75">
      <c r="A35" s="220">
        <v>29</v>
      </c>
      <c r="B35" s="88">
        <v>1.8969907407407408E-2</v>
      </c>
      <c r="C35" s="227">
        <f t="shared" si="4"/>
        <v>27.316666666666666</v>
      </c>
      <c r="D35" s="227">
        <f t="shared" si="0"/>
        <v>26.426426426426424</v>
      </c>
      <c r="E35" s="232">
        <f t="shared" si="7"/>
        <v>0.999</v>
      </c>
      <c r="F35" s="227">
        <v>26.4</v>
      </c>
      <c r="G35" s="227">
        <v>27.316666666666666</v>
      </c>
      <c r="H35" s="233"/>
      <c r="I35" s="1">
        <v>29</v>
      </c>
      <c r="J35" s="328">
        <f t="shared" si="5"/>
        <v>96.644295302013418</v>
      </c>
      <c r="K35" s="149">
        <f t="shared" si="6"/>
        <v>96.741036338351776</v>
      </c>
      <c r="L35" s="356">
        <v>1.8969907407407408E-2</v>
      </c>
      <c r="M35" s="357" t="s">
        <v>1516</v>
      </c>
      <c r="N35" s="358" t="s">
        <v>1584</v>
      </c>
      <c r="O35" s="357" t="s">
        <v>160</v>
      </c>
      <c r="P35" s="359">
        <v>29866</v>
      </c>
      <c r="Q35" s="358"/>
      <c r="R35" s="357" t="s">
        <v>170</v>
      </c>
      <c r="S35" s="359">
        <v>40720</v>
      </c>
      <c r="T35" s="369"/>
      <c r="U35" s="238"/>
    </row>
    <row r="36" spans="1:21" ht="15.75">
      <c r="A36" s="220">
        <v>30</v>
      </c>
      <c r="B36" s="88">
        <v>1.8796296296296297E-2</v>
      </c>
      <c r="C36" s="227">
        <f t="shared" si="4"/>
        <v>27.066666666666666</v>
      </c>
      <c r="D36" s="227">
        <f t="shared" si="0"/>
        <v>26.458208057726999</v>
      </c>
      <c r="E36" s="232">
        <f t="shared" si="7"/>
        <v>0.99780000000000002</v>
      </c>
      <c r="F36" s="227">
        <v>26.4</v>
      </c>
      <c r="G36" s="227">
        <v>27.066666666666666</v>
      </c>
      <c r="H36" s="233"/>
      <c r="I36" s="1">
        <v>30</v>
      </c>
      <c r="J36" s="328">
        <f t="shared" si="5"/>
        <v>97.536945812807872</v>
      </c>
      <c r="K36" s="149">
        <f t="shared" si="6"/>
        <v>97.752000213277086</v>
      </c>
      <c r="L36" s="356">
        <v>1.8796296296296297E-2</v>
      </c>
      <c r="M36" s="357" t="s">
        <v>1588</v>
      </c>
      <c r="N36" s="358" t="s">
        <v>1589</v>
      </c>
      <c r="O36" s="357" t="s">
        <v>160</v>
      </c>
      <c r="P36" s="359">
        <v>29087</v>
      </c>
      <c r="Q36" s="358"/>
      <c r="R36" s="357" t="s">
        <v>326</v>
      </c>
      <c r="S36" s="359">
        <v>40286</v>
      </c>
      <c r="T36" s="369"/>
      <c r="U36" s="238"/>
    </row>
    <row r="37" spans="1:21" ht="15.75">
      <c r="A37" s="220">
        <v>31</v>
      </c>
      <c r="B37" s="88">
        <v>1.9074074074074073E-2</v>
      </c>
      <c r="C37" s="227">
        <f t="shared" si="4"/>
        <v>27.466666666666665</v>
      </c>
      <c r="D37" s="227">
        <f t="shared" si="0"/>
        <v>26.506024096385541</v>
      </c>
      <c r="E37" s="232">
        <f t="shared" si="7"/>
        <v>0.996</v>
      </c>
      <c r="F37" s="227">
        <v>26.409615151147261</v>
      </c>
      <c r="G37" s="227">
        <v>27.466666666666665</v>
      </c>
      <c r="H37" s="233"/>
      <c r="I37" s="1">
        <v>31</v>
      </c>
      <c r="J37" s="328">
        <f t="shared" si="5"/>
        <v>96.151511472623525</v>
      </c>
      <c r="K37" s="149">
        <f t="shared" si="6"/>
        <v>96.502514914025042</v>
      </c>
      <c r="L37" s="356">
        <v>1.9074074074074073E-2</v>
      </c>
      <c r="M37" s="357" t="s">
        <v>1516</v>
      </c>
      <c r="N37" s="358" t="s">
        <v>1590</v>
      </c>
      <c r="O37" s="357" t="s">
        <v>160</v>
      </c>
      <c r="P37" s="359">
        <v>30284</v>
      </c>
      <c r="Q37" s="358"/>
      <c r="R37" s="357" t="s">
        <v>264</v>
      </c>
      <c r="S37" s="359">
        <v>41888</v>
      </c>
      <c r="T37" s="369"/>
      <c r="U37" s="238"/>
    </row>
    <row r="38" spans="1:21" ht="15.75">
      <c r="A38" s="220">
        <v>32</v>
      </c>
      <c r="B38" s="88">
        <v>1.8854166666666668E-2</v>
      </c>
      <c r="C38" s="227">
        <f t="shared" si="4"/>
        <v>27.150000000000002</v>
      </c>
      <c r="D38" s="227">
        <f t="shared" si="0"/>
        <v>26.564701147112093</v>
      </c>
      <c r="E38" s="232">
        <f t="shared" si="7"/>
        <v>0.99380000000000002</v>
      </c>
      <c r="F38" s="227">
        <v>26.438502673796791</v>
      </c>
      <c r="G38" s="227">
        <v>27.15</v>
      </c>
      <c r="H38" s="233"/>
      <c r="I38" s="1">
        <v>32</v>
      </c>
      <c r="J38" s="328">
        <f t="shared" si="5"/>
        <v>97.379383697225734</v>
      </c>
      <c r="K38" s="149">
        <f t="shared" si="6"/>
        <v>97.844203120118195</v>
      </c>
      <c r="L38" s="356">
        <v>1.8854166666666668E-2</v>
      </c>
      <c r="M38" s="357" t="s">
        <v>1469</v>
      </c>
      <c r="N38" s="358" t="s">
        <v>1591</v>
      </c>
      <c r="O38" s="357" t="s">
        <v>160</v>
      </c>
      <c r="P38" s="359">
        <v>28071</v>
      </c>
      <c r="Q38" s="358"/>
      <c r="R38" s="357" t="s">
        <v>271</v>
      </c>
      <c r="S38" s="359">
        <v>40062</v>
      </c>
      <c r="T38" s="369"/>
      <c r="U38" s="238"/>
    </row>
    <row r="39" spans="1:21" ht="15.75">
      <c r="A39" s="220">
        <v>33</v>
      </c>
      <c r="B39" s="88">
        <v>1.9212962962962963E-2</v>
      </c>
      <c r="C39" s="227">
        <f t="shared" si="4"/>
        <v>27.666666666666668</v>
      </c>
      <c r="D39" s="227">
        <f t="shared" si="0"/>
        <v>26.639757820383451</v>
      </c>
      <c r="E39" s="232">
        <f t="shared" si="7"/>
        <v>0.99099999999999999</v>
      </c>
      <c r="F39" s="227">
        <v>26.486789236576158</v>
      </c>
      <c r="G39" s="227">
        <v>27.666666666666668</v>
      </c>
      <c r="H39" s="233"/>
      <c r="I39" s="1">
        <v>33</v>
      </c>
      <c r="J39" s="328">
        <f t="shared" si="5"/>
        <v>95.735382782805388</v>
      </c>
      <c r="K39" s="149">
        <f t="shared" si="6"/>
        <v>96.288281278494409</v>
      </c>
      <c r="L39" s="356">
        <v>1.9212962962962963E-2</v>
      </c>
      <c r="M39" s="357" t="s">
        <v>1450</v>
      </c>
      <c r="N39" s="358" t="s">
        <v>1592</v>
      </c>
      <c r="O39" s="357" t="s">
        <v>160</v>
      </c>
      <c r="P39" s="359">
        <v>25314</v>
      </c>
      <c r="Q39" s="358"/>
      <c r="R39" s="357" t="s">
        <v>1579</v>
      </c>
      <c r="S39" s="359">
        <v>37717</v>
      </c>
      <c r="T39" s="369"/>
      <c r="U39" s="238"/>
    </row>
    <row r="40" spans="1:21" ht="15.75">
      <c r="A40" s="220">
        <v>34</v>
      </c>
      <c r="B40" s="88">
        <v>1.9270833333333334E-2</v>
      </c>
      <c r="C40" s="227">
        <f t="shared" si="4"/>
        <v>27.75</v>
      </c>
      <c r="D40" s="227">
        <f t="shared" si="0"/>
        <v>26.726057906458795</v>
      </c>
      <c r="E40" s="232">
        <f t="shared" si="7"/>
        <v>0.98780000000000001</v>
      </c>
      <c r="F40" s="227">
        <v>26.5546875</v>
      </c>
      <c r="G40" s="227">
        <v>27.75</v>
      </c>
      <c r="H40" s="233"/>
      <c r="I40" s="1">
        <v>34</v>
      </c>
      <c r="J40" s="328">
        <f t="shared" si="5"/>
        <v>95.692567567567565</v>
      </c>
      <c r="K40" s="149">
        <f t="shared" si="6"/>
        <v>96.310118581833493</v>
      </c>
      <c r="L40" s="356">
        <v>1.9270833333333334E-2</v>
      </c>
      <c r="M40" s="357" t="s">
        <v>1593</v>
      </c>
      <c r="N40" s="358" t="s">
        <v>279</v>
      </c>
      <c r="O40" s="357" t="s">
        <v>160</v>
      </c>
      <c r="P40" s="359">
        <v>29726</v>
      </c>
      <c r="Q40" s="358"/>
      <c r="R40" s="357" t="s">
        <v>264</v>
      </c>
      <c r="S40" s="359">
        <v>42252</v>
      </c>
      <c r="T40" s="369"/>
      <c r="U40" s="238"/>
    </row>
    <row r="41" spans="1:21" ht="15.75">
      <c r="A41" s="220">
        <v>35</v>
      </c>
      <c r="B41" s="88">
        <v>1.9340277777777779E-2</v>
      </c>
      <c r="C41" s="227">
        <f t="shared" si="4"/>
        <v>27.85</v>
      </c>
      <c r="D41" s="227">
        <f t="shared" si="0"/>
        <v>26.829268292682926</v>
      </c>
      <c r="E41" s="232">
        <f t="shared" si="7"/>
        <v>0.98399999999999999</v>
      </c>
      <c r="F41" s="227">
        <v>26.642498469075321</v>
      </c>
      <c r="G41" s="227">
        <v>27.85</v>
      </c>
      <c r="H41" s="233"/>
      <c r="I41" s="1">
        <v>35</v>
      </c>
      <c r="J41" s="328">
        <f t="shared" si="5"/>
        <v>95.664267393448185</v>
      </c>
      <c r="K41" s="149">
        <f t="shared" si="6"/>
        <v>96.334895126330068</v>
      </c>
      <c r="L41" s="356">
        <v>1.9340277777777779E-2</v>
      </c>
      <c r="M41" s="357" t="s">
        <v>1450</v>
      </c>
      <c r="N41" s="358" t="s">
        <v>1592</v>
      </c>
      <c r="O41" s="357" t="s">
        <v>160</v>
      </c>
      <c r="P41" s="359">
        <v>25314</v>
      </c>
      <c r="Q41" s="358"/>
      <c r="R41" s="357" t="s">
        <v>1579</v>
      </c>
      <c r="S41" s="359">
        <v>38445</v>
      </c>
      <c r="T41" s="369"/>
      <c r="U41" s="238"/>
    </row>
    <row r="42" spans="1:21" ht="15.75">
      <c r="A42" s="220">
        <v>36</v>
      </c>
      <c r="B42" s="88">
        <v>1.9201388888888889E-2</v>
      </c>
      <c r="C42" s="227">
        <f t="shared" si="4"/>
        <v>27.650000000000002</v>
      </c>
      <c r="D42" s="227">
        <f t="shared" si="0"/>
        <v>26.944274341702386</v>
      </c>
      <c r="E42" s="232">
        <f t="shared" si="7"/>
        <v>0.9798</v>
      </c>
      <c r="F42" s="227">
        <v>26.750614854894245</v>
      </c>
      <c r="G42" s="227">
        <v>27.650000000000002</v>
      </c>
      <c r="H42" s="233"/>
      <c r="I42" s="1">
        <v>36</v>
      </c>
      <c r="J42" s="328">
        <f t="shared" si="5"/>
        <v>96.747250831443921</v>
      </c>
      <c r="K42" s="149">
        <f t="shared" si="6"/>
        <v>97.447646805433578</v>
      </c>
      <c r="L42" s="356">
        <v>1.9201388888888889E-2</v>
      </c>
      <c r="M42" s="357" t="s">
        <v>1594</v>
      </c>
      <c r="N42" s="358" t="s">
        <v>1595</v>
      </c>
      <c r="O42" s="357" t="s">
        <v>163</v>
      </c>
      <c r="P42" s="359">
        <v>26772</v>
      </c>
      <c r="Q42" s="358"/>
      <c r="R42" s="357" t="s">
        <v>278</v>
      </c>
      <c r="S42" s="359">
        <v>39950</v>
      </c>
      <c r="T42" s="369"/>
      <c r="U42" s="238"/>
    </row>
    <row r="43" spans="1:21" ht="15.75">
      <c r="A43" s="220">
        <v>37</v>
      </c>
      <c r="B43" s="88">
        <v>1.9467592592592592E-2</v>
      </c>
      <c r="C43" s="227">
        <f t="shared" si="4"/>
        <v>28.033333333333331</v>
      </c>
      <c r="D43" s="227">
        <f t="shared" si="0"/>
        <v>27.076923076923077</v>
      </c>
      <c r="E43" s="232">
        <f t="shared" si="7"/>
        <v>0.97499999999999998</v>
      </c>
      <c r="F43" s="227">
        <v>26.879525515877916</v>
      </c>
      <c r="G43" s="227">
        <v>28.033333333333339</v>
      </c>
      <c r="H43" s="233"/>
      <c r="I43" s="1">
        <v>37</v>
      </c>
      <c r="J43" s="328">
        <f t="shared" si="5"/>
        <v>95.884157607174501</v>
      </c>
      <c r="K43" s="149">
        <f t="shared" si="6"/>
        <v>96.588310619226206</v>
      </c>
      <c r="L43" s="356">
        <v>1.9467592592592592E-2</v>
      </c>
      <c r="M43" s="357" t="s">
        <v>1594</v>
      </c>
      <c r="N43" s="358" t="s">
        <v>1595</v>
      </c>
      <c r="O43" s="357" t="s">
        <v>163</v>
      </c>
      <c r="P43" s="359">
        <v>26772</v>
      </c>
      <c r="Q43" s="358"/>
      <c r="R43" s="357" t="s">
        <v>278</v>
      </c>
      <c r="S43" s="359">
        <v>40314</v>
      </c>
      <c r="T43" s="369"/>
      <c r="U43" s="238"/>
    </row>
    <row r="44" spans="1:21" ht="15.75">
      <c r="A44" s="220">
        <v>38</v>
      </c>
      <c r="B44" s="88">
        <v>1.9537037037037037E-2</v>
      </c>
      <c r="C44" s="227">
        <f t="shared" si="4"/>
        <v>28.133333333333333</v>
      </c>
      <c r="D44" s="227">
        <f t="shared" si="0"/>
        <v>27.222107651062075</v>
      </c>
      <c r="E44" s="232">
        <f t="shared" si="7"/>
        <v>0.9698</v>
      </c>
      <c r="F44" s="227">
        <v>27.029821073558647</v>
      </c>
      <c r="G44" s="227">
        <v>28.133333333333333</v>
      </c>
      <c r="H44" s="233"/>
      <c r="I44" s="1">
        <v>38</v>
      </c>
      <c r="J44" s="328">
        <f t="shared" si="5"/>
        <v>96.077563057672918</v>
      </c>
      <c r="K44" s="149">
        <f t="shared" si="6"/>
        <v>96.761046153064243</v>
      </c>
      <c r="L44" s="356">
        <v>1.9537037037037037E-2</v>
      </c>
      <c r="M44" s="357" t="s">
        <v>1594</v>
      </c>
      <c r="N44" s="358" t="s">
        <v>1595</v>
      </c>
      <c r="O44" s="357" t="s">
        <v>163</v>
      </c>
      <c r="P44" s="359">
        <v>26772</v>
      </c>
      <c r="Q44" s="358"/>
      <c r="R44" s="357" t="s">
        <v>1562</v>
      </c>
      <c r="S44" s="359">
        <v>40908</v>
      </c>
      <c r="T44" s="369"/>
      <c r="U44" s="238"/>
    </row>
    <row r="45" spans="1:21" ht="15.75">
      <c r="A45" s="220">
        <v>39</v>
      </c>
      <c r="B45" s="88">
        <v>1.9201388888888889E-2</v>
      </c>
      <c r="C45" s="227">
        <f t="shared" si="4"/>
        <v>27.650000000000002</v>
      </c>
      <c r="D45" s="227">
        <f t="shared" si="0"/>
        <v>27.385892116182571</v>
      </c>
      <c r="E45" s="232">
        <f t="shared" si="7"/>
        <v>0.96399999999999997</v>
      </c>
      <c r="F45" s="227">
        <v>27.20220082530949</v>
      </c>
      <c r="G45" s="227">
        <v>27.650000000000002</v>
      </c>
      <c r="H45" s="233"/>
      <c r="I45" s="1">
        <v>39</v>
      </c>
      <c r="J45" s="328">
        <f t="shared" si="5"/>
        <v>98.380473147593079</v>
      </c>
      <c r="K45" s="149">
        <f t="shared" si="6"/>
        <v>99.044817780045463</v>
      </c>
      <c r="L45" s="356">
        <v>1.9201388888888889E-2</v>
      </c>
      <c r="M45" s="357" t="s">
        <v>1594</v>
      </c>
      <c r="N45" s="358" t="s">
        <v>1595</v>
      </c>
      <c r="O45" s="357" t="s">
        <v>163</v>
      </c>
      <c r="P45" s="359">
        <v>26772</v>
      </c>
      <c r="Q45" s="358"/>
      <c r="R45" s="357" t="s">
        <v>278</v>
      </c>
      <c r="S45" s="359">
        <v>41049</v>
      </c>
      <c r="T45" s="369"/>
      <c r="U45" s="238"/>
    </row>
    <row r="46" spans="1:21" ht="15.75">
      <c r="A46" s="220">
        <v>40</v>
      </c>
      <c r="B46" s="88">
        <v>1.9305555555555555E-2</v>
      </c>
      <c r="C46" s="227">
        <f t="shared" si="4"/>
        <v>27.8</v>
      </c>
      <c r="D46" s="227">
        <f t="shared" si="0"/>
        <v>27.563165587805386</v>
      </c>
      <c r="E46" s="232">
        <f t="shared" si="7"/>
        <v>0.95779999999999998</v>
      </c>
      <c r="F46" s="227">
        <v>27.397481108312341</v>
      </c>
      <c r="G46" s="227">
        <v>27.8</v>
      </c>
      <c r="H46" s="233"/>
      <c r="I46" s="1">
        <v>40</v>
      </c>
      <c r="J46" s="328">
        <f t="shared" si="5"/>
        <v>98.552090317670292</v>
      </c>
      <c r="K46" s="149">
        <f t="shared" si="6"/>
        <v>99.148077653976202</v>
      </c>
      <c r="L46" s="356">
        <v>1.9305555555555555E-2</v>
      </c>
      <c r="M46" s="357" t="s">
        <v>1459</v>
      </c>
      <c r="N46" s="358" t="s">
        <v>1596</v>
      </c>
      <c r="O46" s="357" t="s">
        <v>155</v>
      </c>
      <c r="P46" s="359">
        <v>27375</v>
      </c>
      <c r="Q46" s="358"/>
      <c r="R46" s="357" t="s">
        <v>278</v>
      </c>
      <c r="S46" s="359">
        <v>42134</v>
      </c>
      <c r="T46" s="369"/>
      <c r="U46" s="238"/>
    </row>
    <row r="47" spans="1:21" ht="15.75">
      <c r="A47" s="220">
        <v>41</v>
      </c>
      <c r="B47" s="88">
        <v>1.9930555555555556E-2</v>
      </c>
      <c r="C47" s="227">
        <f t="shared" si="4"/>
        <v>28.7</v>
      </c>
      <c r="D47" s="227">
        <f t="shared" si="0"/>
        <v>27.760252365930601</v>
      </c>
      <c r="E47" s="232">
        <f t="shared" si="7"/>
        <v>0.95099999999999996</v>
      </c>
      <c r="F47" s="227">
        <v>27.611452477448029</v>
      </c>
      <c r="G47" s="227">
        <v>28.7</v>
      </c>
      <c r="H47" s="233"/>
      <c r="I47" s="1">
        <v>41</v>
      </c>
      <c r="J47" s="328">
        <f t="shared" si="5"/>
        <v>96.207151489365955</v>
      </c>
      <c r="K47" s="149">
        <f t="shared" si="6"/>
        <v>96.7256179997582</v>
      </c>
      <c r="L47" s="356">
        <v>1.9930555555555556E-2</v>
      </c>
      <c r="M47" s="357" t="s">
        <v>1597</v>
      </c>
      <c r="N47" s="358" t="s">
        <v>1598</v>
      </c>
      <c r="O47" s="357" t="s">
        <v>738</v>
      </c>
      <c r="P47" s="359">
        <v>26663</v>
      </c>
      <c r="Q47" s="358"/>
      <c r="R47" s="357" t="s">
        <v>1599</v>
      </c>
      <c r="S47" s="359">
        <v>41672</v>
      </c>
      <c r="T47" s="369"/>
      <c r="U47" s="238"/>
    </row>
    <row r="48" spans="1:21" ht="15.75">
      <c r="A48" s="220">
        <v>42</v>
      </c>
      <c r="B48" s="88">
        <v>1.9594907407407408E-2</v>
      </c>
      <c r="C48" s="227">
        <f t="shared" si="4"/>
        <v>28.216666666666669</v>
      </c>
      <c r="D48" s="227">
        <f t="shared" si="0"/>
        <v>27.97202797202797</v>
      </c>
      <c r="E48" s="232">
        <f t="shared" si="7"/>
        <v>0.94379999999999997</v>
      </c>
      <c r="F48" s="227">
        <v>27.829753590723413</v>
      </c>
      <c r="G48" s="227">
        <v>28.216666666666661</v>
      </c>
      <c r="H48" s="233"/>
      <c r="I48" s="1">
        <v>42</v>
      </c>
      <c r="J48" s="328">
        <f t="shared" si="5"/>
        <v>98.628778230561409</v>
      </c>
      <c r="K48" s="149">
        <f t="shared" si="6"/>
        <v>99.132999310199537</v>
      </c>
      <c r="L48" s="356">
        <v>1.9594907407407408E-2</v>
      </c>
      <c r="M48" s="357" t="s">
        <v>1459</v>
      </c>
      <c r="N48" s="358" t="s">
        <v>1596</v>
      </c>
      <c r="O48" s="357" t="s">
        <v>155</v>
      </c>
      <c r="P48" s="359">
        <v>27375</v>
      </c>
      <c r="Q48" s="358"/>
      <c r="R48" s="357" t="s">
        <v>278</v>
      </c>
      <c r="S48" s="359">
        <v>42883</v>
      </c>
      <c r="T48" s="369"/>
      <c r="U48" s="238"/>
    </row>
    <row r="49" spans="1:21" ht="15.75">
      <c r="A49" s="220">
        <v>43</v>
      </c>
      <c r="B49" s="88">
        <v>2.013888888888889E-2</v>
      </c>
      <c r="C49" s="227">
        <f t="shared" si="4"/>
        <v>29.000000000000004</v>
      </c>
      <c r="D49" s="227">
        <f t="shared" si="0"/>
        <v>28.196090996475487</v>
      </c>
      <c r="E49" s="232">
        <f t="shared" si="7"/>
        <v>0.93630000000000002</v>
      </c>
      <c r="F49" s="227">
        <v>28.051534068269358</v>
      </c>
      <c r="G49" s="227">
        <v>29.000000000000004</v>
      </c>
      <c r="H49" s="233"/>
      <c r="I49" s="1">
        <v>43</v>
      </c>
      <c r="J49" s="328">
        <f t="shared" si="5"/>
        <v>96.729427821618458</v>
      </c>
      <c r="K49" s="149">
        <f t="shared" si="6"/>
        <v>97.227899987846499</v>
      </c>
      <c r="L49" s="356">
        <v>2.013888888888889E-2</v>
      </c>
      <c r="M49" s="357" t="s">
        <v>470</v>
      </c>
      <c r="N49" s="358" t="s">
        <v>1600</v>
      </c>
      <c r="O49" s="357" t="s">
        <v>160</v>
      </c>
      <c r="P49" s="359">
        <v>20622</v>
      </c>
      <c r="Q49" s="358"/>
      <c r="R49" s="357" t="s">
        <v>335</v>
      </c>
      <c r="S49" s="359">
        <v>36471</v>
      </c>
      <c r="T49" s="369"/>
      <c r="U49" s="245"/>
    </row>
    <row r="50" spans="1:21" ht="15.75">
      <c r="A50" s="220">
        <v>44</v>
      </c>
      <c r="B50" s="88">
        <v>2.0185185185185184E-2</v>
      </c>
      <c r="C50" s="227">
        <f t="shared" si="4"/>
        <v>29.066666666666666</v>
      </c>
      <c r="D50" s="227">
        <f t="shared" si="0"/>
        <v>28.423772609819121</v>
      </c>
      <c r="E50" s="232">
        <f t="shared" si="7"/>
        <v>0.92879999999999996</v>
      </c>
      <c r="F50" s="227">
        <v>28.276877761413843</v>
      </c>
      <c r="G50" s="227">
        <v>29.066666666666666</v>
      </c>
      <c r="H50" s="233"/>
      <c r="I50" s="1">
        <v>44</v>
      </c>
      <c r="J50" s="328">
        <f t="shared" si="5"/>
        <v>97.282836335139365</v>
      </c>
      <c r="K50" s="149">
        <f t="shared" si="6"/>
        <v>97.788208520019921</v>
      </c>
      <c r="L50" s="356">
        <v>2.0185185185185184E-2</v>
      </c>
      <c r="M50" s="357" t="s">
        <v>1466</v>
      </c>
      <c r="N50" s="358" t="s">
        <v>1601</v>
      </c>
      <c r="O50" s="357" t="s">
        <v>155</v>
      </c>
      <c r="P50" s="359">
        <v>26375</v>
      </c>
      <c r="Q50" s="358"/>
      <c r="R50" s="357" t="s">
        <v>218</v>
      </c>
      <c r="S50" s="359">
        <v>42798</v>
      </c>
      <c r="T50" s="369"/>
      <c r="U50" s="238"/>
    </row>
    <row r="51" spans="1:21" ht="15.75">
      <c r="A51" s="220">
        <v>45</v>
      </c>
      <c r="B51" s="88">
        <v>2.0231481481481482E-2</v>
      </c>
      <c r="C51" s="227">
        <f t="shared" si="4"/>
        <v>29.133333333333333</v>
      </c>
      <c r="D51" s="227">
        <f t="shared" si="0"/>
        <v>28.655161185281667</v>
      </c>
      <c r="E51" s="232">
        <f t="shared" si="7"/>
        <v>0.92130000000000001</v>
      </c>
      <c r="F51" s="227">
        <v>28.505871237683898</v>
      </c>
      <c r="G51" s="227">
        <v>29.133333333333333</v>
      </c>
      <c r="H51" s="233"/>
      <c r="I51" s="1">
        <v>45</v>
      </c>
      <c r="J51" s="328">
        <f t="shared" si="5"/>
        <v>97.846239946283404</v>
      </c>
      <c r="K51" s="149">
        <f t="shared" si="6"/>
        <v>98.358676837351268</v>
      </c>
      <c r="L51" s="356">
        <v>2.0231481481481482E-2</v>
      </c>
      <c r="M51" s="357" t="s">
        <v>1466</v>
      </c>
      <c r="N51" s="358" t="s">
        <v>1601</v>
      </c>
      <c r="O51" s="357" t="s">
        <v>155</v>
      </c>
      <c r="P51" s="359">
        <v>26375</v>
      </c>
      <c r="Q51" s="370" t="s">
        <v>1602</v>
      </c>
      <c r="R51" s="370" t="s">
        <v>220</v>
      </c>
      <c r="S51" s="371">
        <v>43155</v>
      </c>
      <c r="T51" s="372"/>
      <c r="U51" s="245"/>
    </row>
    <row r="52" spans="1:21" ht="15.75">
      <c r="A52" s="220">
        <v>46</v>
      </c>
      <c r="B52" s="88">
        <v>2.0833333333333332E-2</v>
      </c>
      <c r="C52" s="227">
        <f t="shared" si="4"/>
        <v>30</v>
      </c>
      <c r="D52" s="227">
        <f t="shared" si="0"/>
        <v>28.890347997373606</v>
      </c>
      <c r="E52" s="232">
        <f t="shared" si="7"/>
        <v>0.91379999999999995</v>
      </c>
      <c r="F52" s="227">
        <v>28.738603891685941</v>
      </c>
      <c r="G52" s="227">
        <v>30</v>
      </c>
      <c r="H52" s="233"/>
      <c r="I52" s="1">
        <v>46</v>
      </c>
      <c r="J52" s="328">
        <f t="shared" si="5"/>
        <v>95.795346305619802</v>
      </c>
      <c r="K52" s="149">
        <f t="shared" si="6"/>
        <v>96.301159991245356</v>
      </c>
      <c r="L52" s="356">
        <v>2.0833333333333332E-2</v>
      </c>
      <c r="M52" s="357" t="s">
        <v>1513</v>
      </c>
      <c r="N52" s="358" t="s">
        <v>1603</v>
      </c>
      <c r="O52" s="357" t="s">
        <v>302</v>
      </c>
      <c r="P52" s="359">
        <v>22915</v>
      </c>
      <c r="Q52" s="358"/>
      <c r="R52" s="357" t="s">
        <v>1604</v>
      </c>
      <c r="S52" s="359">
        <v>40013</v>
      </c>
      <c r="T52" s="369"/>
      <c r="U52" s="245"/>
    </row>
    <row r="53" spans="1:21" ht="15.75">
      <c r="A53" s="220">
        <v>47</v>
      </c>
      <c r="B53" s="88">
        <v>2.0810185185185185E-2</v>
      </c>
      <c r="C53" s="227">
        <f t="shared" si="4"/>
        <v>29.966666666666665</v>
      </c>
      <c r="D53" s="227">
        <f t="shared" si="0"/>
        <v>29.129427341939753</v>
      </c>
      <c r="E53" s="232">
        <f t="shared" si="7"/>
        <v>0.90629999999999999</v>
      </c>
      <c r="F53" s="227">
        <v>28.975168061462476</v>
      </c>
      <c r="G53" s="227">
        <v>29.966666666666665</v>
      </c>
      <c r="H53" s="233"/>
      <c r="I53" s="1">
        <v>47</v>
      </c>
      <c r="J53" s="328">
        <f t="shared" si="5"/>
        <v>96.691328347483235</v>
      </c>
      <c r="K53" s="149">
        <f t="shared" si="6"/>
        <v>97.206097915260585</v>
      </c>
      <c r="L53" s="356">
        <v>2.0810185185185185E-2</v>
      </c>
      <c r="M53" s="357" t="s">
        <v>1466</v>
      </c>
      <c r="N53" s="358" t="s">
        <v>1601</v>
      </c>
      <c r="O53" s="357" t="s">
        <v>155</v>
      </c>
      <c r="P53" s="359">
        <v>26375</v>
      </c>
      <c r="Q53" s="370" t="s">
        <v>1605</v>
      </c>
      <c r="R53" s="370" t="s">
        <v>1606</v>
      </c>
      <c r="S53" s="371">
        <v>43561</v>
      </c>
      <c r="T53" s="373"/>
      <c r="U53" s="238"/>
    </row>
    <row r="54" spans="1:21" ht="15.75">
      <c r="A54" s="220">
        <v>48</v>
      </c>
      <c r="B54" s="88">
        <v>2.1423611111111112E-2</v>
      </c>
      <c r="C54" s="227">
        <f t="shared" si="4"/>
        <v>30.85</v>
      </c>
      <c r="D54" s="227">
        <f t="shared" si="0"/>
        <v>29.372496662216285</v>
      </c>
      <c r="E54" s="232">
        <f t="shared" si="7"/>
        <v>0.89880000000000004</v>
      </c>
      <c r="F54" s="227">
        <v>29.215659150643241</v>
      </c>
      <c r="G54" s="227">
        <v>30.85</v>
      </c>
      <c r="H54" s="233"/>
      <c r="I54" s="1">
        <v>48</v>
      </c>
      <c r="J54" s="328">
        <f t="shared" si="5"/>
        <v>94.702298705488616</v>
      </c>
      <c r="K54" s="149">
        <f t="shared" si="6"/>
        <v>95.210686101187306</v>
      </c>
      <c r="L54" s="356">
        <v>2.1423611111111112E-2</v>
      </c>
      <c r="M54" s="357" t="s">
        <v>1607</v>
      </c>
      <c r="N54" s="358" t="s">
        <v>1608</v>
      </c>
      <c r="O54" s="357" t="s">
        <v>407</v>
      </c>
      <c r="P54" s="359">
        <v>14817</v>
      </c>
      <c r="Q54" s="358"/>
      <c r="R54" s="357" t="s">
        <v>267</v>
      </c>
      <c r="S54" s="359">
        <v>32578</v>
      </c>
      <c r="T54" s="369"/>
      <c r="U54" s="238"/>
    </row>
    <row r="55" spans="1:21" ht="15.75">
      <c r="A55" s="220">
        <v>49</v>
      </c>
      <c r="B55" s="88">
        <v>2.1516203703703704E-2</v>
      </c>
      <c r="C55" s="227">
        <f t="shared" si="4"/>
        <v>30.983333333333334</v>
      </c>
      <c r="D55" s="227">
        <f t="shared" si="0"/>
        <v>29.619656681252103</v>
      </c>
      <c r="E55" s="232">
        <f t="shared" si="7"/>
        <v>0.89129999999999998</v>
      </c>
      <c r="F55" s="227">
        <v>29.460175756730365</v>
      </c>
      <c r="G55" s="227">
        <v>30.983333333333334</v>
      </c>
      <c r="H55" s="233"/>
      <c r="I55" s="1">
        <v>49</v>
      </c>
      <c r="J55" s="328">
        <f t="shared" si="5"/>
        <v>95.083945422475622</v>
      </c>
      <c r="K55" s="149">
        <f t="shared" si="6"/>
        <v>95.598676754982577</v>
      </c>
      <c r="L55" s="356">
        <v>2.1516203703703704E-2</v>
      </c>
      <c r="M55" s="357" t="s">
        <v>215</v>
      </c>
      <c r="N55" s="358" t="s">
        <v>1609</v>
      </c>
      <c r="O55" s="357" t="s">
        <v>1176</v>
      </c>
      <c r="P55" s="359">
        <v>19418</v>
      </c>
      <c r="Q55" s="358"/>
      <c r="R55" s="357" t="s">
        <v>328</v>
      </c>
      <c r="S55" s="359">
        <v>37507</v>
      </c>
      <c r="T55" s="369"/>
      <c r="U55" s="238"/>
    </row>
    <row r="56" spans="1:21" ht="15.75">
      <c r="A56" s="220">
        <v>50</v>
      </c>
      <c r="B56" s="88">
        <v>2.1238425925925924E-2</v>
      </c>
      <c r="C56" s="227">
        <f t="shared" si="4"/>
        <v>30.583333333333332</v>
      </c>
      <c r="D56" s="227">
        <f t="shared" si="0"/>
        <v>29.871011541072637</v>
      </c>
      <c r="E56" s="232">
        <f t="shared" si="7"/>
        <v>0.88380000000000003</v>
      </c>
      <c r="F56" s="227">
        <v>29.70881980587987</v>
      </c>
      <c r="G56" s="227">
        <v>30.583333333333332</v>
      </c>
      <c r="H56" s="233"/>
      <c r="I56" s="1">
        <v>50</v>
      </c>
      <c r="J56" s="328">
        <f t="shared" si="5"/>
        <v>97.140555223585409</v>
      </c>
      <c r="K56" s="149">
        <f t="shared" si="6"/>
        <v>97.670882423125789</v>
      </c>
      <c r="L56" s="356">
        <v>2.1238425925925924E-2</v>
      </c>
      <c r="M56" s="357" t="s">
        <v>1610</v>
      </c>
      <c r="N56" s="358" t="s">
        <v>371</v>
      </c>
      <c r="O56" s="357" t="s">
        <v>348</v>
      </c>
      <c r="P56" s="359">
        <v>14005</v>
      </c>
      <c r="Q56" s="358"/>
      <c r="R56" s="357" t="s">
        <v>1611</v>
      </c>
      <c r="S56" s="359">
        <v>32432</v>
      </c>
      <c r="T56" s="369"/>
      <c r="U56" s="238"/>
    </row>
    <row r="57" spans="1:21" ht="15.75">
      <c r="A57" s="220">
        <v>51</v>
      </c>
      <c r="B57" s="88">
        <v>2.1840277777777778E-2</v>
      </c>
      <c r="C57" s="227">
        <f t="shared" si="4"/>
        <v>31.45</v>
      </c>
      <c r="D57" s="227">
        <f t="shared" si="0"/>
        <v>30.126668948990073</v>
      </c>
      <c r="E57" s="232">
        <f t="shared" si="7"/>
        <v>0.87629999999999997</v>
      </c>
      <c r="F57" s="227">
        <v>29.961696694566605</v>
      </c>
      <c r="G57" s="227">
        <v>31.45</v>
      </c>
      <c r="H57" s="233"/>
      <c r="I57" s="1">
        <v>51</v>
      </c>
      <c r="J57" s="328">
        <f t="shared" si="5"/>
        <v>95.267716039957406</v>
      </c>
      <c r="K57" s="149">
        <f t="shared" si="6"/>
        <v>95.792270108076551</v>
      </c>
      <c r="L57" s="356">
        <v>2.1840277777777778E-2</v>
      </c>
      <c r="M57" s="357" t="s">
        <v>1513</v>
      </c>
      <c r="N57" s="358" t="s">
        <v>1603</v>
      </c>
      <c r="O57" s="357" t="s">
        <v>302</v>
      </c>
      <c r="P57" s="359">
        <v>22915</v>
      </c>
      <c r="Q57" s="358"/>
      <c r="R57" s="357" t="s">
        <v>303</v>
      </c>
      <c r="S57" s="359">
        <v>41560</v>
      </c>
      <c r="T57" s="369"/>
      <c r="U57" s="238"/>
    </row>
    <row r="58" spans="1:21" ht="15.75">
      <c r="A58" s="220">
        <v>52</v>
      </c>
      <c r="B58" s="88">
        <v>2.207175925925926E-2</v>
      </c>
      <c r="C58" s="227">
        <f t="shared" si="4"/>
        <v>31.783333333333335</v>
      </c>
      <c r="D58" s="227">
        <f t="shared" si="0"/>
        <v>30.386740331491712</v>
      </c>
      <c r="E58" s="232">
        <f t="shared" si="7"/>
        <v>0.86880000000000002</v>
      </c>
      <c r="F58" s="227">
        <v>30.218915438546286</v>
      </c>
      <c r="G58" s="227">
        <v>31.783333333333335</v>
      </c>
      <c r="H58" s="233"/>
      <c r="I58" s="1">
        <v>52</v>
      </c>
      <c r="J58" s="328">
        <f t="shared" si="5"/>
        <v>95.077867137534199</v>
      </c>
      <c r="K58" s="149">
        <f t="shared" si="6"/>
        <v>95.605895117435907</v>
      </c>
      <c r="L58" s="356">
        <v>2.207175925925926E-2</v>
      </c>
      <c r="M58" s="357" t="s">
        <v>1612</v>
      </c>
      <c r="N58" s="358" t="s">
        <v>1613</v>
      </c>
      <c r="O58" s="357" t="s">
        <v>1614</v>
      </c>
      <c r="P58" s="359">
        <v>21237</v>
      </c>
      <c r="Q58" s="358"/>
      <c r="R58" s="357" t="s">
        <v>1020</v>
      </c>
      <c r="S58" s="359">
        <v>40257</v>
      </c>
      <c r="T58" s="369"/>
      <c r="U58" s="238"/>
    </row>
    <row r="59" spans="1:21" ht="15.75">
      <c r="A59" s="220">
        <v>53</v>
      </c>
      <c r="B59" s="88">
        <v>2.2048611111111113E-2</v>
      </c>
      <c r="C59" s="227">
        <f t="shared" si="4"/>
        <v>31.750000000000004</v>
      </c>
      <c r="D59" s="227">
        <f t="shared" si="0"/>
        <v>30.651340996168582</v>
      </c>
      <c r="E59" s="232">
        <f t="shared" si="7"/>
        <v>0.86129999999999995</v>
      </c>
      <c r="F59" s="227">
        <v>30.480588829556932</v>
      </c>
      <c r="G59" s="227">
        <v>31.750000000000004</v>
      </c>
      <c r="H59" s="233"/>
      <c r="I59" s="1">
        <v>53</v>
      </c>
      <c r="J59" s="328">
        <f t="shared" si="5"/>
        <v>96.001854581281663</v>
      </c>
      <c r="K59" s="149">
        <f t="shared" si="6"/>
        <v>96.539656680845923</v>
      </c>
      <c r="L59" s="356">
        <v>2.2048611111111113E-2</v>
      </c>
      <c r="M59" s="357" t="s">
        <v>215</v>
      </c>
      <c r="N59" s="358" t="s">
        <v>1609</v>
      </c>
      <c r="O59" s="357" t="s">
        <v>1176</v>
      </c>
      <c r="P59" s="359">
        <v>19418</v>
      </c>
      <c r="Q59" s="358"/>
      <c r="R59" s="357" t="s">
        <v>1615</v>
      </c>
      <c r="S59" s="359">
        <v>39138</v>
      </c>
      <c r="T59" s="369"/>
      <c r="U59" s="238"/>
    </row>
    <row r="60" spans="1:21" ht="15.75">
      <c r="A60" s="220">
        <v>54</v>
      </c>
      <c r="B60" s="88">
        <v>2.2268518518518517E-2</v>
      </c>
      <c r="C60" s="227">
        <f t="shared" si="4"/>
        <v>32.066666666666663</v>
      </c>
      <c r="D60" s="227">
        <f t="shared" si="0"/>
        <v>30.920590302178493</v>
      </c>
      <c r="E60" s="232">
        <f t="shared" si="7"/>
        <v>0.8538</v>
      </c>
      <c r="F60" s="227">
        <v>30.746833600232929</v>
      </c>
      <c r="G60" s="227">
        <v>32.06666666666667</v>
      </c>
      <c r="H60" s="233"/>
      <c r="I60" s="1">
        <v>54</v>
      </c>
      <c r="J60" s="328">
        <f t="shared" si="5"/>
        <v>95.884096466422861</v>
      </c>
      <c r="K60" s="149">
        <f t="shared" si="6"/>
        <v>96.425957283300917</v>
      </c>
      <c r="L60" s="356">
        <v>2.2268518518518517E-2</v>
      </c>
      <c r="M60" s="357" t="s">
        <v>215</v>
      </c>
      <c r="N60" s="358" t="s">
        <v>1609</v>
      </c>
      <c r="O60" s="357" t="s">
        <v>1176</v>
      </c>
      <c r="P60" s="359">
        <v>19418</v>
      </c>
      <c r="Q60" s="358"/>
      <c r="R60" s="357" t="s">
        <v>1616</v>
      </c>
      <c r="S60" s="359">
        <v>39257</v>
      </c>
      <c r="T60" s="369"/>
      <c r="U60" s="238"/>
    </row>
    <row r="61" spans="1:21" ht="15.75">
      <c r="A61" s="220">
        <v>55</v>
      </c>
      <c r="B61" s="88">
        <v>2.224537037037037E-2</v>
      </c>
      <c r="C61" s="227">
        <f t="shared" si="4"/>
        <v>32.033333333333331</v>
      </c>
      <c r="D61" s="227">
        <f t="shared" si="0"/>
        <v>31.194611839773128</v>
      </c>
      <c r="E61" s="232">
        <f t="shared" si="7"/>
        <v>0.84630000000000005</v>
      </c>
      <c r="F61" s="227">
        <v>31.017770597738284</v>
      </c>
      <c r="G61" s="227">
        <v>32.033333333333331</v>
      </c>
      <c r="H61" s="233"/>
      <c r="I61" s="1">
        <v>55</v>
      </c>
      <c r="J61" s="328">
        <f t="shared" si="5"/>
        <v>96.829668879515978</v>
      </c>
      <c r="K61" s="149">
        <f t="shared" si="6"/>
        <v>97.381722704806847</v>
      </c>
      <c r="L61" s="356">
        <v>2.224537037037037E-2</v>
      </c>
      <c r="M61" s="357" t="s">
        <v>215</v>
      </c>
      <c r="N61" s="358" t="s">
        <v>1609</v>
      </c>
      <c r="O61" s="357" t="s">
        <v>1176</v>
      </c>
      <c r="P61" s="359">
        <v>19418</v>
      </c>
      <c r="Q61" s="358"/>
      <c r="R61" s="357" t="s">
        <v>1390</v>
      </c>
      <c r="S61" s="359">
        <v>39775</v>
      </c>
      <c r="T61" s="369"/>
      <c r="U61" s="238"/>
    </row>
    <row r="62" spans="1:21" ht="15.75">
      <c r="A62" s="220">
        <v>56</v>
      </c>
      <c r="B62" s="88">
        <v>2.2905092592592591E-2</v>
      </c>
      <c r="C62" s="227">
        <f t="shared" si="4"/>
        <v>32.983333333333334</v>
      </c>
      <c r="D62" s="227">
        <f t="shared" si="0"/>
        <v>31.473533619456365</v>
      </c>
      <c r="E62" s="232">
        <f t="shared" si="7"/>
        <v>0.83879999999999999</v>
      </c>
      <c r="F62" s="227">
        <v>31.293524966661728</v>
      </c>
      <c r="G62" s="227">
        <v>32.983333333333334</v>
      </c>
      <c r="H62" s="233"/>
      <c r="I62" s="1">
        <v>56</v>
      </c>
      <c r="J62" s="328">
        <f t="shared" si="5"/>
        <v>94.876781101551472</v>
      </c>
      <c r="K62" s="149">
        <f t="shared" si="6"/>
        <v>95.42253750214158</v>
      </c>
      <c r="L62" s="356">
        <v>2.2905092592592591E-2</v>
      </c>
      <c r="M62" s="370" t="s">
        <v>1617</v>
      </c>
      <c r="N62" s="370" t="s">
        <v>154</v>
      </c>
      <c r="O62" s="357"/>
      <c r="P62" s="358"/>
      <c r="Q62" s="370" t="s">
        <v>1618</v>
      </c>
      <c r="R62" s="370" t="s">
        <v>1619</v>
      </c>
      <c r="S62" s="371">
        <v>34602</v>
      </c>
      <c r="T62" s="372"/>
      <c r="U62" s="238"/>
    </row>
    <row r="63" spans="1:21" ht="15.75">
      <c r="A63" s="220">
        <v>57</v>
      </c>
      <c r="B63" s="88">
        <v>2.3194444444444445E-2</v>
      </c>
      <c r="C63" s="227">
        <f t="shared" si="4"/>
        <v>33.4</v>
      </c>
      <c r="D63" s="227">
        <f t="shared" si="0"/>
        <v>31.757488271382169</v>
      </c>
      <c r="E63" s="232">
        <f t="shared" si="7"/>
        <v>0.83130000000000004</v>
      </c>
      <c r="F63" s="227">
        <v>31.574226341755118</v>
      </c>
      <c r="G63" s="227">
        <v>33.4</v>
      </c>
      <c r="H63" s="233"/>
      <c r="I63" s="1">
        <v>57</v>
      </c>
      <c r="J63" s="328">
        <f t="shared" si="5"/>
        <v>94.533611801662033</v>
      </c>
      <c r="K63" s="149">
        <f t="shared" si="6"/>
        <v>95.08230021371908</v>
      </c>
      <c r="L63" s="356">
        <v>2.3194444444444445E-2</v>
      </c>
      <c r="M63" s="357" t="s">
        <v>1620</v>
      </c>
      <c r="N63" s="358" t="s">
        <v>1621</v>
      </c>
      <c r="O63" s="357" t="s">
        <v>179</v>
      </c>
      <c r="P63" s="359">
        <v>20713</v>
      </c>
      <c r="Q63" s="358"/>
      <c r="R63" s="357" t="s">
        <v>1622</v>
      </c>
      <c r="S63" s="359">
        <v>41587</v>
      </c>
      <c r="T63" s="369"/>
      <c r="U63" s="238"/>
    </row>
    <row r="64" spans="1:21" ht="15.75">
      <c r="A64" s="220">
        <v>58</v>
      </c>
      <c r="B64" s="88">
        <v>2.2581018518518518E-2</v>
      </c>
      <c r="C64" s="227">
        <f t="shared" si="4"/>
        <v>32.516666666666666</v>
      </c>
      <c r="D64" s="227">
        <f t="shared" si="0"/>
        <v>32.046613255644573</v>
      </c>
      <c r="E64" s="232">
        <f t="shared" si="7"/>
        <v>0.82379999999999998</v>
      </c>
      <c r="F64" s="227">
        <v>31.860009051138935</v>
      </c>
      <c r="G64" s="227">
        <v>32.516666666666666</v>
      </c>
      <c r="H64" s="233"/>
      <c r="I64" s="1">
        <v>58</v>
      </c>
      <c r="J64" s="328">
        <f t="shared" si="5"/>
        <v>97.98055064419971</v>
      </c>
      <c r="K64" s="149">
        <f t="shared" si="6"/>
        <v>98.554423133709605</v>
      </c>
      <c r="L64" s="356">
        <v>2.2581018518518518E-2</v>
      </c>
      <c r="M64" s="357" t="s">
        <v>1452</v>
      </c>
      <c r="N64" s="358" t="s">
        <v>1623</v>
      </c>
      <c r="O64" s="357" t="s">
        <v>172</v>
      </c>
      <c r="P64" s="359">
        <v>18512</v>
      </c>
      <c r="Q64" s="358"/>
      <c r="R64" s="357" t="s">
        <v>1390</v>
      </c>
      <c r="S64" s="359">
        <v>39775</v>
      </c>
      <c r="T64" s="369"/>
      <c r="U64" s="238"/>
    </row>
    <row r="65" spans="1:21" ht="15.75">
      <c r="A65" s="220">
        <v>59</v>
      </c>
      <c r="B65" s="88">
        <v>2.3055555555555555E-2</v>
      </c>
      <c r="C65" s="227">
        <f t="shared" si="4"/>
        <v>33.199999999999996</v>
      </c>
      <c r="D65" s="227">
        <f t="shared" si="0"/>
        <v>32.341051084160235</v>
      </c>
      <c r="E65" s="232">
        <f t="shared" ref="E65:E96" si="8">ROUND(1-IF(A65&lt;I$3,0,IF(A65&lt;I$4,G$3*(A65-I$3)^2,G$2+G$4*(A65-I$4)+(A65&gt;I$5)*G$5*(A65-I$5)^2)),4)</f>
        <v>0.81630000000000003</v>
      </c>
      <c r="F65" s="227">
        <v>32.15101233064393</v>
      </c>
      <c r="G65" s="227">
        <v>33.199999999999996</v>
      </c>
      <c r="H65" s="233"/>
      <c r="I65" s="1">
        <v>59</v>
      </c>
      <c r="J65" s="328">
        <f t="shared" si="5"/>
        <v>96.840398586276905</v>
      </c>
      <c r="K65" s="149">
        <f t="shared" si="6"/>
        <v>97.412804470362175</v>
      </c>
      <c r="L65" s="356">
        <v>2.3055555555555555E-2</v>
      </c>
      <c r="M65" s="357" t="s">
        <v>215</v>
      </c>
      <c r="N65" s="358" t="s">
        <v>1609</v>
      </c>
      <c r="O65" s="357" t="s">
        <v>1176</v>
      </c>
      <c r="P65" s="359">
        <v>19418</v>
      </c>
      <c r="Q65" s="358"/>
      <c r="R65" s="357" t="s">
        <v>328</v>
      </c>
      <c r="S65" s="359">
        <v>41161</v>
      </c>
      <c r="T65" s="369"/>
      <c r="U65" s="238"/>
    </row>
    <row r="66" spans="1:21" ht="15.75">
      <c r="A66" s="220">
        <v>60</v>
      </c>
      <c r="B66" s="88">
        <v>2.2777777777777779E-2</v>
      </c>
      <c r="C66" s="227">
        <f t="shared" si="4"/>
        <v>32.800000000000004</v>
      </c>
      <c r="D66" s="227">
        <f t="shared" si="0"/>
        <v>32.640949554896139</v>
      </c>
      <c r="E66" s="232">
        <f t="shared" si="8"/>
        <v>0.80879999999999996</v>
      </c>
      <c r="F66" s="227">
        <v>32.447380550007679</v>
      </c>
      <c r="G66" s="227">
        <v>32.799999999999997</v>
      </c>
      <c r="H66" s="233"/>
      <c r="I66" s="1">
        <v>60</v>
      </c>
      <c r="J66" s="328">
        <f t="shared" si="5"/>
        <v>98.924940701242917</v>
      </c>
      <c r="K66" s="149">
        <f t="shared" si="6"/>
        <v>99.515090106390659</v>
      </c>
      <c r="L66" s="356">
        <v>2.2777777777777779E-2</v>
      </c>
      <c r="M66" s="357" t="s">
        <v>215</v>
      </c>
      <c r="N66" s="358" t="s">
        <v>1609</v>
      </c>
      <c r="O66" s="357" t="s">
        <v>1176</v>
      </c>
      <c r="P66" s="359">
        <v>19418</v>
      </c>
      <c r="Q66" s="358"/>
      <c r="R66" s="357" t="s">
        <v>328</v>
      </c>
      <c r="S66" s="359">
        <v>41525</v>
      </c>
      <c r="T66" s="369"/>
      <c r="U66" s="238"/>
    </row>
    <row r="67" spans="1:21" ht="15.75">
      <c r="A67" s="220">
        <v>61</v>
      </c>
      <c r="B67" s="88">
        <v>2.3229166666666665E-2</v>
      </c>
      <c r="C67" s="227">
        <f t="shared" si="4"/>
        <v>33.449999999999996</v>
      </c>
      <c r="D67" s="227">
        <f t="shared" si="0"/>
        <v>32.946461999251213</v>
      </c>
      <c r="E67" s="232">
        <f t="shared" si="8"/>
        <v>0.80130000000000001</v>
      </c>
      <c r="F67" s="227">
        <v>32.749263451697935</v>
      </c>
      <c r="G67" s="227">
        <v>33.449999999999996</v>
      </c>
      <c r="H67" s="233"/>
      <c r="I67" s="1">
        <v>61</v>
      </c>
      <c r="J67" s="328">
        <f t="shared" si="5"/>
        <v>97.905122426600713</v>
      </c>
      <c r="K67" s="149">
        <f t="shared" si="6"/>
        <v>98.494654706281665</v>
      </c>
      <c r="L67" s="356">
        <v>2.3229166666666665E-2</v>
      </c>
      <c r="M67" s="357" t="s">
        <v>215</v>
      </c>
      <c r="N67" s="358" t="s">
        <v>1609</v>
      </c>
      <c r="O67" s="357" t="s">
        <v>1176</v>
      </c>
      <c r="P67" s="359">
        <v>19418</v>
      </c>
      <c r="Q67" s="358"/>
      <c r="R67" s="357" t="s">
        <v>1624</v>
      </c>
      <c r="S67" s="359">
        <v>41903</v>
      </c>
      <c r="T67" s="369"/>
      <c r="U67" s="238"/>
    </row>
    <row r="68" spans="1:21" ht="15.75">
      <c r="A68" s="220">
        <v>62</v>
      </c>
      <c r="B68" s="88">
        <v>2.3148148148148147E-2</v>
      </c>
      <c r="C68" s="227">
        <f t="shared" si="4"/>
        <v>33.333333333333329</v>
      </c>
      <c r="D68" s="227">
        <f t="shared" si="0"/>
        <v>33.257747543461832</v>
      </c>
      <c r="E68" s="232">
        <f t="shared" si="8"/>
        <v>0.79379999999999995</v>
      </c>
      <c r="F68" s="227">
        <v>33.056816403192983</v>
      </c>
      <c r="G68" s="227">
        <v>33.333333333333336</v>
      </c>
      <c r="H68" s="233"/>
      <c r="I68" s="1">
        <v>62</v>
      </c>
      <c r="J68" s="328">
        <f t="shared" si="5"/>
        <v>99.170449209578962</v>
      </c>
      <c r="K68" s="149">
        <f t="shared" si="6"/>
        <v>99.773242630385511</v>
      </c>
      <c r="L68" s="356">
        <v>2.3148148148148147E-2</v>
      </c>
      <c r="M68" s="357" t="s">
        <v>215</v>
      </c>
      <c r="N68" s="358" t="s">
        <v>1609</v>
      </c>
      <c r="O68" s="357" t="s">
        <v>1176</v>
      </c>
      <c r="P68" s="359">
        <v>19418</v>
      </c>
      <c r="Q68" s="358"/>
      <c r="R68" s="357" t="s">
        <v>328</v>
      </c>
      <c r="S68" s="359">
        <v>42253</v>
      </c>
      <c r="T68" s="369"/>
      <c r="U68" s="238"/>
    </row>
    <row r="69" spans="1:21" ht="15.75">
      <c r="A69" s="220">
        <v>63</v>
      </c>
      <c r="B69" s="88">
        <v>2.4537037037037038E-2</v>
      </c>
      <c r="C69" s="227">
        <f t="shared" si="4"/>
        <v>35.333333333333336</v>
      </c>
      <c r="D69" s="227">
        <f t="shared" si="0"/>
        <v>33.574971384967569</v>
      </c>
      <c r="E69" s="232">
        <f t="shared" si="8"/>
        <v>0.7863</v>
      </c>
      <c r="F69" s="227">
        <v>33.370200663611946</v>
      </c>
      <c r="G69" s="227">
        <v>35.333333333333336</v>
      </c>
      <c r="H69" s="233"/>
      <c r="I69" s="1">
        <v>63</v>
      </c>
      <c r="J69" s="328">
        <f t="shared" si="5"/>
        <v>94.443964142297958</v>
      </c>
      <c r="K69" s="149">
        <f t="shared" si="6"/>
        <v>95.023503919719531</v>
      </c>
      <c r="L69" s="356">
        <v>2.4537037037037038E-2</v>
      </c>
      <c r="M69" s="357" t="s">
        <v>1496</v>
      </c>
      <c r="N69" s="358" t="s">
        <v>1625</v>
      </c>
      <c r="O69" s="357" t="s">
        <v>225</v>
      </c>
      <c r="P69" s="359">
        <v>11388</v>
      </c>
      <c r="Q69" s="358"/>
      <c r="R69" s="357" t="s">
        <v>1377</v>
      </c>
      <c r="S69" s="359">
        <v>34588</v>
      </c>
      <c r="T69" s="369"/>
      <c r="U69" s="238"/>
    </row>
    <row r="70" spans="1:21" ht="15.75">
      <c r="A70" s="220">
        <v>64</v>
      </c>
      <c r="B70" s="88">
        <v>2.5011574074074075E-2</v>
      </c>
      <c r="C70" s="227">
        <f t="shared" si="4"/>
        <v>36.016666666666666</v>
      </c>
      <c r="D70" s="227">
        <f t="shared" si="0"/>
        <v>33.898305084745758</v>
      </c>
      <c r="E70" s="232">
        <f t="shared" si="8"/>
        <v>0.77880000000000005</v>
      </c>
      <c r="F70" s="227">
        <v>33.6895836656564</v>
      </c>
      <c r="G70" s="227">
        <v>36.016666666666666</v>
      </c>
      <c r="H70" s="233"/>
      <c r="I70" s="1">
        <v>64</v>
      </c>
      <c r="J70" s="328">
        <f t="shared" si="5"/>
        <v>93.538871815797506</v>
      </c>
      <c r="K70" s="149">
        <f t="shared" si="6"/>
        <v>94.118385242237181</v>
      </c>
      <c r="L70" s="356">
        <v>2.5011574074074075E-2</v>
      </c>
      <c r="M70" s="357" t="s">
        <v>1626</v>
      </c>
      <c r="N70" s="358" t="s">
        <v>371</v>
      </c>
      <c r="O70" s="357" t="s">
        <v>1176</v>
      </c>
      <c r="P70" s="359">
        <v>19218</v>
      </c>
      <c r="Q70" s="358"/>
      <c r="R70" s="357" t="s">
        <v>328</v>
      </c>
      <c r="S70" s="359">
        <v>42624</v>
      </c>
      <c r="T70" s="369"/>
      <c r="U70" s="238"/>
    </row>
    <row r="71" spans="1:21" ht="15.75">
      <c r="A71" s="220">
        <v>65</v>
      </c>
      <c r="B71" s="88">
        <v>2.4872685185185185E-2</v>
      </c>
      <c r="C71" s="227">
        <f t="shared" si="4"/>
        <v>35.81666666666667</v>
      </c>
      <c r="D71" s="227">
        <f t="shared" si="0"/>
        <v>34.227926876701673</v>
      </c>
      <c r="E71" s="232">
        <f t="shared" si="8"/>
        <v>0.77129999999999999</v>
      </c>
      <c r="F71" s="227">
        <v>34.015139313899176</v>
      </c>
      <c r="G71" s="227">
        <v>35.81666666666667</v>
      </c>
      <c r="H71" s="233"/>
      <c r="I71" s="1">
        <v>65</v>
      </c>
      <c r="J71" s="328">
        <f t="shared" si="5"/>
        <v>94.970142337550044</v>
      </c>
      <c r="K71" s="149">
        <f t="shared" si="6"/>
        <v>95.564244420758499</v>
      </c>
      <c r="L71" s="356">
        <v>2.4872685185185185E-2</v>
      </c>
      <c r="M71" s="357" t="s">
        <v>1469</v>
      </c>
      <c r="N71" s="358" t="s">
        <v>1627</v>
      </c>
      <c r="O71" s="357" t="s">
        <v>209</v>
      </c>
      <c r="P71" s="359">
        <v>15053</v>
      </c>
      <c r="Q71" s="358"/>
      <c r="R71" s="357" t="s">
        <v>1628</v>
      </c>
      <c r="S71" s="359">
        <v>38822</v>
      </c>
      <c r="T71" s="369"/>
      <c r="U71" s="247"/>
    </row>
    <row r="72" spans="1:21" ht="15.75">
      <c r="A72" s="220">
        <v>66</v>
      </c>
      <c r="B72" s="88">
        <v>2.4722222222222222E-2</v>
      </c>
      <c r="C72" s="227">
        <f t="shared" si="4"/>
        <v>35.6</v>
      </c>
      <c r="D72" s="227">
        <f t="shared" si="0"/>
        <v>34.564021995286723</v>
      </c>
      <c r="E72" s="232">
        <f t="shared" si="8"/>
        <v>0.76380000000000003</v>
      </c>
      <c r="F72" s="227">
        <v>34.34704830053667</v>
      </c>
      <c r="G72" s="227">
        <v>35.6</v>
      </c>
      <c r="H72" s="233"/>
      <c r="I72" s="1">
        <v>66</v>
      </c>
      <c r="J72" s="328">
        <f t="shared" si="5"/>
        <v>96.48047275431648</v>
      </c>
      <c r="K72" s="149">
        <f t="shared" si="6"/>
        <v>97.089949424962697</v>
      </c>
      <c r="L72" s="356">
        <v>2.4722222222222222E-2</v>
      </c>
      <c r="M72" s="357" t="s">
        <v>1629</v>
      </c>
      <c r="N72" s="358" t="s">
        <v>1630</v>
      </c>
      <c r="O72" s="357" t="s">
        <v>250</v>
      </c>
      <c r="P72" s="359">
        <v>16604</v>
      </c>
      <c r="Q72" s="358"/>
      <c r="R72" s="357" t="s">
        <v>1631</v>
      </c>
      <c r="S72" s="359">
        <v>40999</v>
      </c>
      <c r="T72" s="369"/>
      <c r="U72" s="245"/>
    </row>
    <row r="73" spans="1:21" ht="15.75">
      <c r="A73" s="220">
        <v>67</v>
      </c>
      <c r="B73" s="88">
        <v>2.476851851851852E-2</v>
      </c>
      <c r="C73" s="227">
        <f t="shared" si="4"/>
        <v>35.666666666666671</v>
      </c>
      <c r="D73" s="227">
        <f t="shared" ref="D73:D106" si="9">E$4/E73</f>
        <v>34.906783022610078</v>
      </c>
      <c r="E73" s="232">
        <f t="shared" si="8"/>
        <v>0.75629999999999997</v>
      </c>
      <c r="F73" s="227">
        <v>34.685498439809486</v>
      </c>
      <c r="G73" s="227">
        <v>35.666666666666671</v>
      </c>
      <c r="H73" s="233"/>
      <c r="I73" s="1">
        <v>67</v>
      </c>
      <c r="J73" s="328">
        <f t="shared" si="5"/>
        <v>97.249061046194811</v>
      </c>
      <c r="K73" s="149">
        <f t="shared" si="6"/>
        <v>97.869485110121701</v>
      </c>
      <c r="L73" s="356">
        <v>2.476851851851852E-2</v>
      </c>
      <c r="M73" s="357" t="s">
        <v>1632</v>
      </c>
      <c r="N73" s="358" t="s">
        <v>1633</v>
      </c>
      <c r="O73" s="357" t="s">
        <v>283</v>
      </c>
      <c r="P73" s="359">
        <v>17245</v>
      </c>
      <c r="Q73" s="358"/>
      <c r="R73" s="357" t="s">
        <v>1634</v>
      </c>
      <c r="S73" s="359">
        <v>41952</v>
      </c>
      <c r="T73" s="369"/>
      <c r="U73" s="238"/>
    </row>
    <row r="74" spans="1:21" ht="15.75">
      <c r="A74" s="220">
        <v>68</v>
      </c>
      <c r="B74" s="88">
        <v>2.554398148148148E-2</v>
      </c>
      <c r="C74" s="227">
        <f t="shared" si="4"/>
        <v>36.783333333333331</v>
      </c>
      <c r="D74" s="227">
        <f t="shared" si="9"/>
        <v>35.256410256410255</v>
      </c>
      <c r="E74" s="232">
        <f t="shared" si="8"/>
        <v>0.74880000000000002</v>
      </c>
      <c r="F74" s="227">
        <v>35.030685022391772</v>
      </c>
      <c r="G74" s="227">
        <v>36.783333333333339</v>
      </c>
      <c r="H74" s="233"/>
      <c r="I74" s="1">
        <v>68</v>
      </c>
      <c r="J74" s="328">
        <f t="shared" si="5"/>
        <v>95.235210754123528</v>
      </c>
      <c r="K74" s="149">
        <f t="shared" si="6"/>
        <v>95.848872468718412</v>
      </c>
      <c r="L74" s="356">
        <v>2.554398148148148E-2</v>
      </c>
      <c r="M74" s="357" t="s">
        <v>1632</v>
      </c>
      <c r="N74" s="358" t="s">
        <v>1633</v>
      </c>
      <c r="O74" s="357" t="s">
        <v>283</v>
      </c>
      <c r="P74" s="359">
        <v>17245</v>
      </c>
      <c r="Q74" s="358"/>
      <c r="R74" s="357" t="s">
        <v>1634</v>
      </c>
      <c r="S74" s="359">
        <v>42316</v>
      </c>
      <c r="T74" s="369"/>
      <c r="U74" s="238"/>
    </row>
    <row r="75" spans="1:21" ht="15.75">
      <c r="A75" s="220">
        <v>69</v>
      </c>
      <c r="B75" s="88">
        <v>2.5127314814814814E-2</v>
      </c>
      <c r="C75" s="227">
        <f t="shared" si="4"/>
        <v>36.18333333333333</v>
      </c>
      <c r="D75" s="227">
        <f t="shared" si="9"/>
        <v>35.613112100364226</v>
      </c>
      <c r="E75" s="232">
        <f t="shared" si="8"/>
        <v>0.74129999999999996</v>
      </c>
      <c r="F75" s="227">
        <v>35.382811191154296</v>
      </c>
      <c r="G75" s="227">
        <v>36.18333333333333</v>
      </c>
      <c r="H75" s="233"/>
      <c r="I75" s="1">
        <v>69</v>
      </c>
      <c r="J75" s="328">
        <f t="shared" si="5"/>
        <v>97.787594263899493</v>
      </c>
      <c r="K75" s="149">
        <f t="shared" si="6"/>
        <v>98.424077661071109</v>
      </c>
      <c r="L75" s="356">
        <v>2.5127314814814814E-2</v>
      </c>
      <c r="M75" s="357" t="s">
        <v>1496</v>
      </c>
      <c r="N75" s="358" t="s">
        <v>1625</v>
      </c>
      <c r="O75" s="357" t="s">
        <v>225</v>
      </c>
      <c r="P75" s="359">
        <v>11388</v>
      </c>
      <c r="Q75" s="358"/>
      <c r="R75" s="357" t="s">
        <v>1635</v>
      </c>
      <c r="S75" s="359">
        <v>36704</v>
      </c>
      <c r="T75" s="369"/>
      <c r="U75" s="238"/>
    </row>
    <row r="76" spans="1:21" ht="15.75">
      <c r="A76" s="220">
        <v>70</v>
      </c>
      <c r="B76" s="88">
        <v>2.6261574074074073E-2</v>
      </c>
      <c r="C76" s="227">
        <f t="shared" ref="C76:C100" si="10">B76*1440</f>
        <v>37.816666666666663</v>
      </c>
      <c r="D76" s="227">
        <f t="shared" si="9"/>
        <v>35.982008995502248</v>
      </c>
      <c r="E76" s="232">
        <f t="shared" si="8"/>
        <v>0.73370000000000002</v>
      </c>
      <c r="F76" s="227">
        <v>35.742088339820604</v>
      </c>
      <c r="G76" s="227">
        <v>37.81666666666667</v>
      </c>
      <c r="H76" s="233"/>
      <c r="I76" s="1">
        <v>70</v>
      </c>
      <c r="J76" s="328">
        <f t="shared" si="5"/>
        <v>94.514116367969876</v>
      </c>
      <c r="K76" s="149">
        <f t="shared" si="6"/>
        <v>95.148547365805868</v>
      </c>
      <c r="L76" s="356">
        <v>2.6261574074074073E-2</v>
      </c>
      <c r="M76" s="357" t="s">
        <v>1500</v>
      </c>
      <c r="N76" s="358" t="s">
        <v>1636</v>
      </c>
      <c r="O76" s="357" t="s">
        <v>155</v>
      </c>
      <c r="P76" s="359">
        <v>7482</v>
      </c>
      <c r="Q76" s="370" t="s">
        <v>1637</v>
      </c>
      <c r="R76" s="370" t="s">
        <v>1638</v>
      </c>
      <c r="S76" s="371">
        <v>33139</v>
      </c>
      <c r="T76" s="372"/>
      <c r="U76" s="238"/>
    </row>
    <row r="77" spans="1:21" ht="15.75">
      <c r="A77" s="220">
        <v>71</v>
      </c>
      <c r="B77" s="88">
        <v>2.7245370370370371E-2</v>
      </c>
      <c r="C77" s="227">
        <f t="shared" si="10"/>
        <v>39.233333333333334</v>
      </c>
      <c r="D77" s="227">
        <f t="shared" si="9"/>
        <v>36.368645818983332</v>
      </c>
      <c r="E77" s="232">
        <f t="shared" si="8"/>
        <v>0.72589999999999999</v>
      </c>
      <c r="F77" s="227">
        <v>36.125289070731668</v>
      </c>
      <c r="G77" s="227">
        <v>39.233333333333327</v>
      </c>
      <c r="H77" s="233"/>
      <c r="I77" s="1">
        <v>71</v>
      </c>
      <c r="J77" s="328">
        <f t="shared" si="5"/>
        <v>92.078052006962622</v>
      </c>
      <c r="K77" s="149">
        <f t="shared" si="6"/>
        <v>92.698332588742559</v>
      </c>
      <c r="L77" s="356">
        <v>2.7245370370370371E-2</v>
      </c>
      <c r="M77" s="357" t="s">
        <v>1639</v>
      </c>
      <c r="N77" s="358" t="s">
        <v>1640</v>
      </c>
      <c r="O77" s="357" t="s">
        <v>179</v>
      </c>
      <c r="P77" s="359">
        <v>12163</v>
      </c>
      <c r="Q77" s="358"/>
      <c r="R77" s="357" t="s">
        <v>1641</v>
      </c>
      <c r="S77" s="359">
        <v>38269</v>
      </c>
      <c r="T77" s="369"/>
      <c r="U77" s="238"/>
    </row>
    <row r="78" spans="1:21" ht="15.75">
      <c r="A78" s="220">
        <v>72</v>
      </c>
      <c r="B78" s="88">
        <v>2.6585648148148146E-2</v>
      </c>
      <c r="C78" s="227">
        <f t="shared" si="10"/>
        <v>38.283333333333331</v>
      </c>
      <c r="D78" s="227">
        <f t="shared" si="9"/>
        <v>36.804684232538683</v>
      </c>
      <c r="E78" s="232">
        <f t="shared" si="8"/>
        <v>0.71730000000000005</v>
      </c>
      <c r="F78" s="227">
        <v>36.550669057228099</v>
      </c>
      <c r="G78" s="227">
        <v>38.283333333333331</v>
      </c>
      <c r="H78" s="233"/>
      <c r="I78" s="1">
        <v>72</v>
      </c>
      <c r="J78" s="328">
        <f t="shared" si="5"/>
        <v>95.474102892193557</v>
      </c>
      <c r="K78" s="149">
        <f t="shared" si="6"/>
        <v>96.137616628311761</v>
      </c>
      <c r="L78" s="356">
        <v>2.6585648148148146E-2</v>
      </c>
      <c r="M78" s="357" t="s">
        <v>1496</v>
      </c>
      <c r="N78" s="358" t="s">
        <v>1625</v>
      </c>
      <c r="O78" s="357" t="s">
        <v>225</v>
      </c>
      <c r="P78" s="359">
        <v>11388</v>
      </c>
      <c r="Q78" s="358"/>
      <c r="R78" s="357" t="s">
        <v>1377</v>
      </c>
      <c r="S78" s="359">
        <v>37871</v>
      </c>
      <c r="T78" s="369"/>
      <c r="U78" s="238"/>
    </row>
    <row r="79" spans="1:21" ht="15.75">
      <c r="A79" s="220">
        <v>73</v>
      </c>
      <c r="B79" s="88">
        <v>2.6076388888888889E-2</v>
      </c>
      <c r="C79" s="227">
        <f t="shared" si="10"/>
        <v>37.549999999999997</v>
      </c>
      <c r="D79" s="227">
        <f t="shared" si="9"/>
        <v>37.282869651179212</v>
      </c>
      <c r="E79" s="232">
        <f t="shared" si="8"/>
        <v>0.70809999999999995</v>
      </c>
      <c r="F79" s="227">
        <v>37.020936461415488</v>
      </c>
      <c r="G79" s="227">
        <v>37.549999999999997</v>
      </c>
      <c r="H79" s="233"/>
      <c r="I79" s="1">
        <v>73</v>
      </c>
      <c r="J79" s="328">
        <f t="shared" si="5"/>
        <v>98.591042507098507</v>
      </c>
      <c r="K79" s="149">
        <f t="shared" si="6"/>
        <v>99.288600935230932</v>
      </c>
      <c r="L79" s="356">
        <v>2.6076388888888889E-2</v>
      </c>
      <c r="M79" s="357" t="s">
        <v>1496</v>
      </c>
      <c r="N79" s="358" t="s">
        <v>1625</v>
      </c>
      <c r="O79" s="357" t="s">
        <v>225</v>
      </c>
      <c r="P79" s="359">
        <v>11388</v>
      </c>
      <c r="Q79" s="358"/>
      <c r="R79" s="357" t="s">
        <v>1377</v>
      </c>
      <c r="S79" s="359">
        <v>38242</v>
      </c>
      <c r="T79" s="369"/>
      <c r="U79" s="238"/>
    </row>
    <row r="80" spans="1:21" ht="15.75">
      <c r="A80" s="220">
        <v>74</v>
      </c>
      <c r="B80" s="88">
        <v>2.7129629629629629E-2</v>
      </c>
      <c r="C80" s="227">
        <f t="shared" si="10"/>
        <v>39.066666666666663</v>
      </c>
      <c r="D80" s="227">
        <f t="shared" si="9"/>
        <v>37.80610052985822</v>
      </c>
      <c r="E80" s="232">
        <f t="shared" si="8"/>
        <v>0.69830000000000003</v>
      </c>
      <c r="F80" s="227">
        <v>37.539192196398226</v>
      </c>
      <c r="G80" s="227">
        <v>39.06666666666667</v>
      </c>
      <c r="H80" s="233"/>
      <c r="I80" s="1">
        <v>74</v>
      </c>
      <c r="J80" s="328">
        <f t="shared" si="5"/>
        <v>96.09008241398864</v>
      </c>
      <c r="K80" s="149">
        <f t="shared" si="6"/>
        <v>96.773294871650734</v>
      </c>
      <c r="L80" s="356">
        <v>2.7129629629629629E-2</v>
      </c>
      <c r="M80" s="357" t="s">
        <v>1496</v>
      </c>
      <c r="N80" s="358" t="s">
        <v>1625</v>
      </c>
      <c r="O80" s="357" t="s">
        <v>225</v>
      </c>
      <c r="P80" s="359">
        <v>11388</v>
      </c>
      <c r="Q80" s="358"/>
      <c r="R80" s="357" t="s">
        <v>1377</v>
      </c>
      <c r="S80" s="359">
        <v>38606</v>
      </c>
      <c r="T80" s="369"/>
      <c r="U80" s="238"/>
    </row>
    <row r="81" spans="1:21" ht="15.75">
      <c r="A81" s="220">
        <v>75</v>
      </c>
      <c r="B81" s="88">
        <v>2.7893518518518519E-2</v>
      </c>
      <c r="C81" s="227">
        <f t="shared" si="10"/>
        <v>40.166666666666664</v>
      </c>
      <c r="D81" s="227">
        <f t="shared" si="9"/>
        <v>38.388832339682999</v>
      </c>
      <c r="E81" s="232">
        <f t="shared" si="8"/>
        <v>0.68769999999999998</v>
      </c>
      <c r="F81" s="227">
        <v>38.108985925658608</v>
      </c>
      <c r="G81" s="227">
        <v>40.166666666666664</v>
      </c>
      <c r="H81" s="233"/>
      <c r="I81" s="1">
        <v>75</v>
      </c>
      <c r="J81" s="328">
        <f t="shared" si="5"/>
        <v>94.877143383382432</v>
      </c>
      <c r="K81" s="149">
        <f t="shared" si="6"/>
        <v>95.573856447343573</v>
      </c>
      <c r="L81" s="356">
        <v>2.7893518518518519E-2</v>
      </c>
      <c r="M81" s="357" t="s">
        <v>1496</v>
      </c>
      <c r="N81" s="358" t="s">
        <v>1625</v>
      </c>
      <c r="O81" s="357" t="s">
        <v>225</v>
      </c>
      <c r="P81" s="359">
        <v>11388</v>
      </c>
      <c r="Q81" s="358"/>
      <c r="R81" s="357" t="s">
        <v>1377</v>
      </c>
      <c r="S81" s="359">
        <v>38970</v>
      </c>
      <c r="T81" s="369"/>
      <c r="U81" s="238"/>
    </row>
    <row r="82" spans="1:21" ht="15.75">
      <c r="A82" s="220">
        <v>76</v>
      </c>
      <c r="B82" s="88">
        <v>2.7939814814814813E-2</v>
      </c>
      <c r="C82" s="227">
        <f t="shared" si="10"/>
        <v>40.233333333333334</v>
      </c>
      <c r="D82" s="227">
        <f t="shared" si="9"/>
        <v>39.024390243902438</v>
      </c>
      <c r="E82" s="232">
        <f t="shared" si="8"/>
        <v>0.67649999999999999</v>
      </c>
      <c r="F82" s="227">
        <v>38.734383367690533</v>
      </c>
      <c r="G82" s="227">
        <v>40.233333333333334</v>
      </c>
      <c r="H82" s="233"/>
      <c r="I82" s="1">
        <v>76</v>
      </c>
      <c r="J82" s="328">
        <f t="shared" si="5"/>
        <v>96.274357997573816</v>
      </c>
      <c r="K82" s="149">
        <f t="shared" si="6"/>
        <v>96.995170448804728</v>
      </c>
      <c r="L82" s="356">
        <v>2.7939814814814813E-2</v>
      </c>
      <c r="M82" s="357" t="s">
        <v>1496</v>
      </c>
      <c r="N82" s="358" t="s">
        <v>1625</v>
      </c>
      <c r="O82" s="357" t="s">
        <v>225</v>
      </c>
      <c r="P82" s="359">
        <v>11388</v>
      </c>
      <c r="Q82" s="358"/>
      <c r="R82" s="357" t="s">
        <v>1635</v>
      </c>
      <c r="S82" s="359">
        <v>39259</v>
      </c>
      <c r="T82" s="369"/>
      <c r="U82" s="238"/>
    </row>
    <row r="83" spans="1:21" ht="15.75">
      <c r="A83" s="220">
        <v>77</v>
      </c>
      <c r="B83" s="88">
        <v>3.050925925925926E-2</v>
      </c>
      <c r="C83" s="227">
        <f t="shared" si="10"/>
        <v>43.933333333333337</v>
      </c>
      <c r="D83" s="227">
        <f t="shared" si="9"/>
        <v>39.723141739392112</v>
      </c>
      <c r="E83" s="232">
        <f t="shared" si="8"/>
        <v>0.66459999999999997</v>
      </c>
      <c r="F83" s="227">
        <v>39.42004748323901</v>
      </c>
      <c r="G83" s="227">
        <v>43.933333333333337</v>
      </c>
      <c r="H83" s="233"/>
      <c r="I83" s="1">
        <v>77</v>
      </c>
      <c r="J83" s="328">
        <f t="shared" si="5"/>
        <v>89.726966957296668</v>
      </c>
      <c r="K83" s="149">
        <f t="shared" si="6"/>
        <v>90.416862836249109</v>
      </c>
      <c r="L83" s="356">
        <v>3.050925925925926E-2</v>
      </c>
      <c r="M83" s="357" t="s">
        <v>1513</v>
      </c>
      <c r="N83" s="358" t="s">
        <v>1642</v>
      </c>
      <c r="O83" s="357" t="s">
        <v>172</v>
      </c>
      <c r="P83" s="359">
        <v>9774</v>
      </c>
      <c r="Q83" s="358"/>
      <c r="R83" s="357" t="s">
        <v>1229</v>
      </c>
      <c r="S83" s="359">
        <v>38242</v>
      </c>
      <c r="T83" s="369"/>
      <c r="U83" s="238"/>
    </row>
    <row r="84" spans="1:21" ht="15.75">
      <c r="A84" s="220">
        <v>78</v>
      </c>
      <c r="B84" s="88">
        <v>2.9930555555555554E-2</v>
      </c>
      <c r="C84" s="227">
        <f t="shared" si="10"/>
        <v>43.099999999999994</v>
      </c>
      <c r="D84" s="227">
        <f t="shared" si="9"/>
        <v>40.490797546012267</v>
      </c>
      <c r="E84" s="232">
        <f t="shared" si="8"/>
        <v>0.65200000000000002</v>
      </c>
      <c r="F84" s="227">
        <v>40.171336838181027</v>
      </c>
      <c r="G84" s="227">
        <v>43.1</v>
      </c>
      <c r="H84" s="233"/>
      <c r="I84" s="1">
        <v>78</v>
      </c>
      <c r="J84" s="328">
        <f t="shared" ref="J84:J100" si="11">100*(+F84/+C84)</f>
        <v>93.204957861208896</v>
      </c>
      <c r="K84" s="149">
        <f t="shared" ref="K84:K100" si="12">100*(+D84/+C84)</f>
        <v>93.94616600002847</v>
      </c>
      <c r="L84" s="356">
        <v>2.9930555555555554E-2</v>
      </c>
      <c r="M84" s="357" t="s">
        <v>1500</v>
      </c>
      <c r="N84" s="358" t="s">
        <v>1636</v>
      </c>
      <c r="O84" s="357" t="s">
        <v>155</v>
      </c>
      <c r="P84" s="359">
        <v>7482</v>
      </c>
      <c r="Q84" s="358" t="s">
        <v>1643</v>
      </c>
      <c r="R84" s="357" t="s">
        <v>1644</v>
      </c>
      <c r="S84" s="359">
        <v>36045</v>
      </c>
      <c r="T84" s="369"/>
      <c r="U84" s="238"/>
    </row>
    <row r="85" spans="1:21" ht="15.75">
      <c r="A85" s="220">
        <v>79</v>
      </c>
      <c r="B85" s="88">
        <v>3.1446759259259258E-2</v>
      </c>
      <c r="C85" s="227">
        <f t="shared" si="10"/>
        <v>45.283333333333331</v>
      </c>
      <c r="D85" s="227">
        <f t="shared" si="9"/>
        <v>41.327489041953662</v>
      </c>
      <c r="E85" s="232">
        <f t="shared" si="8"/>
        <v>0.63880000000000003</v>
      </c>
      <c r="F85" s="227">
        <v>40.994425379276066</v>
      </c>
      <c r="G85" s="227">
        <v>45.283333333333331</v>
      </c>
      <c r="H85" s="233"/>
      <c r="I85" s="1">
        <v>79</v>
      </c>
      <c r="J85" s="328">
        <f t="shared" si="11"/>
        <v>90.528727374183433</v>
      </c>
      <c r="K85" s="149">
        <f t="shared" si="12"/>
        <v>91.264237854884783</v>
      </c>
      <c r="L85" s="356">
        <v>3.1446759259259258E-2</v>
      </c>
      <c r="M85" s="370" t="s">
        <v>1496</v>
      </c>
      <c r="N85" s="358" t="s">
        <v>1645</v>
      </c>
      <c r="O85" s="357" t="s">
        <v>155</v>
      </c>
      <c r="P85" s="358"/>
      <c r="Q85" s="358"/>
      <c r="R85" s="370" t="s">
        <v>1646</v>
      </c>
      <c r="S85" s="371">
        <v>31632</v>
      </c>
      <c r="T85" s="372"/>
      <c r="U85" s="238"/>
    </row>
    <row r="86" spans="1:21" ht="15.75">
      <c r="A86" s="220">
        <v>80</v>
      </c>
      <c r="B86" s="88">
        <v>2.9837962962962962E-2</v>
      </c>
      <c r="C86" s="227">
        <f t="shared" si="10"/>
        <v>42.966666666666669</v>
      </c>
      <c r="D86" s="227">
        <f t="shared" si="9"/>
        <v>42.246759481517039</v>
      </c>
      <c r="E86" s="232">
        <f t="shared" si="8"/>
        <v>0.62490000000000001</v>
      </c>
      <c r="F86" s="227">
        <v>41.896449117238639</v>
      </c>
      <c r="G86" s="227">
        <v>42.966666666666669</v>
      </c>
      <c r="H86" s="233"/>
      <c r="I86" s="1">
        <v>80</v>
      </c>
      <c r="J86" s="328">
        <f t="shared" si="11"/>
        <v>97.509191118476267</v>
      </c>
      <c r="K86" s="149">
        <f t="shared" si="12"/>
        <v>98.324498405392632</v>
      </c>
      <c r="L86" s="356">
        <v>2.9837962962962962E-2</v>
      </c>
      <c r="M86" s="357" t="s">
        <v>1496</v>
      </c>
      <c r="N86" s="358" t="s">
        <v>1625</v>
      </c>
      <c r="O86" s="357" t="s">
        <v>225</v>
      </c>
      <c r="P86" s="359">
        <v>11388</v>
      </c>
      <c r="Q86" s="358"/>
      <c r="R86" s="357" t="s">
        <v>1377</v>
      </c>
      <c r="S86" s="359">
        <v>40797</v>
      </c>
      <c r="T86" s="369"/>
      <c r="U86" s="238"/>
    </row>
    <row r="87" spans="1:21" ht="15.75">
      <c r="A87" s="220">
        <v>81</v>
      </c>
      <c r="B87" s="88">
        <v>3.1458333333333331E-2</v>
      </c>
      <c r="C87" s="227">
        <f t="shared" si="10"/>
        <v>45.3</v>
      </c>
      <c r="D87" s="227">
        <f t="shared" si="9"/>
        <v>43.257414386367358</v>
      </c>
      <c r="E87" s="232">
        <f t="shared" si="8"/>
        <v>0.61029999999999995</v>
      </c>
      <c r="F87" s="227">
        <v>42.885686901996451</v>
      </c>
      <c r="G87" s="227">
        <v>45.3</v>
      </c>
      <c r="H87" s="233"/>
      <c r="I87" s="1">
        <v>81</v>
      </c>
      <c r="J87" s="328">
        <f t="shared" si="11"/>
        <v>94.670390512133451</v>
      </c>
      <c r="K87" s="149">
        <f t="shared" si="12"/>
        <v>95.490980985358405</v>
      </c>
      <c r="L87" s="356">
        <v>3.1458333333333331E-2</v>
      </c>
      <c r="M87" s="357" t="s">
        <v>1513</v>
      </c>
      <c r="N87" s="358" t="s">
        <v>1642</v>
      </c>
      <c r="O87" s="357" t="s">
        <v>172</v>
      </c>
      <c r="P87" s="359">
        <v>9774</v>
      </c>
      <c r="Q87" s="358"/>
      <c r="R87" s="357" t="s">
        <v>1647</v>
      </c>
      <c r="S87" s="359">
        <v>39628</v>
      </c>
      <c r="T87" s="369"/>
      <c r="U87" s="238"/>
    </row>
    <row r="88" spans="1:21" ht="15.75">
      <c r="A88" s="220">
        <v>82</v>
      </c>
      <c r="B88" s="88">
        <v>3.0810185185185184E-2</v>
      </c>
      <c r="C88" s="227">
        <f t="shared" si="10"/>
        <v>44.366666666666667</v>
      </c>
      <c r="D88" s="227">
        <f t="shared" si="9"/>
        <v>44.362292051756008</v>
      </c>
      <c r="E88" s="232">
        <f t="shared" si="8"/>
        <v>0.59509999999999996</v>
      </c>
      <c r="F88" s="227">
        <v>43.97178477143833</v>
      </c>
      <c r="G88" s="227">
        <v>44.366666666666667</v>
      </c>
      <c r="H88" s="233"/>
      <c r="I88" s="1">
        <v>82</v>
      </c>
      <c r="J88" s="328">
        <f t="shared" si="11"/>
        <v>99.109958162520655</v>
      </c>
      <c r="K88" s="149">
        <f t="shared" si="12"/>
        <v>99.990139861208121</v>
      </c>
      <c r="L88" s="356">
        <v>3.0810185185185184E-2</v>
      </c>
      <c r="M88" s="357" t="s">
        <v>1496</v>
      </c>
      <c r="N88" s="358" t="s">
        <v>1625</v>
      </c>
      <c r="O88" s="357" t="s">
        <v>225</v>
      </c>
      <c r="P88" s="359">
        <v>11388</v>
      </c>
      <c r="Q88" s="358"/>
      <c r="R88" s="357" t="s">
        <v>1377</v>
      </c>
      <c r="S88" s="359">
        <v>41525</v>
      </c>
      <c r="T88" s="369"/>
      <c r="U88" s="238"/>
    </row>
    <row r="89" spans="1:21" ht="15.75">
      <c r="A89" s="220">
        <v>83</v>
      </c>
      <c r="B89" s="88">
        <v>3.366898148148148E-2</v>
      </c>
      <c r="C89" s="227">
        <f t="shared" si="10"/>
        <v>48.483333333333334</v>
      </c>
      <c r="D89" s="227">
        <f t="shared" si="9"/>
        <v>45.580110497237563</v>
      </c>
      <c r="E89" s="232">
        <f t="shared" si="8"/>
        <v>0.57920000000000005</v>
      </c>
      <c r="F89" s="227">
        <v>45.166036509212844</v>
      </c>
      <c r="G89" s="227">
        <v>48.483333333333334</v>
      </c>
      <c r="H89" s="233"/>
      <c r="I89" s="1">
        <v>83</v>
      </c>
      <c r="J89" s="328">
        <f t="shared" si="11"/>
        <v>93.157861483422849</v>
      </c>
      <c r="K89" s="149">
        <f t="shared" si="12"/>
        <v>94.011915772920375</v>
      </c>
      <c r="L89" s="356">
        <v>3.366898148148148E-2</v>
      </c>
      <c r="M89" s="370" t="s">
        <v>1496</v>
      </c>
      <c r="N89" s="358" t="s">
        <v>1645</v>
      </c>
      <c r="O89" s="357" t="s">
        <v>155</v>
      </c>
      <c r="P89" s="358"/>
      <c r="Q89" s="358"/>
      <c r="R89" s="357"/>
      <c r="S89" s="358"/>
      <c r="T89" s="374"/>
      <c r="U89" s="238"/>
    </row>
    <row r="90" spans="1:21" ht="15.75">
      <c r="A90" s="220">
        <v>84</v>
      </c>
      <c r="B90" s="88">
        <v>3.3993055555555554E-2</v>
      </c>
      <c r="C90" s="227">
        <f t="shared" si="10"/>
        <v>48.949999999999996</v>
      </c>
      <c r="D90" s="227">
        <f t="shared" si="9"/>
        <v>46.924991112691075</v>
      </c>
      <c r="E90" s="232">
        <f t="shared" si="8"/>
        <v>0.56259999999999999</v>
      </c>
      <c r="F90" s="227">
        <v>46.481737431003666</v>
      </c>
      <c r="G90" s="227">
        <v>48.95000000000001</v>
      </c>
      <c r="H90" s="233"/>
      <c r="I90" s="1">
        <v>84</v>
      </c>
      <c r="J90" s="328">
        <f t="shared" si="11"/>
        <v>94.957584128710266</v>
      </c>
      <c r="K90" s="149">
        <f t="shared" si="12"/>
        <v>95.863107482514977</v>
      </c>
      <c r="L90" s="356">
        <v>3.3993055555555554E-2</v>
      </c>
      <c r="M90" s="370" t="s">
        <v>1496</v>
      </c>
      <c r="N90" s="358" t="s">
        <v>1645</v>
      </c>
      <c r="O90" s="357" t="s">
        <v>155</v>
      </c>
      <c r="P90" s="358"/>
      <c r="Q90" s="358"/>
      <c r="R90" s="357"/>
      <c r="S90" s="358"/>
      <c r="T90" s="374"/>
      <c r="U90" s="238"/>
    </row>
    <row r="91" spans="1:21" ht="15.75">
      <c r="A91" s="220">
        <v>85</v>
      </c>
      <c r="B91" s="88">
        <v>3.6736111111111108E-2</v>
      </c>
      <c r="C91" s="227">
        <f t="shared" si="10"/>
        <v>52.9</v>
      </c>
      <c r="D91" s="227">
        <f t="shared" si="9"/>
        <v>48.4048404840484</v>
      </c>
      <c r="E91" s="232">
        <f t="shared" si="8"/>
        <v>0.5454</v>
      </c>
      <c r="F91" s="227">
        <v>47.934634589196541</v>
      </c>
      <c r="G91" s="227">
        <v>52.9</v>
      </c>
      <c r="H91" s="233"/>
      <c r="I91" s="1">
        <v>85</v>
      </c>
      <c r="J91" s="328">
        <f t="shared" si="11"/>
        <v>90.613675972016154</v>
      </c>
      <c r="K91" s="149">
        <f t="shared" si="12"/>
        <v>91.502533996310774</v>
      </c>
      <c r="L91" s="356">
        <v>3.6736111111111108E-2</v>
      </c>
      <c r="M91" s="357" t="s">
        <v>1648</v>
      </c>
      <c r="N91" s="358" t="s">
        <v>1649</v>
      </c>
      <c r="O91" s="357" t="s">
        <v>331</v>
      </c>
      <c r="P91" s="359">
        <v>11235</v>
      </c>
      <c r="Q91" s="358"/>
      <c r="R91" s="357" t="s">
        <v>1650</v>
      </c>
      <c r="S91" s="359">
        <v>42295</v>
      </c>
      <c r="T91" s="358"/>
      <c r="U91" s="238"/>
    </row>
    <row r="92" spans="1:21" ht="15.75">
      <c r="A92" s="220">
        <v>86</v>
      </c>
      <c r="B92" s="88">
        <v>4.0879629629629627E-2</v>
      </c>
      <c r="C92" s="227">
        <f t="shared" si="10"/>
        <v>58.86666666666666</v>
      </c>
      <c r="D92" s="227">
        <f t="shared" si="9"/>
        <v>50.047393364928908</v>
      </c>
      <c r="E92" s="232">
        <f t="shared" si="8"/>
        <v>0.52749999999999997</v>
      </c>
      <c r="F92" s="227">
        <v>49.543505390671179</v>
      </c>
      <c r="G92" s="227">
        <v>58.866666666666674</v>
      </c>
      <c r="H92" s="233"/>
      <c r="I92" s="1">
        <v>86</v>
      </c>
      <c r="J92" s="328">
        <f t="shared" si="11"/>
        <v>84.162240188003139</v>
      </c>
      <c r="K92" s="149">
        <f t="shared" si="12"/>
        <v>85.018222024228052</v>
      </c>
      <c r="L92" s="356">
        <v>4.0879629629629627E-2</v>
      </c>
      <c r="M92" s="357" t="s">
        <v>1520</v>
      </c>
      <c r="N92" s="358" t="s">
        <v>1651</v>
      </c>
      <c r="O92" s="357" t="s">
        <v>155</v>
      </c>
      <c r="P92" s="359">
        <v>10260</v>
      </c>
      <c r="Q92" s="358"/>
      <c r="R92" s="357" t="s">
        <v>1652</v>
      </c>
      <c r="S92" s="359">
        <v>41860</v>
      </c>
      <c r="T92" s="358"/>
      <c r="U92" s="238"/>
    </row>
    <row r="93" spans="1:21" ht="15.75">
      <c r="A93" s="220">
        <v>87</v>
      </c>
      <c r="B93" s="88">
        <v>4.2245370370370371E-2</v>
      </c>
      <c r="C93" s="227">
        <f t="shared" si="10"/>
        <v>60.833333333333336</v>
      </c>
      <c r="D93" s="227">
        <f t="shared" si="9"/>
        <v>51.876596580860678</v>
      </c>
      <c r="E93" s="232">
        <f t="shared" si="8"/>
        <v>0.50890000000000002</v>
      </c>
      <c r="F93" s="227">
        <v>51.330909373724012</v>
      </c>
      <c r="G93" s="227">
        <v>60.833333333333336</v>
      </c>
      <c r="H93" s="233"/>
      <c r="I93" s="1">
        <v>87</v>
      </c>
      <c r="J93" s="328">
        <f t="shared" si="11"/>
        <v>84.379577052697002</v>
      </c>
      <c r="K93" s="149">
        <f t="shared" si="12"/>
        <v>85.276597119223027</v>
      </c>
      <c r="L93" s="356">
        <v>4.2245370370370371E-2</v>
      </c>
      <c r="M93" s="357" t="s">
        <v>1653</v>
      </c>
      <c r="N93" s="358" t="s">
        <v>1654</v>
      </c>
      <c r="O93" s="357" t="s">
        <v>283</v>
      </c>
      <c r="P93" s="359">
        <v>9847</v>
      </c>
      <c r="Q93" s="358"/>
      <c r="R93" s="357" t="s">
        <v>1655</v>
      </c>
      <c r="S93" s="359">
        <v>41895</v>
      </c>
      <c r="T93" s="358"/>
      <c r="U93" s="245"/>
    </row>
    <row r="94" spans="1:21" ht="15.75">
      <c r="A94" s="220">
        <v>88</v>
      </c>
      <c r="B94" s="88">
        <v>4.3148148148148151E-2</v>
      </c>
      <c r="C94" s="227">
        <f t="shared" si="10"/>
        <v>62.13333333333334</v>
      </c>
      <c r="D94" s="227">
        <f t="shared" si="9"/>
        <v>53.921568627450981</v>
      </c>
      <c r="E94" s="232">
        <f t="shared" si="8"/>
        <v>0.48959999999999998</v>
      </c>
      <c r="F94" s="227">
        <v>53.324176656533723</v>
      </c>
      <c r="G94" s="227">
        <v>62.13333333333334</v>
      </c>
      <c r="H94" s="233"/>
      <c r="I94" s="1">
        <v>88</v>
      </c>
      <c r="J94" s="328">
        <f t="shared" si="11"/>
        <v>85.82217273047273</v>
      </c>
      <c r="K94" s="149">
        <f t="shared" si="12"/>
        <v>86.783640494824539</v>
      </c>
      <c r="L94" s="356">
        <v>4.3148148148148151E-2</v>
      </c>
      <c r="M94" s="370" t="s">
        <v>1405</v>
      </c>
      <c r="N94" s="370" t="s">
        <v>1656</v>
      </c>
      <c r="O94" s="357"/>
      <c r="P94" s="358"/>
      <c r="Q94" s="358"/>
      <c r="R94" s="357" t="s">
        <v>234</v>
      </c>
      <c r="S94" s="371">
        <v>33671</v>
      </c>
      <c r="T94" s="358"/>
      <c r="U94" s="245"/>
    </row>
    <row r="95" spans="1:21" ht="15.75">
      <c r="A95" s="220">
        <v>89</v>
      </c>
      <c r="B95" s="88">
        <v>4.8645833333333333E-2</v>
      </c>
      <c r="C95" s="227">
        <f t="shared" si="10"/>
        <v>70.05</v>
      </c>
      <c r="D95" s="227">
        <f t="shared" si="9"/>
        <v>56.206088992974237</v>
      </c>
      <c r="E95" s="232">
        <f t="shared" si="8"/>
        <v>0.46970000000000001</v>
      </c>
      <c r="F95" s="227">
        <v>55.556724678549628</v>
      </c>
      <c r="G95" s="227">
        <v>70.05</v>
      </c>
      <c r="H95" s="233"/>
      <c r="I95" s="1">
        <v>89</v>
      </c>
      <c r="J95" s="328">
        <f t="shared" si="11"/>
        <v>79.310099469735377</v>
      </c>
      <c r="K95" s="149">
        <f t="shared" si="12"/>
        <v>80.237100632368652</v>
      </c>
      <c r="L95" s="356">
        <v>4.8645833333333333E-2</v>
      </c>
      <c r="M95" s="370" t="s">
        <v>1657</v>
      </c>
      <c r="N95" s="370" t="s">
        <v>1658</v>
      </c>
      <c r="O95" s="357" t="s">
        <v>155</v>
      </c>
      <c r="P95" s="358"/>
      <c r="Q95" s="370" t="s">
        <v>1659</v>
      </c>
      <c r="R95" s="370" t="s">
        <v>1660</v>
      </c>
      <c r="S95" s="371">
        <v>37268</v>
      </c>
      <c r="T95" s="358"/>
      <c r="U95" s="245"/>
    </row>
    <row r="96" spans="1:21" ht="15.75">
      <c r="A96" s="220">
        <v>90</v>
      </c>
      <c r="B96" s="88">
        <v>4.9930555555555554E-2</v>
      </c>
      <c r="C96" s="227">
        <f t="shared" si="10"/>
        <v>71.899999999999991</v>
      </c>
      <c r="D96" s="227">
        <f t="shared" si="9"/>
        <v>58.784235136940545</v>
      </c>
      <c r="E96" s="232">
        <f t="shared" si="8"/>
        <v>0.4491</v>
      </c>
      <c r="F96" s="227">
        <v>58.069837778388774</v>
      </c>
      <c r="G96" s="227">
        <v>71.899999999999991</v>
      </c>
      <c r="H96" s="233"/>
      <c r="I96" s="1">
        <v>90</v>
      </c>
      <c r="J96" s="328">
        <f t="shared" si="11"/>
        <v>80.764725700123478</v>
      </c>
      <c r="K96" s="149">
        <f t="shared" si="12"/>
        <v>81.75832425165585</v>
      </c>
      <c r="L96" s="356">
        <v>4.9930555555555554E-2</v>
      </c>
      <c r="M96" s="357" t="s">
        <v>1661</v>
      </c>
      <c r="N96" s="358" t="s">
        <v>1662</v>
      </c>
      <c r="O96" s="357" t="s">
        <v>1663</v>
      </c>
      <c r="P96" s="359">
        <v>6987</v>
      </c>
      <c r="Q96" s="358"/>
      <c r="R96" s="357" t="s">
        <v>1664</v>
      </c>
      <c r="S96" s="359">
        <v>39922</v>
      </c>
      <c r="T96" s="358"/>
      <c r="U96" s="238"/>
    </row>
    <row r="97" spans="1:21" ht="15.75">
      <c r="A97" s="220">
        <v>91</v>
      </c>
      <c r="B97" s="88">
        <v>5.2314814814814814E-2</v>
      </c>
      <c r="C97" s="227">
        <f t="shared" si="10"/>
        <v>75.333333333333329</v>
      </c>
      <c r="D97" s="227">
        <f t="shared" si="9"/>
        <v>61.711079943899016</v>
      </c>
      <c r="E97" s="232">
        <f t="shared" ref="E97:E106" si="13">ROUND(1-IF(A97&lt;I$3,0,IF(A97&lt;I$4,G$3*(A97-I$3)^2,G$2+G$4*(A97-I$4)+(A97&gt;I$5)*G$5*(A97-I$5)^2)),4)</f>
        <v>0.42780000000000001</v>
      </c>
      <c r="F97" s="227">
        <v>60.915111100856045</v>
      </c>
      <c r="G97" s="227">
        <v>75.333333333333329</v>
      </c>
      <c r="H97" s="233"/>
      <c r="I97" s="1">
        <v>91</v>
      </c>
      <c r="J97" s="328">
        <f t="shared" si="11"/>
        <v>80.860766948039</v>
      </c>
      <c r="K97" s="149">
        <f t="shared" si="12"/>
        <v>81.917362757388076</v>
      </c>
      <c r="L97" s="356">
        <v>5.2314814814814814E-2</v>
      </c>
      <c r="M97" s="370" t="s">
        <v>1440</v>
      </c>
      <c r="N97" s="370" t="s">
        <v>1665</v>
      </c>
      <c r="O97" s="357" t="s">
        <v>155</v>
      </c>
      <c r="P97" s="362" t="s">
        <v>1666</v>
      </c>
      <c r="Q97" s="370" t="s">
        <v>1659</v>
      </c>
      <c r="R97" s="370" t="s">
        <v>1660</v>
      </c>
      <c r="S97" s="371">
        <v>33257</v>
      </c>
      <c r="T97" s="358"/>
      <c r="U97" s="245"/>
    </row>
    <row r="98" spans="1:21" ht="15.75">
      <c r="A98" s="220">
        <v>92</v>
      </c>
      <c r="B98" s="88">
        <v>5.6574074074074075E-2</v>
      </c>
      <c r="C98" s="227">
        <f t="shared" si="10"/>
        <v>81.466666666666669</v>
      </c>
      <c r="D98" s="227">
        <f t="shared" si="9"/>
        <v>65.040650406504071</v>
      </c>
      <c r="E98" s="232">
        <f t="shared" si="13"/>
        <v>0.40589999999999998</v>
      </c>
      <c r="F98" s="227">
        <v>64.157867236958808</v>
      </c>
      <c r="G98" s="227">
        <v>81.466666666666669</v>
      </c>
      <c r="H98" s="233"/>
      <c r="I98" s="1">
        <v>92</v>
      </c>
      <c r="J98" s="328">
        <f t="shared" si="11"/>
        <v>78.753519521635198</v>
      </c>
      <c r="K98" s="149">
        <f t="shared" si="12"/>
        <v>79.837132250209578</v>
      </c>
      <c r="L98" s="356">
        <v>5.6574074074074075E-2</v>
      </c>
      <c r="M98" s="370" t="s">
        <v>1667</v>
      </c>
      <c r="N98" s="370" t="s">
        <v>1668</v>
      </c>
      <c r="O98" s="357" t="s">
        <v>155</v>
      </c>
      <c r="P98" s="358"/>
      <c r="Q98" s="370" t="s">
        <v>1669</v>
      </c>
      <c r="R98" s="370" t="s">
        <v>1670</v>
      </c>
      <c r="S98" s="359">
        <v>41095</v>
      </c>
      <c r="T98" s="370" t="s">
        <v>1671</v>
      </c>
    </row>
    <row r="99" spans="1:21" ht="15.75">
      <c r="A99" s="220">
        <v>93</v>
      </c>
      <c r="B99" s="88">
        <v>6.9687499999999999E-2</v>
      </c>
      <c r="C99" s="227">
        <f t="shared" si="10"/>
        <v>100.35</v>
      </c>
      <c r="D99" s="227">
        <f t="shared" si="9"/>
        <v>68.875554396034445</v>
      </c>
      <c r="E99" s="232">
        <f t="shared" si="13"/>
        <v>0.38329999999999997</v>
      </c>
      <c r="F99" s="227">
        <v>67.882029261268656</v>
      </c>
      <c r="G99" s="227">
        <v>100.35</v>
      </c>
      <c r="H99" s="233"/>
      <c r="I99" s="1">
        <v>93</v>
      </c>
      <c r="J99" s="328">
        <f t="shared" si="11"/>
        <v>67.645270813421689</v>
      </c>
      <c r="K99" s="149">
        <f t="shared" si="12"/>
        <v>68.635330738449881</v>
      </c>
      <c r="L99" s="356">
        <v>6.9687499999999999E-2</v>
      </c>
      <c r="M99" s="370" t="s">
        <v>1440</v>
      </c>
      <c r="N99" s="370" t="s">
        <v>1665</v>
      </c>
      <c r="O99" s="357" t="s">
        <v>155</v>
      </c>
      <c r="P99" s="362" t="s">
        <v>1666</v>
      </c>
      <c r="Q99" s="370" t="s">
        <v>1659</v>
      </c>
      <c r="R99" s="370" t="s">
        <v>1660</v>
      </c>
      <c r="S99" s="371">
        <v>33985</v>
      </c>
      <c r="T99" s="358"/>
    </row>
    <row r="100" spans="1:21" ht="15.75">
      <c r="A100" s="220">
        <v>94</v>
      </c>
      <c r="B100" s="88">
        <v>7.4629629629629629E-2</v>
      </c>
      <c r="C100" s="227">
        <f t="shared" si="10"/>
        <v>107.46666666666667</v>
      </c>
      <c r="D100" s="227">
        <f t="shared" si="9"/>
        <v>73.333333333333329</v>
      </c>
      <c r="E100" s="232">
        <f t="shared" si="13"/>
        <v>0.36</v>
      </c>
      <c r="F100" s="227">
        <v>72.197229704784419</v>
      </c>
      <c r="G100" s="227">
        <v>107.46666666666667</v>
      </c>
      <c r="H100" s="233"/>
      <c r="I100" s="1">
        <v>94</v>
      </c>
      <c r="J100" s="328">
        <f t="shared" si="11"/>
        <v>67.181045010655467</v>
      </c>
      <c r="K100" s="149">
        <f t="shared" si="12"/>
        <v>68.238213399503707</v>
      </c>
      <c r="L100" s="356">
        <v>7.4629629629629629E-2</v>
      </c>
      <c r="M100" s="370" t="s">
        <v>1440</v>
      </c>
      <c r="N100" s="370" t="s">
        <v>1665</v>
      </c>
      <c r="O100" s="357" t="s">
        <v>155</v>
      </c>
      <c r="P100" s="362" t="s">
        <v>1666</v>
      </c>
      <c r="Q100" s="370" t="s">
        <v>1659</v>
      </c>
      <c r="R100" s="370" t="s">
        <v>1660</v>
      </c>
      <c r="S100" s="371">
        <v>34349</v>
      </c>
      <c r="T100" s="358"/>
    </row>
    <row r="101" spans="1:21">
      <c r="A101" s="220">
        <v>95</v>
      </c>
      <c r="B101" s="8" t="s">
        <v>78</v>
      </c>
      <c r="C101" s="227"/>
      <c r="D101" s="227">
        <f t="shared" si="9"/>
        <v>78.571428571428569</v>
      </c>
      <c r="E101" s="232">
        <f t="shared" si="13"/>
        <v>0.33600000000000002</v>
      </c>
      <c r="F101" s="227">
        <v>77.249451353328453</v>
      </c>
      <c r="G101" s="227"/>
      <c r="H101" s="233"/>
      <c r="I101" s="220">
        <v>95</v>
      </c>
      <c r="J101" s="469"/>
      <c r="K101" s="230"/>
      <c r="L101" s="250"/>
    </row>
    <row r="102" spans="1:21">
      <c r="A102" s="220">
        <v>96</v>
      </c>
      <c r="B102" s="1" t="s">
        <v>78</v>
      </c>
      <c r="C102" s="227"/>
      <c r="D102" s="227">
        <f t="shared" si="9"/>
        <v>84.778420038535643</v>
      </c>
      <c r="E102" s="232">
        <f t="shared" si="13"/>
        <v>0.31140000000000001</v>
      </c>
      <c r="F102" s="227">
        <v>83.237431620765207</v>
      </c>
      <c r="G102" s="227"/>
      <c r="H102" s="233"/>
      <c r="I102" s="220">
        <v>96</v>
      </c>
      <c r="J102" s="469"/>
      <c r="K102" s="230"/>
      <c r="L102" s="250"/>
    </row>
    <row r="103" spans="1:21">
      <c r="A103" s="220">
        <v>97</v>
      </c>
      <c r="B103" s="1" t="s">
        <v>78</v>
      </c>
      <c r="C103" s="227"/>
      <c r="D103" s="227">
        <f t="shared" si="9"/>
        <v>92.275428171967832</v>
      </c>
      <c r="E103" s="232">
        <f t="shared" si="13"/>
        <v>0.28610000000000002</v>
      </c>
      <c r="F103" s="227">
        <v>90.438833887156989</v>
      </c>
      <c r="G103" s="227"/>
      <c r="H103" s="233"/>
      <c r="I103" s="220">
        <v>97</v>
      </c>
      <c r="J103" s="469"/>
      <c r="K103" s="230"/>
      <c r="L103" s="250"/>
    </row>
    <row r="104" spans="1:21">
      <c r="A104" s="220">
        <v>98</v>
      </c>
      <c r="B104" s="1" t="s">
        <v>78</v>
      </c>
      <c r="C104" s="227"/>
      <c r="D104" s="227">
        <f t="shared" si="9"/>
        <v>101.46041506533436</v>
      </c>
      <c r="E104" s="232">
        <f t="shared" si="13"/>
        <v>0.26019999999999999</v>
      </c>
      <c r="F104" s="227">
        <v>99.25371731488616</v>
      </c>
      <c r="G104" s="227"/>
      <c r="H104" s="233"/>
      <c r="I104" s="220">
        <v>98</v>
      </c>
      <c r="J104" s="469"/>
      <c r="K104" s="230"/>
      <c r="L104" s="250"/>
    </row>
    <row r="105" spans="1:21">
      <c r="A105" s="220">
        <v>99</v>
      </c>
      <c r="B105" s="1" t="s">
        <v>78</v>
      </c>
      <c r="C105" s="227"/>
      <c r="D105" s="227">
        <f t="shared" si="9"/>
        <v>113.06209850107065</v>
      </c>
      <c r="E105" s="232">
        <f t="shared" si="13"/>
        <v>0.23350000000000001</v>
      </c>
      <c r="F105" s="227">
        <v>110.28029575170224</v>
      </c>
      <c r="G105" s="227"/>
      <c r="H105" s="233"/>
      <c r="I105" s="220">
        <v>99</v>
      </c>
      <c r="J105" s="469"/>
      <c r="K105" s="230"/>
      <c r="L105" s="250"/>
    </row>
    <row r="106" spans="1:21">
      <c r="A106" s="220">
        <v>100</v>
      </c>
      <c r="B106" s="1"/>
      <c r="D106" s="227">
        <f t="shared" si="9"/>
        <v>128.03103782735209</v>
      </c>
      <c r="E106" s="232">
        <f t="shared" si="13"/>
        <v>0.20619999999999999</v>
      </c>
      <c r="F106" s="227">
        <v>124.45492044784906</v>
      </c>
      <c r="G106" s="227"/>
      <c r="H106" s="233"/>
      <c r="I106" s="220">
        <v>100</v>
      </c>
      <c r="J106" s="469"/>
      <c r="K106" s="230"/>
    </row>
  </sheetData>
  <pageMargins left="0.5" right="0.5" top="0.5" bottom="0.5" header="0" footer="0"/>
  <pageSetup orientation="portrait" verticalDpi="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6"/>
  <sheetViews>
    <sheetView topLeftCell="A22" zoomScale="87" zoomScaleNormal="87" workbookViewId="0">
      <selection activeCell="J39" sqref="J39"/>
    </sheetView>
  </sheetViews>
  <sheetFormatPr defaultColWidth="9.6640625" defaultRowHeight="15"/>
  <cols>
    <col min="1" max="1" width="9.6640625" style="1" customWidth="1"/>
    <col min="2" max="2" width="15.109375" style="1" customWidth="1"/>
    <col min="3" max="5" width="9.6640625" style="1" customWidth="1"/>
    <col min="6" max="6" width="10.6640625" style="1" customWidth="1"/>
    <col min="7" max="7" width="11.6640625" style="1" customWidth="1"/>
    <col min="8" max="9" width="10.6640625" style="1" customWidth="1"/>
    <col min="10" max="10" width="17.5546875" style="1" customWidth="1"/>
    <col min="11" max="11" width="9.6640625" style="1"/>
    <col min="12" max="12" width="11.6640625" style="1" customWidth="1"/>
    <col min="13" max="13" width="24.109375" style="1" customWidth="1"/>
    <col min="14" max="14" width="11.109375" style="1" customWidth="1"/>
    <col min="15" max="15" width="14.88671875" style="1" customWidth="1"/>
    <col min="16" max="16" width="10.109375" style="1" bestFit="1" customWidth="1"/>
    <col min="17" max="16384" width="9.6640625" style="1"/>
  </cols>
  <sheetData>
    <row r="1" spans="1:16" ht="29.1" customHeight="1">
      <c r="A1" s="216" t="s">
        <v>80</v>
      </c>
      <c r="B1" s="217"/>
      <c r="C1" s="218"/>
      <c r="D1" s="219" t="s">
        <v>32</v>
      </c>
      <c r="E1" s="219" t="s">
        <v>71</v>
      </c>
      <c r="F1" s="219" t="s">
        <v>72</v>
      </c>
      <c r="G1" s="219" t="s">
        <v>73</v>
      </c>
      <c r="H1" s="219" t="s">
        <v>74</v>
      </c>
      <c r="I1" s="219" t="s">
        <v>75</v>
      </c>
      <c r="J1" s="220"/>
      <c r="K1" s="220" t="s">
        <v>1360</v>
      </c>
      <c r="L1" s="220"/>
      <c r="M1" s="220"/>
      <c r="N1" s="220"/>
      <c r="O1" s="220"/>
      <c r="P1" s="220"/>
    </row>
    <row r="2" spans="1:16" ht="15.95" customHeight="1">
      <c r="A2" s="216"/>
      <c r="B2" s="217"/>
      <c r="C2" s="218"/>
      <c r="D2" s="219"/>
      <c r="E2" s="219"/>
      <c r="F2" s="268">
        <f>(+H$3-H$4)*F$4/2</f>
        <v>4.725E-2</v>
      </c>
      <c r="G2" s="269">
        <f>(+I$4-I$3)*G$4/2</f>
        <v>0.17219999999999999</v>
      </c>
      <c r="H2" s="221"/>
      <c r="I2" s="221"/>
      <c r="J2" s="220"/>
      <c r="K2" s="225">
        <f>Parameters!Z19</f>
        <v>0.24421245079182743</v>
      </c>
      <c r="L2" s="220"/>
      <c r="M2" s="220"/>
      <c r="N2" s="220"/>
      <c r="O2" s="220"/>
      <c r="P2" s="220"/>
    </row>
    <row r="3" spans="1:16" ht="15.95" customHeight="1">
      <c r="A3" s="216"/>
      <c r="B3" s="217"/>
      <c r="C3" s="218"/>
      <c r="D3" s="219"/>
      <c r="E3" s="219"/>
      <c r="F3" s="268">
        <f>F4/(2*(+H3-H4))</f>
        <v>1.89E-3</v>
      </c>
      <c r="G3" s="269">
        <f>G4/(2*(+I4-I3))</f>
        <v>1.6006097560975613E-4</v>
      </c>
      <c r="H3" s="222">
        <v>22</v>
      </c>
      <c r="I3" s="223">
        <v>24</v>
      </c>
      <c r="J3" s="220"/>
      <c r="K3" s="220"/>
      <c r="L3" s="220"/>
      <c r="M3" s="220"/>
      <c r="N3" s="220"/>
      <c r="O3" s="220"/>
      <c r="P3" s="220"/>
    </row>
    <row r="4" spans="1:16" ht="15.75">
      <c r="A4" s="217"/>
      <c r="B4" s="217"/>
      <c r="C4" s="217"/>
      <c r="D4" s="224">
        <f>Parameters!G19</f>
        <v>2.2164351851851852E-2</v>
      </c>
      <c r="E4" s="225">
        <f>D4*1440</f>
        <v>31.916666666666668</v>
      </c>
      <c r="F4" s="226">
        <v>1.89E-2</v>
      </c>
      <c r="G4" s="215">
        <v>1.0500000000000001E-2</v>
      </c>
      <c r="H4" s="222">
        <v>17</v>
      </c>
      <c r="I4" s="223">
        <v>56.8</v>
      </c>
      <c r="J4" s="227"/>
      <c r="K4" s="220"/>
      <c r="L4" s="220"/>
      <c r="M4" s="220"/>
      <c r="N4" s="220"/>
      <c r="O4" s="220"/>
      <c r="P4" s="220"/>
    </row>
    <row r="5" spans="1:16" ht="15.75">
      <c r="A5" s="217"/>
      <c r="B5" s="217"/>
      <c r="C5" s="217"/>
      <c r="D5" s="224"/>
      <c r="E5" s="217">
        <f>E4*60</f>
        <v>1915</v>
      </c>
      <c r="F5" s="226">
        <v>9.1E-4</v>
      </c>
      <c r="G5" s="215">
        <v>5.1000000000000004E-4</v>
      </c>
      <c r="H5" s="222">
        <v>15</v>
      </c>
      <c r="I5" s="223">
        <v>76.7</v>
      </c>
      <c r="J5" s="227"/>
      <c r="K5" s="220"/>
      <c r="L5" s="220"/>
      <c r="M5" s="220"/>
      <c r="N5" s="220"/>
      <c r="O5" s="220"/>
      <c r="P5" s="220"/>
    </row>
    <row r="6" spans="1:16" ht="27.95" customHeight="1">
      <c r="A6" s="228" t="s">
        <v>69</v>
      </c>
      <c r="B6" s="228" t="s">
        <v>555</v>
      </c>
      <c r="C6" s="228" t="s">
        <v>70</v>
      </c>
      <c r="D6" s="228" t="s">
        <v>556</v>
      </c>
      <c r="E6" s="228" t="s">
        <v>143</v>
      </c>
      <c r="F6" s="422" t="s">
        <v>142</v>
      </c>
      <c r="G6" s="228" t="s">
        <v>69</v>
      </c>
      <c r="H6" s="424" t="s">
        <v>316</v>
      </c>
      <c r="I6" s="424" t="s">
        <v>237</v>
      </c>
      <c r="J6" s="424" t="s">
        <v>238</v>
      </c>
      <c r="K6" s="425" t="s">
        <v>239</v>
      </c>
      <c r="L6" s="229" t="s">
        <v>240</v>
      </c>
      <c r="M6" s="426" t="s">
        <v>241</v>
      </c>
      <c r="N6" s="425" t="s">
        <v>242</v>
      </c>
      <c r="O6" s="229" t="s">
        <v>243</v>
      </c>
      <c r="P6" s="427" t="s">
        <v>419</v>
      </c>
    </row>
    <row r="7" spans="1:16">
      <c r="A7" s="220">
        <v>1</v>
      </c>
      <c r="B7" s="220" t="s">
        <v>78</v>
      </c>
      <c r="C7" s="220"/>
      <c r="D7" s="220"/>
      <c r="E7" s="220"/>
      <c r="F7" s="220"/>
      <c r="G7" s="220">
        <v>1</v>
      </c>
      <c r="H7" s="220"/>
      <c r="I7" s="220"/>
      <c r="J7" s="220"/>
      <c r="K7" s="220"/>
      <c r="L7" s="220"/>
      <c r="M7" s="220"/>
      <c r="N7" s="220"/>
      <c r="O7" s="220"/>
      <c r="P7" s="220"/>
    </row>
    <row r="8" spans="1:16">
      <c r="A8" s="220">
        <v>2</v>
      </c>
      <c r="B8" s="220" t="s">
        <v>78</v>
      </c>
      <c r="C8" s="220"/>
      <c r="D8" s="220"/>
      <c r="E8" s="220"/>
      <c r="F8" s="220"/>
      <c r="G8" s="220">
        <v>2</v>
      </c>
      <c r="H8" s="220"/>
      <c r="I8" s="220"/>
      <c r="J8" s="220"/>
      <c r="K8" s="220"/>
      <c r="L8" s="220"/>
      <c r="M8" s="220"/>
      <c r="N8" s="220"/>
      <c r="O8" s="220"/>
      <c r="P8" s="220"/>
    </row>
    <row r="9" spans="1:16">
      <c r="A9" s="220">
        <v>3</v>
      </c>
      <c r="B9" s="231" t="s">
        <v>78</v>
      </c>
      <c r="C9" s="227"/>
      <c r="D9" s="227"/>
      <c r="E9" s="232">
        <f>'10K'!$E9*(1-$K$2)+H.Marathon!$E9*$K$2</f>
        <v>0.35525142883823752</v>
      </c>
      <c r="F9" s="220"/>
      <c r="G9" s="220">
        <v>3</v>
      </c>
      <c r="H9" s="220"/>
      <c r="I9" s="220"/>
      <c r="J9" s="220"/>
      <c r="K9" s="220"/>
      <c r="L9" s="220"/>
      <c r="M9" s="220"/>
      <c r="N9" s="220"/>
      <c r="O9" s="220"/>
      <c r="P9" s="220"/>
    </row>
    <row r="10" spans="1:16">
      <c r="A10" s="220">
        <v>4</v>
      </c>
      <c r="B10" s="234"/>
      <c r="C10" s="227"/>
      <c r="D10" s="227"/>
      <c r="E10" s="232">
        <f>'10K'!$E10*(1-$K$2)+H.Marathon!$E10*$K$2</f>
        <v>0.42797630423693611</v>
      </c>
      <c r="F10" s="274"/>
      <c r="G10" s="220">
        <v>4</v>
      </c>
      <c r="H10" s="220"/>
      <c r="I10" s="220"/>
      <c r="J10" s="220"/>
      <c r="K10" s="220"/>
      <c r="L10" s="220"/>
      <c r="M10" s="220"/>
      <c r="N10" s="220"/>
      <c r="O10" s="220"/>
      <c r="P10" s="220"/>
    </row>
    <row r="11" spans="1:16">
      <c r="A11" s="220">
        <v>5</v>
      </c>
      <c r="B11" s="273">
        <v>4.565972222222222E-2</v>
      </c>
      <c r="C11" s="227">
        <f>B11*1440</f>
        <v>65.75</v>
      </c>
      <c r="D11" s="227">
        <f t="shared" ref="D11:D42" si="0">E$4/E11</f>
        <v>64.31419808663297</v>
      </c>
      <c r="E11" s="232">
        <f>'10K'!$E11*(1-$K$2)+H.Marathon!$E11*$K$2</f>
        <v>0.49626159722420937</v>
      </c>
      <c r="F11" s="274">
        <f t="shared" ref="F11:F42" si="1">100*(D11/C11)</f>
        <v>97.816270854194627</v>
      </c>
      <c r="G11" s="220">
        <v>5</v>
      </c>
      <c r="H11" s="274"/>
      <c r="I11" s="220"/>
      <c r="J11" s="220"/>
      <c r="K11" s="220"/>
      <c r="L11" s="220"/>
      <c r="M11" s="220"/>
      <c r="N11" s="220"/>
      <c r="O11" s="220"/>
      <c r="P11" s="220"/>
    </row>
    <row r="12" spans="1:16">
      <c r="A12" s="220">
        <v>6</v>
      </c>
      <c r="B12" s="273">
        <v>3.3622685185185186E-2</v>
      </c>
      <c r="C12" s="227">
        <f>B12*1440</f>
        <v>48.416666666666671</v>
      </c>
      <c r="D12" s="227">
        <f t="shared" si="0"/>
        <v>56.980644037207817</v>
      </c>
      <c r="E12" s="232">
        <f>'10K'!$E12*(1-$K$2)+H.Marathon!$E12*$K$2</f>
        <v>0.56013172904513664</v>
      </c>
      <c r="F12" s="274">
        <f t="shared" si="1"/>
        <v>117.68807718528291</v>
      </c>
      <c r="G12" s="220">
        <v>6</v>
      </c>
      <c r="H12" s="274"/>
      <c r="I12" s="220"/>
      <c r="J12" s="220"/>
      <c r="K12" s="220"/>
      <c r="L12" s="220"/>
      <c r="M12" s="220"/>
      <c r="N12" s="220"/>
      <c r="O12" s="220"/>
      <c r="P12" s="220"/>
    </row>
    <row r="13" spans="1:16">
      <c r="A13" s="220">
        <v>7</v>
      </c>
      <c r="B13" s="276">
        <v>4.3298611111111114E-2</v>
      </c>
      <c r="C13" s="227">
        <f t="shared" ref="C13:C76" si="2">B13*1440</f>
        <v>62.35</v>
      </c>
      <c r="D13" s="227">
        <f t="shared" si="0"/>
        <v>51.512833768276593</v>
      </c>
      <c r="E13" s="232">
        <f>'10K'!$E13*(1-$K$2)+H.Marathon!$E13*$K$2</f>
        <v>0.61958669969971769</v>
      </c>
      <c r="F13" s="274">
        <f t="shared" si="1"/>
        <v>82.618819195311303</v>
      </c>
      <c r="G13" s="220">
        <v>7</v>
      </c>
      <c r="H13" s="276">
        <v>4.3298611111111107E-2</v>
      </c>
      <c r="I13" s="241" t="s">
        <v>420</v>
      </c>
      <c r="J13" s="241" t="s">
        <v>421</v>
      </c>
      <c r="K13" s="241" t="s">
        <v>155</v>
      </c>
      <c r="L13" s="249">
        <v>39841</v>
      </c>
      <c r="M13" s="242"/>
      <c r="N13" s="242" t="s">
        <v>422</v>
      </c>
      <c r="O13" s="249">
        <v>42707</v>
      </c>
      <c r="P13" s="220"/>
    </row>
    <row r="14" spans="1:16">
      <c r="A14" s="220">
        <v>8</v>
      </c>
      <c r="B14" s="273">
        <v>3.4976851851851849E-2</v>
      </c>
      <c r="C14" s="227">
        <f t="shared" si="2"/>
        <v>50.36666666666666</v>
      </c>
      <c r="D14" s="227">
        <f t="shared" si="0"/>
        <v>47.311840916462479</v>
      </c>
      <c r="E14" s="232">
        <f>'10K'!$E14*(1-$K$2)+H.Marathon!$E14*$K$2</f>
        <v>0.67460208794287357</v>
      </c>
      <c r="F14" s="274">
        <f t="shared" si="1"/>
        <v>93.934826439038687</v>
      </c>
      <c r="G14" s="220">
        <v>8</v>
      </c>
      <c r="H14" s="277"/>
      <c r="I14" s="220"/>
      <c r="J14" s="220"/>
      <c r="K14" s="220"/>
      <c r="L14" s="220"/>
      <c r="M14" s="220"/>
      <c r="N14" s="220"/>
      <c r="O14" s="220"/>
      <c r="P14" s="220"/>
    </row>
    <row r="15" spans="1:16">
      <c r="A15" s="220">
        <v>9</v>
      </c>
      <c r="B15" s="273">
        <v>3.3622685185185186E-2</v>
      </c>
      <c r="C15" s="227">
        <f t="shared" si="2"/>
        <v>48.416666666666671</v>
      </c>
      <c r="D15" s="227">
        <f t="shared" si="0"/>
        <v>44.012189203035518</v>
      </c>
      <c r="E15" s="232">
        <f>'10K'!$E15*(1-$K$2)+H.Marathon!$E15*$K$2</f>
        <v>0.72517789377460407</v>
      </c>
      <c r="F15" s="274">
        <f t="shared" si="1"/>
        <v>90.902972536390052</v>
      </c>
      <c r="G15" s="220">
        <v>9</v>
      </c>
      <c r="H15" s="277"/>
      <c r="I15" s="220"/>
      <c r="J15" s="220"/>
      <c r="K15" s="220"/>
      <c r="L15" s="220"/>
      <c r="M15" s="220"/>
      <c r="N15" s="220"/>
      <c r="O15" s="220"/>
      <c r="P15" s="220"/>
    </row>
    <row r="16" spans="1:16">
      <c r="A16" s="220">
        <v>10</v>
      </c>
      <c r="B16" s="273">
        <v>4.4861111111111109E-2</v>
      </c>
      <c r="C16" s="227">
        <f t="shared" si="2"/>
        <v>64.599999999999994</v>
      </c>
      <c r="D16" s="227">
        <f t="shared" si="0"/>
        <v>41.376975995447864</v>
      </c>
      <c r="E16" s="232">
        <f>'10K'!$E16*(1-$K$2)+H.Marathon!$E16*$K$2</f>
        <v>0.77136295968506774</v>
      </c>
      <c r="F16" s="274">
        <f t="shared" si="1"/>
        <v>64.051046432581842</v>
      </c>
      <c r="G16" s="220">
        <v>10</v>
      </c>
      <c r="H16" s="277"/>
      <c r="I16" s="220"/>
      <c r="J16" s="220"/>
      <c r="K16" s="220"/>
      <c r="L16" s="220"/>
      <c r="M16" s="220"/>
      <c r="N16" s="220"/>
      <c r="O16" s="220"/>
      <c r="P16" s="220"/>
    </row>
    <row r="17" spans="1:16">
      <c r="A17" s="220">
        <v>11</v>
      </c>
      <c r="B17" s="273">
        <v>3.6516203703703703E-2</v>
      </c>
      <c r="C17" s="227">
        <f t="shared" si="2"/>
        <v>52.583333333333336</v>
      </c>
      <c r="D17" s="227">
        <f t="shared" si="0"/>
        <v>39.252656806368961</v>
      </c>
      <c r="E17" s="232">
        <f>'10K'!$E17*(1-$K$2)+H.Marathon!$E17*$K$2</f>
        <v>0.81310844318410602</v>
      </c>
      <c r="F17" s="274">
        <f t="shared" si="1"/>
        <v>74.64847570149405</v>
      </c>
      <c r="G17" s="220">
        <v>11</v>
      </c>
      <c r="H17" s="277"/>
      <c r="I17" s="220"/>
      <c r="J17" s="220"/>
      <c r="K17" s="220"/>
      <c r="L17" s="220"/>
      <c r="M17" s="220"/>
      <c r="N17" s="220"/>
      <c r="O17" s="220"/>
      <c r="P17" s="220"/>
    </row>
    <row r="18" spans="1:16">
      <c r="A18" s="220">
        <v>12</v>
      </c>
      <c r="B18" s="273">
        <v>3.5196759259259261E-2</v>
      </c>
      <c r="C18" s="227">
        <f t="shared" si="2"/>
        <v>50.683333333333337</v>
      </c>
      <c r="D18" s="227">
        <f t="shared" si="0"/>
        <v>37.530724736304364</v>
      </c>
      <c r="E18" s="232">
        <f>'10K'!$E18*(1-$K$2)+H.Marathon!$E18*$K$2</f>
        <v>0.85041434427171914</v>
      </c>
      <c r="F18" s="274">
        <f t="shared" si="1"/>
        <v>74.04944045308325</v>
      </c>
      <c r="G18" s="220">
        <v>12</v>
      </c>
      <c r="H18" s="277"/>
      <c r="I18" s="220"/>
      <c r="J18" s="220"/>
      <c r="K18" s="220"/>
      <c r="L18" s="220"/>
      <c r="M18" s="220"/>
      <c r="N18" s="220"/>
      <c r="O18" s="220"/>
      <c r="P18" s="220"/>
    </row>
    <row r="19" spans="1:16">
      <c r="A19" s="220">
        <v>13</v>
      </c>
      <c r="B19" s="276">
        <v>3.5717592592592592E-2</v>
      </c>
      <c r="C19" s="227">
        <f t="shared" si="2"/>
        <v>51.43333333333333</v>
      </c>
      <c r="D19" s="227">
        <f t="shared" si="0"/>
        <v>36.133231018167059</v>
      </c>
      <c r="E19" s="232">
        <f>'10K'!$E19*(1-$K$2)+H.Marathon!$E19*$K$2</f>
        <v>0.88330508419298603</v>
      </c>
      <c r="F19" s="274">
        <f t="shared" si="1"/>
        <v>70.252555446857542</v>
      </c>
      <c r="G19" s="220">
        <v>13</v>
      </c>
      <c r="H19" s="278" t="s">
        <v>424</v>
      </c>
      <c r="I19" s="241" t="s">
        <v>425</v>
      </c>
      <c r="J19" s="241" t="s">
        <v>426</v>
      </c>
      <c r="K19" s="241" t="s">
        <v>155</v>
      </c>
      <c r="L19" s="249">
        <v>37561</v>
      </c>
      <c r="M19" s="242"/>
      <c r="N19" s="241" t="s">
        <v>427</v>
      </c>
      <c r="O19" s="249">
        <v>42532</v>
      </c>
      <c r="P19" s="220"/>
    </row>
    <row r="20" spans="1:16">
      <c r="A20" s="220">
        <v>14</v>
      </c>
      <c r="B20" s="273">
        <v>3.3530092592592591E-2</v>
      </c>
      <c r="C20" s="227">
        <f t="shared" si="2"/>
        <v>48.283333333333331</v>
      </c>
      <c r="D20" s="227">
        <f t="shared" si="0"/>
        <v>35.004763715295176</v>
      </c>
      <c r="E20" s="232">
        <f>'10K'!$E20*(1-$K$2)+H.Marathon!$E20*$K$2</f>
        <v>0.91178066294790683</v>
      </c>
      <c r="F20" s="274">
        <f t="shared" si="1"/>
        <v>72.498647667162956</v>
      </c>
      <c r="G20" s="220">
        <v>14</v>
      </c>
      <c r="H20" s="277"/>
      <c r="I20" s="220"/>
      <c r="J20" s="220"/>
      <c r="K20" s="220"/>
      <c r="L20" s="220"/>
      <c r="M20" s="220"/>
      <c r="N20" s="220"/>
      <c r="O20" s="220"/>
      <c r="P20" s="220"/>
    </row>
    <row r="21" spans="1:16">
      <c r="A21" s="220">
        <v>15</v>
      </c>
      <c r="B21" s="276">
        <v>2.8726851851851851E-2</v>
      </c>
      <c r="C21" s="227">
        <f t="shared" si="2"/>
        <v>41.366666666666667</v>
      </c>
      <c r="D21" s="227">
        <f t="shared" si="0"/>
        <v>34.105683361988739</v>
      </c>
      <c r="E21" s="232">
        <f>'10K'!$E21*(1-$K$2)+H.Marathon!$E21*$K$2</f>
        <v>0.93581665929140234</v>
      </c>
      <c r="F21" s="274">
        <f t="shared" si="1"/>
        <v>82.447260343244338</v>
      </c>
      <c r="G21" s="220">
        <v>15</v>
      </c>
      <c r="H21" s="278" t="s">
        <v>428</v>
      </c>
      <c r="I21" s="241" t="s">
        <v>167</v>
      </c>
      <c r="J21" s="241" t="s">
        <v>168</v>
      </c>
      <c r="K21" s="241" t="s">
        <v>160</v>
      </c>
      <c r="L21" s="249">
        <v>28256</v>
      </c>
      <c r="M21" s="242" t="s">
        <v>429</v>
      </c>
      <c r="N21" s="241" t="s">
        <v>430</v>
      </c>
      <c r="O21" s="249">
        <v>34091</v>
      </c>
      <c r="P21" s="220"/>
    </row>
    <row r="22" spans="1:16">
      <c r="A22" s="220">
        <v>16</v>
      </c>
      <c r="B22" s="273">
        <v>3.1018518518518518E-2</v>
      </c>
      <c r="C22" s="227">
        <f t="shared" si="2"/>
        <v>44.666666666666664</v>
      </c>
      <c r="D22" s="227">
        <f t="shared" si="0"/>
        <v>33.405290091132386</v>
      </c>
      <c r="E22" s="232">
        <f>'10K'!$E22*(1-$K$2)+H.Marathon!$E22*$K$2</f>
        <v>0.95543749446855175</v>
      </c>
      <c r="F22" s="274">
        <f t="shared" si="1"/>
        <v>74.787962890594898</v>
      </c>
      <c r="G22" s="220">
        <v>16</v>
      </c>
      <c r="H22" s="277"/>
      <c r="I22" s="220"/>
      <c r="J22" s="220"/>
      <c r="K22" s="220"/>
      <c r="L22" s="220"/>
      <c r="M22" s="220"/>
      <c r="N22" s="220"/>
      <c r="O22" s="220"/>
      <c r="P22" s="220"/>
    </row>
    <row r="23" spans="1:16">
      <c r="A23" s="220">
        <v>17</v>
      </c>
      <c r="B23" s="276">
        <v>2.8726851851851851E-2</v>
      </c>
      <c r="C23" s="227">
        <f t="shared" si="2"/>
        <v>41.366666666666667</v>
      </c>
      <c r="D23" s="227">
        <f t="shared" si="0"/>
        <v>32.880322806807435</v>
      </c>
      <c r="E23" s="232">
        <f>'10K'!$E23*(1-$K$2)+H.Marathon!$E23*$K$2</f>
        <v>0.97069201096951352</v>
      </c>
      <c r="F23" s="274">
        <f t="shared" si="1"/>
        <v>79.485067220324183</v>
      </c>
      <c r="G23" s="220">
        <v>17</v>
      </c>
      <c r="H23" s="278" t="s">
        <v>431</v>
      </c>
      <c r="I23" s="241" t="s">
        <v>260</v>
      </c>
      <c r="J23" s="241" t="s">
        <v>432</v>
      </c>
      <c r="K23" s="241" t="s">
        <v>160</v>
      </c>
      <c r="L23" s="249">
        <v>27524</v>
      </c>
      <c r="M23" s="242" t="s">
        <v>429</v>
      </c>
      <c r="N23" s="241" t="s">
        <v>430</v>
      </c>
      <c r="O23" s="249">
        <v>34091</v>
      </c>
      <c r="P23" s="220"/>
    </row>
    <row r="24" spans="1:16">
      <c r="A24" s="220">
        <v>18</v>
      </c>
      <c r="B24" s="273">
        <v>2.7511574074074074E-2</v>
      </c>
      <c r="C24" s="227">
        <f t="shared" si="2"/>
        <v>39.616666666666667</v>
      </c>
      <c r="D24" s="227">
        <f t="shared" si="0"/>
        <v>32.482463105025708</v>
      </c>
      <c r="E24" s="232">
        <f>'10K'!$E24*(1-$K$2)+H.Marathon!$E24*$K$2</f>
        <v>0.98258147984253386</v>
      </c>
      <c r="F24" s="274">
        <f t="shared" si="1"/>
        <v>81.991913601242857</v>
      </c>
      <c r="G24" s="220">
        <v>18</v>
      </c>
      <c r="H24" s="278" t="s">
        <v>433</v>
      </c>
      <c r="I24" s="241" t="s">
        <v>323</v>
      </c>
      <c r="J24" s="241" t="s">
        <v>434</v>
      </c>
      <c r="K24" s="241" t="s">
        <v>160</v>
      </c>
      <c r="L24" s="249">
        <v>34275</v>
      </c>
      <c r="M24" s="242"/>
      <c r="N24" s="241" t="s">
        <v>435</v>
      </c>
      <c r="O24" s="249">
        <v>40993</v>
      </c>
      <c r="P24" s="220"/>
    </row>
    <row r="25" spans="1:16">
      <c r="A25" s="220">
        <v>19</v>
      </c>
      <c r="B25" s="273">
        <v>2.7696759259259258E-2</v>
      </c>
      <c r="C25" s="227">
        <f t="shared" si="2"/>
        <v>39.883333333333333</v>
      </c>
      <c r="D25" s="227">
        <f t="shared" si="0"/>
        <v>32.19197895678618</v>
      </c>
      <c r="E25" s="232">
        <f>'10K'!$E25*(1-$K$2)+H.Marathon!$E25*$K$2</f>
        <v>0.99144779851872156</v>
      </c>
      <c r="F25" s="274">
        <f t="shared" si="1"/>
        <v>80.715367213003375</v>
      </c>
      <c r="G25" s="220">
        <v>19</v>
      </c>
      <c r="H25" s="278" t="s">
        <v>436</v>
      </c>
      <c r="I25" s="241" t="s">
        <v>437</v>
      </c>
      <c r="J25" s="241" t="s">
        <v>438</v>
      </c>
      <c r="K25" s="241" t="s">
        <v>160</v>
      </c>
      <c r="L25" s="249">
        <v>29632</v>
      </c>
      <c r="M25" s="242"/>
      <c r="N25" s="241" t="s">
        <v>439</v>
      </c>
      <c r="O25" s="249">
        <v>36625</v>
      </c>
      <c r="P25" s="220"/>
    </row>
    <row r="26" spans="1:16">
      <c r="A26" s="220">
        <v>20</v>
      </c>
      <c r="B26" s="273">
        <v>2.7476851851851853E-2</v>
      </c>
      <c r="C26" s="227">
        <f t="shared" si="2"/>
        <v>39.56666666666667</v>
      </c>
      <c r="D26" s="227">
        <f t="shared" si="0"/>
        <v>31.99404490919844</v>
      </c>
      <c r="E26" s="232">
        <f>'10K'!$E26*(1-$K$2)+H.Marathon!$E26*$K$2</f>
        <v>0.99758147984253387</v>
      </c>
      <c r="F26" s="274">
        <f t="shared" si="1"/>
        <v>80.861107605387801</v>
      </c>
      <c r="G26" s="220">
        <v>20</v>
      </c>
      <c r="H26" s="278" t="s">
        <v>440</v>
      </c>
      <c r="I26" s="241" t="s">
        <v>441</v>
      </c>
      <c r="J26" s="241" t="s">
        <v>442</v>
      </c>
      <c r="K26" s="241" t="s">
        <v>160</v>
      </c>
      <c r="L26" s="249">
        <v>32141</v>
      </c>
      <c r="M26" s="242"/>
      <c r="N26" s="241" t="s">
        <v>443</v>
      </c>
      <c r="O26" s="249">
        <v>39747</v>
      </c>
      <c r="P26" s="220"/>
    </row>
    <row r="27" spans="1:16">
      <c r="A27" s="220">
        <v>21</v>
      </c>
      <c r="B27" s="273">
        <v>2.6817129629629628E-2</v>
      </c>
      <c r="C27" s="227">
        <f t="shared" si="2"/>
        <v>38.616666666666667</v>
      </c>
      <c r="D27" s="227">
        <f t="shared" si="0"/>
        <v>31.916666666666668</v>
      </c>
      <c r="E27" s="232">
        <f>'10K'!$E27*(1-$K$2)+H.Marathon!$E27*$K$2</f>
        <v>1</v>
      </c>
      <c r="F27" s="274">
        <f t="shared" si="1"/>
        <v>82.64997842037117</v>
      </c>
      <c r="G27" s="220">
        <v>21</v>
      </c>
      <c r="H27" s="278" t="s">
        <v>245</v>
      </c>
      <c r="I27" s="241" t="s">
        <v>444</v>
      </c>
      <c r="J27" s="241" t="s">
        <v>445</v>
      </c>
      <c r="K27" s="241" t="s">
        <v>160</v>
      </c>
      <c r="L27" s="249">
        <v>32196</v>
      </c>
      <c r="M27" s="242" t="s">
        <v>429</v>
      </c>
      <c r="N27" s="241" t="s">
        <v>430</v>
      </c>
      <c r="O27" s="249">
        <v>39936</v>
      </c>
      <c r="P27" s="220"/>
    </row>
    <row r="28" spans="1:16">
      <c r="A28" s="220">
        <v>22</v>
      </c>
      <c r="B28" s="273">
        <v>2.6504629629629628E-2</v>
      </c>
      <c r="C28" s="227">
        <f t="shared" si="2"/>
        <v>38.166666666666664</v>
      </c>
      <c r="D28" s="227">
        <f t="shared" si="0"/>
        <v>31.916666666666668</v>
      </c>
      <c r="E28" s="232">
        <f>'10K'!$E28*(1-$K$2)+H.Marathon!$E28*$K$2</f>
        <v>1</v>
      </c>
      <c r="F28" s="274">
        <f t="shared" si="1"/>
        <v>83.624454148471628</v>
      </c>
      <c r="G28" s="220">
        <v>22</v>
      </c>
      <c r="H28" s="278" t="s">
        <v>446</v>
      </c>
      <c r="I28" s="241" t="s">
        <v>444</v>
      </c>
      <c r="J28" s="241" t="s">
        <v>445</v>
      </c>
      <c r="K28" s="241" t="s">
        <v>160</v>
      </c>
      <c r="L28" s="249">
        <v>32196</v>
      </c>
      <c r="M28" s="242" t="s">
        <v>429</v>
      </c>
      <c r="N28" s="241" t="s">
        <v>430</v>
      </c>
      <c r="O28" s="249">
        <v>40300</v>
      </c>
      <c r="P28" s="220"/>
    </row>
    <row r="29" spans="1:16">
      <c r="A29" s="220">
        <v>23</v>
      </c>
      <c r="B29" s="273">
        <v>2.6631944444444444E-2</v>
      </c>
      <c r="C29" s="227">
        <f t="shared" si="2"/>
        <v>38.35</v>
      </c>
      <c r="D29" s="227">
        <f t="shared" si="0"/>
        <v>31.916666666666668</v>
      </c>
      <c r="E29" s="232">
        <f>'10K'!$E29*(1-$K$2)+H.Marathon!$E29*$K$2</f>
        <v>1</v>
      </c>
      <c r="F29" s="274">
        <f t="shared" si="1"/>
        <v>83.224684919600179</v>
      </c>
      <c r="G29" s="220">
        <v>23</v>
      </c>
      <c r="H29" s="278" t="s">
        <v>447</v>
      </c>
      <c r="I29" s="241" t="s">
        <v>448</v>
      </c>
      <c r="J29" s="241" t="s">
        <v>449</v>
      </c>
      <c r="K29" s="241" t="s">
        <v>155</v>
      </c>
      <c r="L29" s="249">
        <v>33523</v>
      </c>
      <c r="M29" s="242" t="s">
        <v>450</v>
      </c>
      <c r="N29" s="241" t="s">
        <v>300</v>
      </c>
      <c r="O29" s="249">
        <v>41959</v>
      </c>
      <c r="P29" s="220"/>
    </row>
    <row r="30" spans="1:16">
      <c r="A30" s="220">
        <v>24</v>
      </c>
      <c r="B30" s="273">
        <v>2.6967592592592592E-2</v>
      </c>
      <c r="C30" s="227">
        <f t="shared" si="2"/>
        <v>38.833333333333329</v>
      </c>
      <c r="D30" s="227">
        <f t="shared" si="0"/>
        <v>31.916666666666668</v>
      </c>
      <c r="E30" s="232">
        <f>'10K'!$E30*(1-$K$2)+H.Marathon!$E30*$K$2</f>
        <v>1</v>
      </c>
      <c r="F30" s="274">
        <f t="shared" si="1"/>
        <v>82.188841201716755</v>
      </c>
      <c r="G30" s="220">
        <v>24</v>
      </c>
      <c r="H30" s="278" t="s">
        <v>451</v>
      </c>
      <c r="I30" s="241" t="s">
        <v>448</v>
      </c>
      <c r="J30" s="241" t="s">
        <v>452</v>
      </c>
      <c r="K30" s="241" t="s">
        <v>160</v>
      </c>
      <c r="L30" s="249">
        <v>31461</v>
      </c>
      <c r="M30" s="242" t="s">
        <v>429</v>
      </c>
      <c r="N30" s="241" t="s">
        <v>430</v>
      </c>
      <c r="O30" s="249">
        <v>40300</v>
      </c>
      <c r="P30" s="220"/>
    </row>
    <row r="31" spans="1:16">
      <c r="A31" s="220">
        <v>25</v>
      </c>
      <c r="B31" s="273">
        <v>2.7256944444444445E-2</v>
      </c>
      <c r="C31" s="227">
        <f t="shared" si="2"/>
        <v>39.25</v>
      </c>
      <c r="D31" s="227">
        <f t="shared" si="0"/>
        <v>31.916666666666668</v>
      </c>
      <c r="E31" s="232">
        <f>'10K'!$E31*(1-$K$2)+H.Marathon!$E31*$K$2</f>
        <v>1</v>
      </c>
      <c r="F31" s="274">
        <f t="shared" si="1"/>
        <v>81.316348195329084</v>
      </c>
      <c r="G31" s="220">
        <v>25</v>
      </c>
      <c r="H31" s="278" t="s">
        <v>453</v>
      </c>
      <c r="I31" s="241" t="s">
        <v>260</v>
      </c>
      <c r="J31" s="241" t="s">
        <v>454</v>
      </c>
      <c r="K31" s="241" t="s">
        <v>160</v>
      </c>
      <c r="L31" s="249">
        <v>30448</v>
      </c>
      <c r="M31" s="242"/>
      <c r="N31" s="241" t="s">
        <v>443</v>
      </c>
      <c r="O31" s="249">
        <v>39747</v>
      </c>
      <c r="P31" s="220"/>
    </row>
    <row r="32" spans="1:16">
      <c r="A32" s="220">
        <v>26</v>
      </c>
      <c r="B32" s="273">
        <v>2.642361111111111E-2</v>
      </c>
      <c r="C32" s="227">
        <f t="shared" si="2"/>
        <v>38.049999999999997</v>
      </c>
      <c r="D32" s="227">
        <f t="shared" si="0"/>
        <v>31.916666666666668</v>
      </c>
      <c r="E32" s="232">
        <f>'10K'!$E32*(1-$K$2)+H.Marathon!$E32*$K$2</f>
        <v>1</v>
      </c>
      <c r="F32" s="274">
        <f t="shared" si="1"/>
        <v>83.880858519491909</v>
      </c>
      <c r="G32" s="220">
        <v>26</v>
      </c>
      <c r="H32" s="278" t="s">
        <v>455</v>
      </c>
      <c r="I32" s="241" t="s">
        <v>456</v>
      </c>
      <c r="J32" s="241" t="s">
        <v>457</v>
      </c>
      <c r="K32" s="241" t="s">
        <v>160</v>
      </c>
      <c r="L32" s="249">
        <v>32860</v>
      </c>
      <c r="M32" s="242" t="s">
        <v>429</v>
      </c>
      <c r="N32" s="241" t="s">
        <v>430</v>
      </c>
      <c r="O32" s="249">
        <v>42491</v>
      </c>
      <c r="P32" s="220"/>
    </row>
    <row r="33" spans="1:16">
      <c r="A33" s="220">
        <v>27</v>
      </c>
      <c r="B33" s="273">
        <v>2.6990740740740742E-2</v>
      </c>
      <c r="C33" s="227">
        <f t="shared" si="2"/>
        <v>38.866666666666667</v>
      </c>
      <c r="D33" s="227">
        <f t="shared" si="0"/>
        <v>31.916666666666668</v>
      </c>
      <c r="E33" s="232">
        <f>'10K'!$E33*(1-$K$2)+H.Marathon!$E33*$K$2</f>
        <v>1</v>
      </c>
      <c r="F33" s="274">
        <f t="shared" si="1"/>
        <v>82.118353344768451</v>
      </c>
      <c r="G33" s="220">
        <v>27</v>
      </c>
      <c r="H33" s="278" t="s">
        <v>458</v>
      </c>
      <c r="I33" s="241" t="s">
        <v>329</v>
      </c>
      <c r="J33" s="241" t="s">
        <v>330</v>
      </c>
      <c r="K33" s="241" t="s">
        <v>160</v>
      </c>
      <c r="L33" s="249">
        <v>29113</v>
      </c>
      <c r="M33" s="242" t="s">
        <v>429</v>
      </c>
      <c r="N33" s="241" t="s">
        <v>430</v>
      </c>
      <c r="O33" s="249">
        <v>39208</v>
      </c>
      <c r="P33" s="220"/>
    </row>
    <row r="34" spans="1:16">
      <c r="A34" s="220">
        <v>28</v>
      </c>
      <c r="B34" s="273">
        <v>2.6689814814814816E-2</v>
      </c>
      <c r="C34" s="227">
        <f t="shared" si="2"/>
        <v>38.433333333333337</v>
      </c>
      <c r="D34" s="227">
        <f t="shared" si="0"/>
        <v>31.921491839883615</v>
      </c>
      <c r="E34" s="232">
        <f>'10K'!$E34*(1-$K$2)+H.Marathon!$E34*$K$2</f>
        <v>0.99984884249015837</v>
      </c>
      <c r="F34" s="274">
        <f t="shared" si="1"/>
        <v>83.056787094233158</v>
      </c>
      <c r="G34" s="220">
        <v>28</v>
      </c>
      <c r="H34" s="278" t="s">
        <v>459</v>
      </c>
      <c r="I34" s="241" t="s">
        <v>182</v>
      </c>
      <c r="J34" s="241" t="s">
        <v>183</v>
      </c>
      <c r="K34" s="241" t="s">
        <v>163</v>
      </c>
      <c r="L34" s="249">
        <v>30605</v>
      </c>
      <c r="M34" s="242" t="s">
        <v>429</v>
      </c>
      <c r="N34" s="241" t="s">
        <v>430</v>
      </c>
      <c r="O34" s="249">
        <v>41035</v>
      </c>
      <c r="P34" s="220"/>
    </row>
    <row r="35" spans="1:16">
      <c r="A35" s="220">
        <v>29</v>
      </c>
      <c r="B35" s="273">
        <v>2.627314814814815E-2</v>
      </c>
      <c r="C35" s="227">
        <f t="shared" si="2"/>
        <v>37.833333333333336</v>
      </c>
      <c r="D35" s="227">
        <f t="shared" si="0"/>
        <v>31.940807131007944</v>
      </c>
      <c r="E35" s="232">
        <f>'10K'!$E35*(1-$K$2)+H.Marathon!$E35*$K$2</f>
        <v>0.99924421245079187</v>
      </c>
      <c r="F35" s="274">
        <f t="shared" si="1"/>
        <v>84.425040874910863</v>
      </c>
      <c r="G35" s="220">
        <v>29</v>
      </c>
      <c r="H35" s="278" t="s">
        <v>460</v>
      </c>
      <c r="I35" s="241" t="s">
        <v>180</v>
      </c>
      <c r="J35" s="241" t="s">
        <v>181</v>
      </c>
      <c r="K35" s="241" t="s">
        <v>155</v>
      </c>
      <c r="L35" s="249">
        <v>30925</v>
      </c>
      <c r="M35" s="242" t="s">
        <v>450</v>
      </c>
      <c r="N35" s="241" t="s">
        <v>300</v>
      </c>
      <c r="O35" s="249">
        <v>41595</v>
      </c>
      <c r="P35" s="220"/>
    </row>
    <row r="36" spans="1:16">
      <c r="A36" s="220">
        <v>30</v>
      </c>
      <c r="B36" s="279">
        <v>2.6481481481481481E-2</v>
      </c>
      <c r="C36" s="227">
        <f t="shared" si="2"/>
        <v>38.133333333333333</v>
      </c>
      <c r="D36" s="227">
        <f t="shared" si="0"/>
        <v>31.969823935404332</v>
      </c>
      <c r="E36" s="232">
        <f>'10K'!$E36*(1-$K$2)+H.Marathon!$E36*$K$2</f>
        <v>0.998337267391742</v>
      </c>
      <c r="F36" s="274">
        <f t="shared" si="1"/>
        <v>83.836950879556809</v>
      </c>
      <c r="G36" s="220">
        <v>30</v>
      </c>
      <c r="H36" s="280" t="s">
        <v>417</v>
      </c>
      <c r="I36" s="255" t="s">
        <v>180</v>
      </c>
      <c r="J36" s="255" t="s">
        <v>181</v>
      </c>
      <c r="K36" s="255" t="s">
        <v>155</v>
      </c>
      <c r="L36" s="281">
        <v>30925</v>
      </c>
      <c r="M36" s="256" t="s">
        <v>450</v>
      </c>
      <c r="N36" s="255" t="s">
        <v>300</v>
      </c>
      <c r="O36" s="281">
        <v>41959</v>
      </c>
      <c r="P36" s="220"/>
    </row>
    <row r="37" spans="1:16">
      <c r="A37" s="220">
        <v>31</v>
      </c>
      <c r="B37" s="273">
        <v>2.6805555555555555E-2</v>
      </c>
      <c r="C37" s="227">
        <f t="shared" si="2"/>
        <v>38.6</v>
      </c>
      <c r="D37" s="227">
        <f t="shared" si="0"/>
        <v>32.013448128678178</v>
      </c>
      <c r="E37" s="232">
        <f>'10K'!$E37*(1-$K$2)+H.Marathon!$E37*$K$2</f>
        <v>0.99697684980316725</v>
      </c>
      <c r="F37" s="274">
        <f t="shared" si="1"/>
        <v>82.936394115746566</v>
      </c>
      <c r="G37" s="220">
        <v>31</v>
      </c>
      <c r="H37" s="278" t="s">
        <v>461</v>
      </c>
      <c r="I37" s="241" t="s">
        <v>180</v>
      </c>
      <c r="J37" s="241" t="s">
        <v>181</v>
      </c>
      <c r="K37" s="241" t="s">
        <v>155</v>
      </c>
      <c r="L37" s="249">
        <v>30925</v>
      </c>
      <c r="M37" s="242" t="s">
        <v>450</v>
      </c>
      <c r="N37" s="241" t="s">
        <v>300</v>
      </c>
      <c r="O37" s="249">
        <v>42323</v>
      </c>
      <c r="P37" s="220"/>
    </row>
    <row r="38" spans="1:16">
      <c r="A38" s="220">
        <v>32</v>
      </c>
      <c r="B38" s="273">
        <v>2.6365740740740742E-2</v>
      </c>
      <c r="C38" s="227">
        <f t="shared" si="2"/>
        <v>37.966666666666669</v>
      </c>
      <c r="D38" s="227">
        <f t="shared" si="0"/>
        <v>32.068502215286131</v>
      </c>
      <c r="E38" s="232">
        <f>'10K'!$E38*(1-$K$2)+H.Marathon!$E38*$K$2</f>
        <v>0.99526527470475101</v>
      </c>
      <c r="F38" s="274">
        <f t="shared" si="1"/>
        <v>84.464887309796651</v>
      </c>
      <c r="G38" s="220">
        <v>32</v>
      </c>
      <c r="H38" s="278" t="s">
        <v>462</v>
      </c>
      <c r="I38" s="241" t="s">
        <v>276</v>
      </c>
      <c r="J38" s="241" t="s">
        <v>463</v>
      </c>
      <c r="K38" s="241" t="s">
        <v>155</v>
      </c>
      <c r="L38" s="249">
        <v>29775</v>
      </c>
      <c r="M38" s="242" t="s">
        <v>450</v>
      </c>
      <c r="N38" s="241" t="s">
        <v>300</v>
      </c>
      <c r="O38" s="249">
        <v>41595</v>
      </c>
      <c r="P38" s="220"/>
    </row>
    <row r="39" spans="1:16">
      <c r="A39" s="220">
        <v>33</v>
      </c>
      <c r="B39" s="273">
        <v>2.7141203703703702E-2</v>
      </c>
      <c r="C39" s="227">
        <f t="shared" si="2"/>
        <v>39.083333333333329</v>
      </c>
      <c r="D39" s="227">
        <f t="shared" si="0"/>
        <v>32.146319503023626</v>
      </c>
      <c r="E39" s="232">
        <f>'10K'!$E39*(1-$K$2)+H.Marathon!$E39*$K$2</f>
        <v>0.99285601462601791</v>
      </c>
      <c r="F39" s="274">
        <f t="shared" si="1"/>
        <v>82.250710881936797</v>
      </c>
      <c r="G39" s="220">
        <v>33</v>
      </c>
      <c r="H39" s="278" t="s">
        <v>464</v>
      </c>
      <c r="I39" s="241" t="s">
        <v>465</v>
      </c>
      <c r="J39" s="241" t="s">
        <v>466</v>
      </c>
      <c r="K39" s="241" t="s">
        <v>155</v>
      </c>
      <c r="L39" s="249">
        <v>29987</v>
      </c>
      <c r="M39" s="242" t="s">
        <v>450</v>
      </c>
      <c r="N39" s="241" t="s">
        <v>300</v>
      </c>
      <c r="O39" s="249">
        <v>42323</v>
      </c>
      <c r="P39" s="220"/>
    </row>
    <row r="40" spans="1:16">
      <c r="A40" s="220">
        <v>34</v>
      </c>
      <c r="B40" s="273">
        <v>2.7349537037037037E-2</v>
      </c>
      <c r="C40" s="227">
        <f t="shared" si="2"/>
        <v>39.383333333333333</v>
      </c>
      <c r="D40" s="227">
        <f t="shared" si="0"/>
        <v>32.241511230952277</v>
      </c>
      <c r="E40" s="232">
        <f>'10K'!$E40*(1-$K$2)+H.Marathon!$E40*$K$2</f>
        <v>0.98992464832188898</v>
      </c>
      <c r="F40" s="274">
        <f t="shared" si="1"/>
        <v>81.865877014690497</v>
      </c>
      <c r="G40" s="220">
        <v>34</v>
      </c>
      <c r="H40" s="278" t="s">
        <v>467</v>
      </c>
      <c r="I40" s="241" t="s">
        <v>174</v>
      </c>
      <c r="J40" s="241" t="s">
        <v>175</v>
      </c>
      <c r="K40" s="241" t="s">
        <v>176</v>
      </c>
      <c r="L40" s="249">
        <v>24390</v>
      </c>
      <c r="M40" s="242" t="s">
        <v>429</v>
      </c>
      <c r="N40" s="241" t="s">
        <v>430</v>
      </c>
      <c r="O40" s="249">
        <v>37017</v>
      </c>
      <c r="P40" s="220"/>
    </row>
    <row r="41" spans="1:16">
      <c r="A41" s="220">
        <v>35</v>
      </c>
      <c r="B41" s="273">
        <v>2.7280092592592592E-2</v>
      </c>
      <c r="C41" s="227">
        <f t="shared" si="2"/>
        <v>39.283333333333331</v>
      </c>
      <c r="D41" s="227">
        <f t="shared" si="0"/>
        <v>32.359341871863364</v>
      </c>
      <c r="E41" s="232">
        <f>'10K'!$E41*(1-$K$2)+H.Marathon!$E41*$K$2</f>
        <v>0.98632001828252236</v>
      </c>
      <c r="F41" s="274">
        <f t="shared" si="1"/>
        <v>82.374226232999661</v>
      </c>
      <c r="G41" s="220">
        <v>35</v>
      </c>
      <c r="H41" s="278" t="s">
        <v>468</v>
      </c>
      <c r="I41" s="241" t="s">
        <v>469</v>
      </c>
      <c r="J41" s="241" t="s">
        <v>470</v>
      </c>
      <c r="K41" s="241" t="s">
        <v>155</v>
      </c>
      <c r="L41" s="249">
        <v>29521</v>
      </c>
      <c r="M41" s="242" t="s">
        <v>450</v>
      </c>
      <c r="N41" s="241" t="s">
        <v>300</v>
      </c>
      <c r="O41" s="249">
        <v>42323</v>
      </c>
      <c r="P41" s="220"/>
    </row>
    <row r="42" spans="1:16">
      <c r="A42" s="220">
        <v>36</v>
      </c>
      <c r="B42" s="273">
        <v>2.7789351851851853E-2</v>
      </c>
      <c r="C42" s="227">
        <f t="shared" si="2"/>
        <v>40.016666666666666</v>
      </c>
      <c r="D42" s="227">
        <f t="shared" si="0"/>
        <v>32.496109316230559</v>
      </c>
      <c r="E42" s="232">
        <f>'10K'!$E42*(1-$K$2)+H.Marathon!$E42*$K$2</f>
        <v>0.98216886077268073</v>
      </c>
      <c r="F42" s="274">
        <f t="shared" si="1"/>
        <v>81.206437275045133</v>
      </c>
      <c r="G42" s="220">
        <v>36</v>
      </c>
      <c r="H42" s="278" t="s">
        <v>471</v>
      </c>
      <c r="I42" s="241" t="s">
        <v>472</v>
      </c>
      <c r="J42" s="241" t="s">
        <v>473</v>
      </c>
      <c r="K42" s="241" t="s">
        <v>407</v>
      </c>
      <c r="L42" s="249">
        <v>26525</v>
      </c>
      <c r="M42" s="242" t="s">
        <v>429</v>
      </c>
      <c r="N42" s="241" t="s">
        <v>430</v>
      </c>
      <c r="O42" s="249">
        <v>39936</v>
      </c>
      <c r="P42" s="220"/>
    </row>
    <row r="43" spans="1:16">
      <c r="A43" s="220">
        <v>37</v>
      </c>
      <c r="B43" s="273">
        <v>2.7754629629629629E-2</v>
      </c>
      <c r="C43" s="227">
        <f t="shared" si="2"/>
        <v>39.966666666666669</v>
      </c>
      <c r="D43" s="227">
        <f t="shared" ref="D43:D74" si="3">E$4/E43</f>
        <v>32.656518393958997</v>
      </c>
      <c r="E43" s="232">
        <f>'10K'!$E43*(1-$K$2)+H.Marathon!$E43*$K$2</f>
        <v>0.97734443952760164</v>
      </c>
      <c r="F43" s="274">
        <f t="shared" ref="F43:F74" si="4">100*(D43/C43)</f>
        <v>81.709387140848193</v>
      </c>
      <c r="G43" s="220">
        <v>37</v>
      </c>
      <c r="H43" s="278" t="s">
        <v>474</v>
      </c>
      <c r="I43" s="241" t="s">
        <v>475</v>
      </c>
      <c r="J43" s="241" t="s">
        <v>476</v>
      </c>
      <c r="K43" s="241" t="s">
        <v>302</v>
      </c>
      <c r="L43" s="249">
        <v>24594</v>
      </c>
      <c r="M43" s="242" t="s">
        <v>429</v>
      </c>
      <c r="N43" s="241" t="s">
        <v>430</v>
      </c>
      <c r="O43" s="249">
        <v>38473</v>
      </c>
      <c r="P43" s="220"/>
    </row>
    <row r="44" spans="1:16">
      <c r="A44" s="220">
        <v>38</v>
      </c>
      <c r="B44" s="273">
        <v>2.7002314814814816E-2</v>
      </c>
      <c r="C44" s="227">
        <f t="shared" si="2"/>
        <v>38.883333333333333</v>
      </c>
      <c r="D44" s="227">
        <f t="shared" si="3"/>
        <v>32.836972374628751</v>
      </c>
      <c r="E44" s="232">
        <f>'10K'!$E44*(1-$K$2)+H.Marathon!$E44*$K$2</f>
        <v>0.97197349081204731</v>
      </c>
      <c r="F44" s="274">
        <f t="shared" si="4"/>
        <v>84.449993248080801</v>
      </c>
      <c r="G44" s="220">
        <v>38</v>
      </c>
      <c r="H44" s="278" t="s">
        <v>477</v>
      </c>
      <c r="I44" s="241" t="s">
        <v>186</v>
      </c>
      <c r="J44" s="241" t="s">
        <v>187</v>
      </c>
      <c r="K44" s="241" t="s">
        <v>155</v>
      </c>
      <c r="L44" s="249">
        <v>23483</v>
      </c>
      <c r="M44" s="242" t="s">
        <v>429</v>
      </c>
      <c r="N44" s="241" t="s">
        <v>430</v>
      </c>
      <c r="O44" s="249">
        <v>37381</v>
      </c>
      <c r="P44" s="220"/>
    </row>
    <row r="45" spans="1:16">
      <c r="A45" s="220">
        <v>39</v>
      </c>
      <c r="B45" s="273">
        <v>2.8032407407407409E-2</v>
      </c>
      <c r="C45" s="227">
        <f t="shared" si="2"/>
        <v>40.366666666666667</v>
      </c>
      <c r="D45" s="227">
        <f t="shared" si="3"/>
        <v>33.042446669402956</v>
      </c>
      <c r="E45" s="232">
        <f>'10K'!$E45*(1-$K$2)+H.Marathon!$E45*$K$2</f>
        <v>0.96592927836125542</v>
      </c>
      <c r="F45" s="274">
        <f t="shared" si="4"/>
        <v>81.855772095961072</v>
      </c>
      <c r="G45" s="220">
        <v>39</v>
      </c>
      <c r="H45" s="278" t="s">
        <v>478</v>
      </c>
      <c r="I45" s="241" t="s">
        <v>186</v>
      </c>
      <c r="J45" s="241" t="s">
        <v>187</v>
      </c>
      <c r="K45" s="241" t="s">
        <v>155</v>
      </c>
      <c r="L45" s="249">
        <v>23483</v>
      </c>
      <c r="M45" s="242" t="s">
        <v>429</v>
      </c>
      <c r="N45" s="241" t="s">
        <v>430</v>
      </c>
      <c r="O45" s="249">
        <v>37745</v>
      </c>
      <c r="P45" s="220"/>
    </row>
    <row r="46" spans="1:16">
      <c r="A46" s="220">
        <v>40</v>
      </c>
      <c r="B46" s="273">
        <v>2.8136574074074074E-2</v>
      </c>
      <c r="C46" s="227">
        <f t="shared" si="2"/>
        <v>40.516666666666666</v>
      </c>
      <c r="D46" s="227">
        <f t="shared" si="3"/>
        <v>33.268604280015175</v>
      </c>
      <c r="E46" s="232">
        <f>'10K'!$E46*(1-$K$2)+H.Marathon!$E46*$K$2</f>
        <v>0.95936295968506768</v>
      </c>
      <c r="F46" s="274">
        <f t="shared" si="4"/>
        <v>82.110911427433592</v>
      </c>
      <c r="G46" s="220">
        <v>40</v>
      </c>
      <c r="H46" s="278" t="s">
        <v>479</v>
      </c>
      <c r="I46" s="241" t="s">
        <v>191</v>
      </c>
      <c r="J46" s="241" t="s">
        <v>192</v>
      </c>
      <c r="K46" s="241" t="s">
        <v>155</v>
      </c>
      <c r="L46" s="249">
        <v>27211</v>
      </c>
      <c r="M46" s="242" t="s">
        <v>450</v>
      </c>
      <c r="N46" s="241" t="s">
        <v>300</v>
      </c>
      <c r="O46" s="249">
        <v>41959</v>
      </c>
      <c r="P46" s="220"/>
    </row>
    <row r="47" spans="1:16">
      <c r="A47" s="220">
        <v>41</v>
      </c>
      <c r="B47" s="273">
        <v>2.7824074074074074E-2</v>
      </c>
      <c r="C47" s="227">
        <f t="shared" si="2"/>
        <v>40.06666666666667</v>
      </c>
      <c r="D47" s="227">
        <f t="shared" si="3"/>
        <v>33.514689025453983</v>
      </c>
      <c r="E47" s="232">
        <f>'10K'!$E47*(1-$K$2)+H.Marathon!$E47*$K$2</f>
        <v>0.95231874723427579</v>
      </c>
      <c r="F47" s="274">
        <f t="shared" si="4"/>
        <v>83.647310379668838</v>
      </c>
      <c r="G47" s="220">
        <v>41</v>
      </c>
      <c r="H47" s="278" t="s">
        <v>480</v>
      </c>
      <c r="I47" s="241" t="s">
        <v>191</v>
      </c>
      <c r="J47" s="241" t="s">
        <v>192</v>
      </c>
      <c r="K47" s="241" t="s">
        <v>155</v>
      </c>
      <c r="L47" s="249">
        <v>27211</v>
      </c>
      <c r="M47" s="242" t="s">
        <v>450</v>
      </c>
      <c r="N47" s="241" t="s">
        <v>300</v>
      </c>
      <c r="O47" s="249">
        <v>42323</v>
      </c>
      <c r="P47" s="220"/>
    </row>
    <row r="48" spans="1:16">
      <c r="A48" s="220">
        <v>42</v>
      </c>
      <c r="B48" s="273">
        <v>2.8344907407407409E-2</v>
      </c>
      <c r="C48" s="227">
        <f t="shared" si="2"/>
        <v>40.81666666666667</v>
      </c>
      <c r="D48" s="227">
        <f t="shared" si="3"/>
        <v>33.774370491510304</v>
      </c>
      <c r="E48" s="232">
        <f>'10K'!$E48*(1-$K$2)+H.Marathon!$E48*$K$2</f>
        <v>0.94499664100887992</v>
      </c>
      <c r="F48" s="274">
        <f t="shared" si="4"/>
        <v>82.74651814988232</v>
      </c>
      <c r="G48" s="220">
        <v>42</v>
      </c>
      <c r="H48" s="278" t="s">
        <v>481</v>
      </c>
      <c r="I48" s="241" t="s">
        <v>195</v>
      </c>
      <c r="J48" s="241" t="s">
        <v>196</v>
      </c>
      <c r="K48" s="241" t="s">
        <v>197</v>
      </c>
      <c r="L48" s="249">
        <v>22400</v>
      </c>
      <c r="M48" s="242" t="s">
        <v>429</v>
      </c>
      <c r="N48" s="241" t="s">
        <v>430</v>
      </c>
      <c r="O48" s="249">
        <v>37745</v>
      </c>
      <c r="P48" s="220"/>
    </row>
    <row r="49" spans="1:16">
      <c r="A49" s="220">
        <v>43</v>
      </c>
      <c r="B49" s="273">
        <v>2.8796296296296296E-2</v>
      </c>
      <c r="C49" s="227">
        <f t="shared" si="2"/>
        <v>41.466666666666669</v>
      </c>
      <c r="D49" s="227">
        <f t="shared" si="3"/>
        <v>34.04722715523863</v>
      </c>
      <c r="E49" s="232">
        <f>'10K'!$E49*(1-$K$2)+H.Marathon!$E49*$K$2</f>
        <v>0.93742337727364244</v>
      </c>
      <c r="F49" s="274">
        <f t="shared" si="4"/>
        <v>82.107460985302154</v>
      </c>
      <c r="G49" s="220">
        <v>43</v>
      </c>
      <c r="H49" s="278" t="s">
        <v>482</v>
      </c>
      <c r="I49" s="241" t="s">
        <v>195</v>
      </c>
      <c r="J49" s="241" t="s">
        <v>196</v>
      </c>
      <c r="K49" s="241" t="s">
        <v>197</v>
      </c>
      <c r="L49" s="249">
        <v>22400</v>
      </c>
      <c r="M49" s="242" t="s">
        <v>429</v>
      </c>
      <c r="N49" s="241" t="s">
        <v>430</v>
      </c>
      <c r="O49" s="249">
        <v>38109</v>
      </c>
      <c r="P49" s="220"/>
    </row>
    <row r="50" spans="1:16">
      <c r="A50" s="220">
        <v>44</v>
      </c>
      <c r="B50" s="273">
        <v>2.9212962962962961E-2</v>
      </c>
      <c r="C50" s="227">
        <f t="shared" si="2"/>
        <v>42.066666666666663</v>
      </c>
      <c r="D50" s="227">
        <f t="shared" si="3"/>
        <v>34.324528439548807</v>
      </c>
      <c r="E50" s="232">
        <f>'10K'!$E50*(1-$K$2)+H.Marathon!$E50*$K$2</f>
        <v>0.92985011353840485</v>
      </c>
      <c r="F50" s="274">
        <f t="shared" si="4"/>
        <v>81.595550965646936</v>
      </c>
      <c r="G50" s="220">
        <v>44</v>
      </c>
      <c r="H50" s="278" t="s">
        <v>483</v>
      </c>
      <c r="I50" s="241" t="s">
        <v>484</v>
      </c>
      <c r="J50" s="241" t="s">
        <v>485</v>
      </c>
      <c r="K50" s="241" t="s">
        <v>155</v>
      </c>
      <c r="L50" s="249">
        <v>26050</v>
      </c>
      <c r="M50" s="242" t="s">
        <v>450</v>
      </c>
      <c r="N50" s="241" t="s">
        <v>300</v>
      </c>
      <c r="O50" s="249">
        <v>42323</v>
      </c>
      <c r="P50" s="220"/>
    </row>
    <row r="51" spans="1:16">
      <c r="A51" s="220">
        <v>45</v>
      </c>
      <c r="B51" s="273">
        <v>3.0069444444444444E-2</v>
      </c>
      <c r="C51" s="227">
        <f t="shared" si="2"/>
        <v>43.3</v>
      </c>
      <c r="D51" s="227">
        <f t="shared" si="3"/>
        <v>34.606383835264147</v>
      </c>
      <c r="E51" s="232">
        <f>'10K'!$E51*(1-$K$2)+H.Marathon!$E51*$K$2</f>
        <v>0.92227684980316738</v>
      </c>
      <c r="F51" s="274">
        <f t="shared" si="4"/>
        <v>79.922364515621595</v>
      </c>
      <c r="G51" s="220">
        <v>45</v>
      </c>
      <c r="H51" s="278" t="s">
        <v>486</v>
      </c>
      <c r="I51" s="241" t="s">
        <v>199</v>
      </c>
      <c r="J51" s="241" t="s">
        <v>200</v>
      </c>
      <c r="K51" s="241" t="s">
        <v>201</v>
      </c>
      <c r="L51" s="249">
        <v>20152</v>
      </c>
      <c r="M51" s="242" t="s">
        <v>429</v>
      </c>
      <c r="N51" s="241" t="s">
        <v>430</v>
      </c>
      <c r="O51" s="249">
        <v>36653</v>
      </c>
      <c r="P51" s="220"/>
    </row>
    <row r="52" spans="1:16">
      <c r="A52" s="220">
        <v>46</v>
      </c>
      <c r="B52" s="273">
        <v>2.9814814814814815E-2</v>
      </c>
      <c r="C52" s="227">
        <f t="shared" si="2"/>
        <v>42.93333333333333</v>
      </c>
      <c r="D52" s="227">
        <f t="shared" si="3"/>
        <v>34.892906459313259</v>
      </c>
      <c r="E52" s="232">
        <f>'10K'!$E52*(1-$K$2)+H.Marathon!$E52*$K$2</f>
        <v>0.91470358606792967</v>
      </c>
      <c r="F52" s="274">
        <f t="shared" si="4"/>
        <v>81.272297653679956</v>
      </c>
      <c r="G52" s="220">
        <v>46</v>
      </c>
      <c r="H52" s="278" t="s">
        <v>487</v>
      </c>
      <c r="I52" s="241" t="s">
        <v>285</v>
      </c>
      <c r="J52" s="241" t="s">
        <v>488</v>
      </c>
      <c r="K52" s="241" t="s">
        <v>155</v>
      </c>
      <c r="L52" s="249">
        <v>16398</v>
      </c>
      <c r="M52" s="242" t="s">
        <v>429</v>
      </c>
      <c r="N52" s="241" t="s">
        <v>430</v>
      </c>
      <c r="O52" s="249">
        <v>33363</v>
      </c>
      <c r="P52" s="220"/>
    </row>
    <row r="53" spans="1:16">
      <c r="A53" s="220">
        <v>47</v>
      </c>
      <c r="B53" s="273">
        <v>2.9837962962962962E-2</v>
      </c>
      <c r="C53" s="227">
        <f t="shared" si="2"/>
        <v>42.966666666666669</v>
      </c>
      <c r="D53" s="227">
        <f t="shared" si="3"/>
        <v>35.183266022276406</v>
      </c>
      <c r="E53" s="232">
        <f>'10K'!$E53*(1-$K$2)+H.Marathon!$E53*$K$2</f>
        <v>0.90715474357777137</v>
      </c>
      <c r="F53" s="274">
        <f t="shared" si="4"/>
        <v>81.885025653087055</v>
      </c>
      <c r="G53" s="220">
        <v>47</v>
      </c>
      <c r="H53" s="278" t="s">
        <v>489</v>
      </c>
      <c r="I53" s="241" t="s">
        <v>285</v>
      </c>
      <c r="J53" s="241" t="s">
        <v>488</v>
      </c>
      <c r="K53" s="241" t="s">
        <v>155</v>
      </c>
      <c r="L53" s="249">
        <v>16398</v>
      </c>
      <c r="M53" s="242" t="s">
        <v>429</v>
      </c>
      <c r="N53" s="241" t="s">
        <v>430</v>
      </c>
      <c r="O53" s="249">
        <v>33727</v>
      </c>
      <c r="P53" s="220"/>
    </row>
    <row r="54" spans="1:16">
      <c r="A54" s="220">
        <v>48</v>
      </c>
      <c r="B54" s="273">
        <v>3.2094907407407405E-2</v>
      </c>
      <c r="C54" s="227">
        <f t="shared" si="2"/>
        <v>46.216666666666661</v>
      </c>
      <c r="D54" s="227">
        <f t="shared" si="3"/>
        <v>35.479461707296906</v>
      </c>
      <c r="E54" s="232">
        <f>'10K'!$E54*(1-$K$2)+H.Marathon!$E54*$K$2</f>
        <v>0.89958147984253389</v>
      </c>
      <c r="F54" s="274">
        <f t="shared" si="4"/>
        <v>76.767677693393964</v>
      </c>
      <c r="G54" s="220">
        <v>48</v>
      </c>
      <c r="H54" s="282" t="s">
        <v>490</v>
      </c>
      <c r="I54" s="241" t="s">
        <v>491</v>
      </c>
      <c r="J54" s="241" t="s">
        <v>492</v>
      </c>
      <c r="K54" s="241" t="s">
        <v>155</v>
      </c>
      <c r="L54" s="249">
        <v>24882</v>
      </c>
      <c r="M54" s="242" t="s">
        <v>429</v>
      </c>
      <c r="N54" s="241" t="s">
        <v>430</v>
      </c>
      <c r="O54" s="249">
        <v>42491</v>
      </c>
      <c r="P54" s="220"/>
    </row>
    <row r="55" spans="1:16">
      <c r="A55" s="220">
        <v>49</v>
      </c>
      <c r="B55" s="273">
        <v>3.1851851851851853E-2</v>
      </c>
      <c r="C55" s="227">
        <f t="shared" si="2"/>
        <v>45.866666666666667</v>
      </c>
      <c r="D55" s="227">
        <f t="shared" si="3"/>
        <v>35.780686870744624</v>
      </c>
      <c r="E55" s="232">
        <f>'10K'!$E55*(1-$K$2)+H.Marathon!$E55*$K$2</f>
        <v>0.8920082161072963</v>
      </c>
      <c r="F55" s="274">
        <f t="shared" si="4"/>
        <v>78.010218468193216</v>
      </c>
      <c r="G55" s="220">
        <v>49</v>
      </c>
      <c r="H55" s="278" t="s">
        <v>493</v>
      </c>
      <c r="I55" s="241" t="s">
        <v>199</v>
      </c>
      <c r="J55" s="241" t="s">
        <v>200</v>
      </c>
      <c r="K55" s="241" t="s">
        <v>201</v>
      </c>
      <c r="L55" s="249">
        <v>20152</v>
      </c>
      <c r="M55" s="242" t="s">
        <v>429</v>
      </c>
      <c r="N55" s="241" t="s">
        <v>430</v>
      </c>
      <c r="O55" s="249">
        <v>38109</v>
      </c>
      <c r="P55" s="220"/>
    </row>
    <row r="56" spans="1:16">
      <c r="A56" s="220">
        <v>50</v>
      </c>
      <c r="B56" s="273">
        <v>3.1886574074074074E-2</v>
      </c>
      <c r="C56" s="227">
        <f t="shared" si="2"/>
        <v>45.916666666666664</v>
      </c>
      <c r="D56" s="227">
        <f t="shared" si="3"/>
        <v>36.087070712284735</v>
      </c>
      <c r="E56" s="232">
        <f>'10K'!$E56*(1-$K$2)+H.Marathon!$E56*$K$2</f>
        <v>0.88443495237205882</v>
      </c>
      <c r="F56" s="274">
        <f t="shared" si="4"/>
        <v>78.59253149680886</v>
      </c>
      <c r="G56" s="220">
        <v>50</v>
      </c>
      <c r="H56" s="278" t="s">
        <v>494</v>
      </c>
      <c r="I56" s="241" t="s">
        <v>495</v>
      </c>
      <c r="J56" s="241" t="s">
        <v>496</v>
      </c>
      <c r="K56" s="241" t="s">
        <v>250</v>
      </c>
      <c r="L56" s="249">
        <v>23581</v>
      </c>
      <c r="M56" s="242"/>
      <c r="N56" s="241" t="s">
        <v>497</v>
      </c>
      <c r="O56" s="249">
        <v>42014</v>
      </c>
      <c r="P56" s="220"/>
    </row>
    <row r="57" spans="1:16">
      <c r="A57" s="220">
        <v>51</v>
      </c>
      <c r="B57" s="273">
        <v>3.2696759259259259E-2</v>
      </c>
      <c r="C57" s="227">
        <f t="shared" si="2"/>
        <v>47.083333333333336</v>
      </c>
      <c r="D57" s="227">
        <f t="shared" si="3"/>
        <v>36.398746895060114</v>
      </c>
      <c r="E57" s="232">
        <f>'10K'!$E57*(1-$K$2)+H.Marathon!$E57*$K$2</f>
        <v>0.87686168863682123</v>
      </c>
      <c r="F57" s="274">
        <f t="shared" si="4"/>
        <v>77.307073051455106</v>
      </c>
      <c r="G57" s="220">
        <v>51</v>
      </c>
      <c r="H57" s="278" t="s">
        <v>498</v>
      </c>
      <c r="I57" s="241" t="s">
        <v>499</v>
      </c>
      <c r="J57" s="241" t="s">
        <v>500</v>
      </c>
      <c r="K57" s="241" t="s">
        <v>283</v>
      </c>
      <c r="L57" s="249">
        <v>22157</v>
      </c>
      <c r="M57" s="242"/>
      <c r="N57" s="241" t="s">
        <v>501</v>
      </c>
      <c r="O57" s="249">
        <v>40895</v>
      </c>
      <c r="P57" s="220"/>
    </row>
    <row r="58" spans="1:16">
      <c r="A58" s="220">
        <v>52</v>
      </c>
      <c r="B58" s="273">
        <v>3.1203703703703702E-2</v>
      </c>
      <c r="C58" s="227">
        <f t="shared" si="2"/>
        <v>44.93333333333333</v>
      </c>
      <c r="D58" s="227">
        <f t="shared" si="3"/>
        <v>36.714822296876498</v>
      </c>
      <c r="E58" s="232">
        <f>'10K'!$E58*(1-$K$2)+H.Marathon!$E58*$K$2</f>
        <v>0.86931284614666282</v>
      </c>
      <c r="F58" s="274">
        <f t="shared" si="4"/>
        <v>81.709545171090141</v>
      </c>
      <c r="G58" s="220">
        <v>52</v>
      </c>
      <c r="H58" s="278" t="s">
        <v>502</v>
      </c>
      <c r="I58" s="241" t="s">
        <v>503</v>
      </c>
      <c r="J58" s="241" t="s">
        <v>504</v>
      </c>
      <c r="K58" s="241" t="s">
        <v>155</v>
      </c>
      <c r="L58" s="249">
        <v>14922</v>
      </c>
      <c r="M58" s="242" t="s">
        <v>429</v>
      </c>
      <c r="N58" s="241" t="s">
        <v>430</v>
      </c>
      <c r="O58" s="249">
        <v>34091</v>
      </c>
      <c r="P58" s="220"/>
    </row>
    <row r="59" spans="1:16">
      <c r="A59" s="220">
        <v>53</v>
      </c>
      <c r="B59" s="273">
        <v>3.30787037037037E-2</v>
      </c>
      <c r="C59" s="227">
        <f t="shared" si="2"/>
        <v>47.633333333333326</v>
      </c>
      <c r="D59" s="227">
        <f t="shared" si="3"/>
        <v>37.037484778584194</v>
      </c>
      <c r="E59" s="232">
        <f>'10K'!$E59*(1-$K$2)+H.Marathon!$E59*$K$2</f>
        <v>0.86173958241142534</v>
      </c>
      <c r="F59" s="274">
        <f t="shared" si="4"/>
        <v>77.755391417601544</v>
      </c>
      <c r="G59" s="220">
        <v>53</v>
      </c>
      <c r="H59" s="278" t="s">
        <v>505</v>
      </c>
      <c r="I59" s="241" t="s">
        <v>298</v>
      </c>
      <c r="J59" s="241" t="s">
        <v>337</v>
      </c>
      <c r="K59" s="241" t="s">
        <v>283</v>
      </c>
      <c r="L59" s="249">
        <v>21934</v>
      </c>
      <c r="M59" s="242"/>
      <c r="N59" s="241" t="s">
        <v>506</v>
      </c>
      <c r="O59" s="249">
        <v>41479</v>
      </c>
      <c r="P59" s="220"/>
    </row>
    <row r="60" spans="1:16">
      <c r="A60" s="220">
        <v>54</v>
      </c>
      <c r="B60" s="273">
        <v>3.3715277777777775E-2</v>
      </c>
      <c r="C60" s="227">
        <f t="shared" si="2"/>
        <v>48.55</v>
      </c>
      <c r="D60" s="227">
        <f t="shared" si="3"/>
        <v>37.365868881521891</v>
      </c>
      <c r="E60" s="232">
        <f>'10K'!$E60*(1-$K$2)+H.Marathon!$E60*$K$2</f>
        <v>0.85416631867618764</v>
      </c>
      <c r="F60" s="274">
        <f t="shared" si="4"/>
        <v>76.963684616934898</v>
      </c>
      <c r="G60" s="220">
        <v>54</v>
      </c>
      <c r="H60" s="278" t="s">
        <v>507</v>
      </c>
      <c r="I60" s="241" t="s">
        <v>207</v>
      </c>
      <c r="J60" s="241" t="s">
        <v>508</v>
      </c>
      <c r="K60" s="241" t="s">
        <v>155</v>
      </c>
      <c r="L60" s="249">
        <v>16147</v>
      </c>
      <c r="M60" s="242"/>
      <c r="N60" s="241" t="s">
        <v>267</v>
      </c>
      <c r="O60" s="249">
        <v>36211</v>
      </c>
      <c r="P60" s="220"/>
    </row>
    <row r="61" spans="1:16">
      <c r="A61" s="220">
        <v>55</v>
      </c>
      <c r="B61" s="273">
        <v>3.3587962962962965E-2</v>
      </c>
      <c r="C61" s="227">
        <f t="shared" si="2"/>
        <v>48.366666666666667</v>
      </c>
      <c r="D61" s="227">
        <f t="shared" si="3"/>
        <v>37.700128155306977</v>
      </c>
      <c r="E61" s="232">
        <f>'10K'!$E61*(1-$K$2)+H.Marathon!$E61*$K$2</f>
        <v>0.84659305494095027</v>
      </c>
      <c r="F61" s="274">
        <f t="shared" si="4"/>
        <v>77.946508935851782</v>
      </c>
      <c r="G61" s="220">
        <v>55</v>
      </c>
      <c r="H61" s="278" t="s">
        <v>509</v>
      </c>
      <c r="I61" s="241" t="s">
        <v>211</v>
      </c>
      <c r="J61" s="241" t="s">
        <v>212</v>
      </c>
      <c r="K61" s="241" t="s">
        <v>155</v>
      </c>
      <c r="L61" s="249">
        <v>20087</v>
      </c>
      <c r="M61" s="242" t="s">
        <v>429</v>
      </c>
      <c r="N61" s="241" t="s">
        <v>430</v>
      </c>
      <c r="O61" s="249">
        <v>40300</v>
      </c>
      <c r="P61" s="220"/>
    </row>
    <row r="62" spans="1:16">
      <c r="A62" s="220">
        <v>56</v>
      </c>
      <c r="B62" s="273">
        <v>3.4074074074074076E-2</v>
      </c>
      <c r="C62" s="227">
        <f t="shared" si="2"/>
        <v>49.06666666666667</v>
      </c>
      <c r="D62" s="227">
        <f t="shared" si="3"/>
        <v>38.040421693510766</v>
      </c>
      <c r="E62" s="232">
        <f>'10K'!$E62*(1-$K$2)+H.Marathon!$E62*$K$2</f>
        <v>0.83901979120571268</v>
      </c>
      <c r="F62" s="274">
        <f t="shared" si="4"/>
        <v>77.528033342752906</v>
      </c>
      <c r="G62" s="220">
        <v>56</v>
      </c>
      <c r="H62" s="278" t="s">
        <v>510</v>
      </c>
      <c r="I62" s="241" t="s">
        <v>511</v>
      </c>
      <c r="J62" s="241" t="s">
        <v>512</v>
      </c>
      <c r="K62" s="241" t="s">
        <v>155</v>
      </c>
      <c r="L62" s="249">
        <v>21642</v>
      </c>
      <c r="M62" s="242" t="s">
        <v>450</v>
      </c>
      <c r="N62" s="241" t="s">
        <v>300</v>
      </c>
      <c r="O62" s="249">
        <v>42323</v>
      </c>
      <c r="P62" s="220"/>
    </row>
    <row r="63" spans="1:16">
      <c r="A63" s="220">
        <v>57</v>
      </c>
      <c r="B63" s="273">
        <v>3.2256944444444442E-2</v>
      </c>
      <c r="C63" s="227">
        <f t="shared" si="2"/>
        <v>46.449999999999996</v>
      </c>
      <c r="D63" s="227">
        <f t="shared" si="3"/>
        <v>38.385786918918967</v>
      </c>
      <c r="E63" s="232">
        <f>'10K'!$E63*(1-$K$2)+H.Marathon!$E63*$K$2</f>
        <v>0.83147094871555427</v>
      </c>
      <c r="F63" s="274">
        <f t="shared" si="4"/>
        <v>82.638938469147405</v>
      </c>
      <c r="G63" s="220">
        <v>57</v>
      </c>
      <c r="H63" s="278" t="s">
        <v>513</v>
      </c>
      <c r="I63" s="241" t="s">
        <v>207</v>
      </c>
      <c r="J63" s="241" t="s">
        <v>208</v>
      </c>
      <c r="K63" s="241" t="s">
        <v>155</v>
      </c>
      <c r="L63" s="249">
        <v>20956</v>
      </c>
      <c r="M63" s="242" t="s">
        <v>450</v>
      </c>
      <c r="N63" s="241" t="s">
        <v>300</v>
      </c>
      <c r="O63" s="249">
        <v>41959</v>
      </c>
      <c r="P63" s="220"/>
    </row>
    <row r="64" spans="1:16">
      <c r="A64" s="220">
        <v>58</v>
      </c>
      <c r="B64" s="273">
        <v>3.4479166666666665E-2</v>
      </c>
      <c r="C64" s="227">
        <f t="shared" si="2"/>
        <v>49.65</v>
      </c>
      <c r="D64" s="227">
        <f t="shared" si="3"/>
        <v>38.738628895927981</v>
      </c>
      <c r="E64" s="232">
        <f>'10K'!$E64*(1-$K$2)+H.Marathon!$E64*$K$2</f>
        <v>0.82389768498031679</v>
      </c>
      <c r="F64" s="274">
        <f t="shared" si="4"/>
        <v>78.023421744064407</v>
      </c>
      <c r="G64" s="220">
        <v>58</v>
      </c>
      <c r="H64" s="278" t="s">
        <v>514</v>
      </c>
      <c r="I64" s="241" t="s">
        <v>515</v>
      </c>
      <c r="J64" s="241" t="s">
        <v>516</v>
      </c>
      <c r="K64" s="241" t="s">
        <v>331</v>
      </c>
      <c r="L64" s="249">
        <v>18965</v>
      </c>
      <c r="M64" s="242"/>
      <c r="N64" s="241" t="s">
        <v>161</v>
      </c>
      <c r="O64" s="249">
        <v>40279</v>
      </c>
      <c r="P64" s="220"/>
    </row>
    <row r="65" spans="1:16">
      <c r="A65" s="220">
        <v>59</v>
      </c>
      <c r="B65" s="273">
        <v>3.591435185185185E-2</v>
      </c>
      <c r="C65" s="227">
        <f t="shared" si="2"/>
        <v>51.716666666666661</v>
      </c>
      <c r="D65" s="227">
        <f t="shared" si="3"/>
        <v>39.098017694958259</v>
      </c>
      <c r="E65" s="232">
        <f>'10K'!$E65*(1-$K$2)+H.Marathon!$E65*$K$2</f>
        <v>0.81632442124507931</v>
      </c>
      <c r="F65" s="274">
        <f t="shared" si="4"/>
        <v>75.600420937721424</v>
      </c>
      <c r="G65" s="220">
        <v>59</v>
      </c>
      <c r="H65" s="278" t="s">
        <v>517</v>
      </c>
      <c r="I65" s="241" t="s">
        <v>503</v>
      </c>
      <c r="J65" s="241" t="s">
        <v>504</v>
      </c>
      <c r="K65" s="241" t="s">
        <v>155</v>
      </c>
      <c r="L65" s="249">
        <v>14922</v>
      </c>
      <c r="M65" s="242"/>
      <c r="N65" s="241" t="s">
        <v>267</v>
      </c>
      <c r="O65" s="249">
        <v>36582</v>
      </c>
      <c r="P65" s="220"/>
    </row>
    <row r="66" spans="1:16">
      <c r="A66" s="220">
        <v>60</v>
      </c>
      <c r="B66" s="273">
        <v>3.528935185185185E-2</v>
      </c>
      <c r="C66" s="227">
        <f t="shared" si="2"/>
        <v>50.816666666666663</v>
      </c>
      <c r="D66" s="227">
        <f t="shared" si="3"/>
        <v>39.464137232197132</v>
      </c>
      <c r="E66" s="232">
        <f>'10K'!$E66*(1-$K$2)+H.Marathon!$E66*$K$2</f>
        <v>0.80875115750984161</v>
      </c>
      <c r="F66" s="274">
        <f t="shared" si="4"/>
        <v>77.659830565163261</v>
      </c>
      <c r="G66" s="220">
        <v>60</v>
      </c>
      <c r="H66" s="282" t="s">
        <v>518</v>
      </c>
      <c r="I66" s="241" t="s">
        <v>519</v>
      </c>
      <c r="J66" s="241" t="s">
        <v>520</v>
      </c>
      <c r="K66" s="241" t="s">
        <v>155</v>
      </c>
      <c r="L66" s="249">
        <v>14464</v>
      </c>
      <c r="M66" s="242" t="s">
        <v>429</v>
      </c>
      <c r="N66" s="241" t="s">
        <v>430</v>
      </c>
      <c r="O66" s="249">
        <v>36653</v>
      </c>
      <c r="P66" s="220"/>
    </row>
    <row r="67" spans="1:16">
      <c r="A67" s="220">
        <v>61</v>
      </c>
      <c r="B67" s="273">
        <v>3.5624999999999997E-2</v>
      </c>
      <c r="C67" s="227">
        <f t="shared" si="2"/>
        <v>51.3</v>
      </c>
      <c r="D67" s="227">
        <f t="shared" si="3"/>
        <v>39.837178377822049</v>
      </c>
      <c r="E67" s="232">
        <f>'10K'!$E67*(1-$K$2)+H.Marathon!$E67*$K$2</f>
        <v>0.80117789377460413</v>
      </c>
      <c r="F67" s="274">
        <f t="shared" si="4"/>
        <v>77.655318475286649</v>
      </c>
      <c r="G67" s="220">
        <v>61</v>
      </c>
      <c r="H67" s="278" t="s">
        <v>521</v>
      </c>
      <c r="I67" s="241" t="s">
        <v>340</v>
      </c>
      <c r="J67" s="241" t="s">
        <v>341</v>
      </c>
      <c r="K67" s="241" t="s">
        <v>250</v>
      </c>
      <c r="L67" s="249">
        <v>17849</v>
      </c>
      <c r="M67" s="242"/>
      <c r="N67" s="241" t="s">
        <v>497</v>
      </c>
      <c r="O67" s="249">
        <v>40187</v>
      </c>
      <c r="P67" s="220"/>
    </row>
    <row r="68" spans="1:16">
      <c r="A68" s="220">
        <v>62</v>
      </c>
      <c r="B68" s="273">
        <v>3.4016203703703701E-2</v>
      </c>
      <c r="C68" s="227">
        <f t="shared" si="2"/>
        <v>48.983333333333327</v>
      </c>
      <c r="D68" s="227">
        <f t="shared" si="3"/>
        <v>40.216101735453442</v>
      </c>
      <c r="E68" s="232">
        <f>'10K'!$E68*(1-$K$2)+H.Marathon!$E68*$K$2</f>
        <v>0.79362905128444572</v>
      </c>
      <c r="F68" s="274">
        <f t="shared" si="4"/>
        <v>82.10160272634252</v>
      </c>
      <c r="G68" s="220">
        <v>62</v>
      </c>
      <c r="H68" s="282" t="s">
        <v>522</v>
      </c>
      <c r="I68" s="241" t="s">
        <v>214</v>
      </c>
      <c r="J68" s="241" t="s">
        <v>215</v>
      </c>
      <c r="K68" s="241" t="s">
        <v>155</v>
      </c>
      <c r="L68" s="249">
        <v>18901</v>
      </c>
      <c r="M68" s="242" t="s">
        <v>450</v>
      </c>
      <c r="N68" s="241" t="s">
        <v>300</v>
      </c>
      <c r="O68" s="249">
        <v>41595</v>
      </c>
      <c r="P68" s="220"/>
    </row>
    <row r="69" spans="1:16">
      <c r="A69" s="220">
        <v>63</v>
      </c>
      <c r="B69" s="273">
        <v>3.3958333333333333E-2</v>
      </c>
      <c r="C69" s="227">
        <f t="shared" si="2"/>
        <v>48.9</v>
      </c>
      <c r="D69" s="227">
        <f t="shared" si="3"/>
        <v>40.603564240876025</v>
      </c>
      <c r="E69" s="232">
        <f>'10K'!$E69*(1-$K$2)+H.Marathon!$E69*$K$2</f>
        <v>0.78605578754920813</v>
      </c>
      <c r="F69" s="274">
        <f t="shared" si="4"/>
        <v>83.033873703222966</v>
      </c>
      <c r="G69" s="220">
        <v>63</v>
      </c>
      <c r="H69" s="278" t="s">
        <v>523</v>
      </c>
      <c r="I69" s="241" t="s">
        <v>214</v>
      </c>
      <c r="J69" s="241" t="s">
        <v>215</v>
      </c>
      <c r="K69" s="241" t="s">
        <v>155</v>
      </c>
      <c r="L69" s="249">
        <v>18901</v>
      </c>
      <c r="M69" s="242" t="s">
        <v>450</v>
      </c>
      <c r="N69" s="241" t="s">
        <v>300</v>
      </c>
      <c r="O69" s="249">
        <v>41959</v>
      </c>
      <c r="P69" s="220"/>
    </row>
    <row r="70" spans="1:16">
      <c r="A70" s="220">
        <v>64</v>
      </c>
      <c r="B70" s="273">
        <v>3.4317129629629628E-2</v>
      </c>
      <c r="C70" s="227">
        <f t="shared" si="2"/>
        <v>49.416666666666664</v>
      </c>
      <c r="D70" s="227">
        <f t="shared" si="3"/>
        <v>40.998565401698855</v>
      </c>
      <c r="E70" s="232">
        <f>'10K'!$E70*(1-$K$2)+H.Marathon!$E70*$K$2</f>
        <v>0.77848252381397076</v>
      </c>
      <c r="F70" s="274">
        <f t="shared" si="4"/>
        <v>82.965056462122476</v>
      </c>
      <c r="G70" s="220">
        <v>64</v>
      </c>
      <c r="H70" s="278" t="s">
        <v>524</v>
      </c>
      <c r="I70" s="241" t="s">
        <v>214</v>
      </c>
      <c r="J70" s="241" t="s">
        <v>215</v>
      </c>
      <c r="K70" s="241" t="s">
        <v>155</v>
      </c>
      <c r="L70" s="249">
        <v>18901</v>
      </c>
      <c r="M70" s="242" t="s">
        <v>450</v>
      </c>
      <c r="N70" s="241" t="s">
        <v>300</v>
      </c>
      <c r="O70" s="249">
        <v>42323</v>
      </c>
      <c r="P70" s="220"/>
    </row>
    <row r="71" spans="1:16">
      <c r="A71" s="220">
        <v>65</v>
      </c>
      <c r="B71" s="273">
        <v>3.5729166666666666E-2</v>
      </c>
      <c r="C71" s="227">
        <f t="shared" si="2"/>
        <v>51.449999999999996</v>
      </c>
      <c r="D71" s="227">
        <f t="shared" si="3"/>
        <v>41.401327392807566</v>
      </c>
      <c r="E71" s="232">
        <f>'10K'!$E71*(1-$K$2)+H.Marathon!$E71*$K$2</f>
        <v>0.77090926007873317</v>
      </c>
      <c r="F71" s="274">
        <f t="shared" si="4"/>
        <v>80.469052269791192</v>
      </c>
      <c r="G71" s="220">
        <v>65</v>
      </c>
      <c r="H71" s="278" t="s">
        <v>525</v>
      </c>
      <c r="I71" s="241" t="s">
        <v>344</v>
      </c>
      <c r="J71" s="241" t="s">
        <v>345</v>
      </c>
      <c r="K71" s="241" t="s">
        <v>250</v>
      </c>
      <c r="L71" s="249">
        <v>16132</v>
      </c>
      <c r="M71" s="242"/>
      <c r="N71" s="241" t="s">
        <v>526</v>
      </c>
      <c r="O71" s="249">
        <v>39907</v>
      </c>
      <c r="P71" s="220"/>
    </row>
    <row r="72" spans="1:16">
      <c r="A72" s="220">
        <v>66</v>
      </c>
      <c r="B72" s="273">
        <v>3.6446759259259262E-2</v>
      </c>
      <c r="C72" s="227">
        <f t="shared" si="2"/>
        <v>52.483333333333334</v>
      </c>
      <c r="D72" s="227">
        <f t="shared" si="3"/>
        <v>41.812081206117263</v>
      </c>
      <c r="E72" s="232">
        <f>'10K'!$E72*(1-$K$2)+H.Marathon!$E72*$K$2</f>
        <v>0.76333599634349558</v>
      </c>
      <c r="F72" s="274">
        <f t="shared" si="4"/>
        <v>79.667350662655949</v>
      </c>
      <c r="G72" s="220">
        <v>66</v>
      </c>
      <c r="H72" s="278" t="s">
        <v>527</v>
      </c>
      <c r="I72" s="241" t="s">
        <v>344</v>
      </c>
      <c r="J72" s="241" t="s">
        <v>345</v>
      </c>
      <c r="K72" s="241" t="s">
        <v>250</v>
      </c>
      <c r="L72" s="249">
        <v>16132</v>
      </c>
      <c r="M72" s="242"/>
      <c r="N72" s="241" t="s">
        <v>526</v>
      </c>
      <c r="O72" s="249">
        <v>40306</v>
      </c>
      <c r="P72" s="220"/>
    </row>
    <row r="73" spans="1:16">
      <c r="A73" s="220">
        <v>67</v>
      </c>
      <c r="B73" s="273">
        <v>4.0150462962962964E-2</v>
      </c>
      <c r="C73" s="227">
        <f t="shared" si="2"/>
        <v>57.81666666666667</v>
      </c>
      <c r="D73" s="227">
        <f t="shared" si="3"/>
        <v>42.229702508095549</v>
      </c>
      <c r="E73" s="232">
        <f>'10K'!$E73*(1-$K$2)+H.Marathon!$E73*$K$2</f>
        <v>0.75578715385333717</v>
      </c>
      <c r="F73" s="274">
        <f t="shared" si="4"/>
        <v>73.040707710744684</v>
      </c>
      <c r="G73" s="220">
        <v>67</v>
      </c>
      <c r="H73" s="278" t="s">
        <v>528</v>
      </c>
      <c r="I73" s="241" t="s">
        <v>529</v>
      </c>
      <c r="J73" s="241" t="s">
        <v>530</v>
      </c>
      <c r="K73" s="241" t="s">
        <v>155</v>
      </c>
      <c r="L73" s="249">
        <v>17624</v>
      </c>
      <c r="M73" s="242" t="s">
        <v>531</v>
      </c>
      <c r="N73" s="241" t="s">
        <v>532</v>
      </c>
      <c r="O73" s="249">
        <v>42120</v>
      </c>
      <c r="P73" s="220"/>
    </row>
    <row r="74" spans="1:16">
      <c r="A74" s="220">
        <v>68</v>
      </c>
      <c r="B74" s="273">
        <v>4.310185185185185E-2</v>
      </c>
      <c r="C74" s="227">
        <f t="shared" si="2"/>
        <v>62.066666666666663</v>
      </c>
      <c r="D74" s="227">
        <f t="shared" si="3"/>
        <v>42.657142680990425</v>
      </c>
      <c r="E74" s="232">
        <f>'10K'!$E74*(1-$K$2)+H.Marathon!$E74*$K$2</f>
        <v>0.74821389011809958</v>
      </c>
      <c r="F74" s="274">
        <f t="shared" si="4"/>
        <v>68.727942020929802</v>
      </c>
      <c r="G74" s="220">
        <v>68</v>
      </c>
      <c r="H74" s="276">
        <v>4.3101851851851856E-2</v>
      </c>
      <c r="I74" s="241" t="s">
        <v>533</v>
      </c>
      <c r="J74" s="241" t="s">
        <v>534</v>
      </c>
      <c r="K74" s="241" t="s">
        <v>155</v>
      </c>
      <c r="L74" s="249">
        <v>15675</v>
      </c>
      <c r="M74" s="242" t="s">
        <v>535</v>
      </c>
      <c r="N74" s="241" t="s">
        <v>536</v>
      </c>
      <c r="O74" s="249">
        <v>40895</v>
      </c>
      <c r="P74" s="220"/>
    </row>
    <row r="75" spans="1:16">
      <c r="A75" s="220">
        <v>69</v>
      </c>
      <c r="B75" s="273">
        <v>4.2453703703703702E-2</v>
      </c>
      <c r="C75" s="227">
        <f t="shared" si="2"/>
        <v>61.133333333333333</v>
      </c>
      <c r="D75" s="227">
        <f t="shared" ref="D75:D106" si="5">E$4/E75</f>
        <v>43.096166283274258</v>
      </c>
      <c r="E75" s="232">
        <f>'10K'!$E75*(1-$K$2)+H.Marathon!$E75*$K$2</f>
        <v>0.74059178389270364</v>
      </c>
      <c r="F75" s="274">
        <f t="shared" ref="F75:F83" si="6">100*(D75/C75)</f>
        <v>70.495364694559854</v>
      </c>
      <c r="G75" s="220">
        <v>69</v>
      </c>
      <c r="H75" s="276">
        <v>4.2453703703703709E-2</v>
      </c>
      <c r="I75" s="241" t="s">
        <v>537</v>
      </c>
      <c r="J75" s="241" t="s">
        <v>466</v>
      </c>
      <c r="K75" s="241" t="s">
        <v>155</v>
      </c>
      <c r="L75" s="249">
        <v>5880</v>
      </c>
      <c r="M75" s="242" t="s">
        <v>538</v>
      </c>
      <c r="N75" s="241" t="s">
        <v>539</v>
      </c>
      <c r="O75" s="249">
        <v>31326</v>
      </c>
      <c r="P75" s="220"/>
    </row>
    <row r="76" spans="1:16">
      <c r="A76" s="220">
        <v>70</v>
      </c>
      <c r="B76" s="273">
        <v>4.0532407407407406E-2</v>
      </c>
      <c r="C76" s="227">
        <f t="shared" si="2"/>
        <v>58.366666666666667</v>
      </c>
      <c r="D76" s="227">
        <f t="shared" si="5"/>
        <v>43.557519547776266</v>
      </c>
      <c r="E76" s="232">
        <f>'10K'!$E76*(1-$K$2)+H.Marathon!$E76*$K$2</f>
        <v>0.73274757144191194</v>
      </c>
      <c r="F76" s="274">
        <f t="shared" si="6"/>
        <v>74.627389288023309</v>
      </c>
      <c r="G76" s="220">
        <v>70</v>
      </c>
      <c r="H76" s="278" t="s">
        <v>540</v>
      </c>
      <c r="I76" s="241" t="s">
        <v>541</v>
      </c>
      <c r="J76" s="241" t="s">
        <v>542</v>
      </c>
      <c r="K76" s="241" t="s">
        <v>155</v>
      </c>
      <c r="L76" s="249">
        <v>11324</v>
      </c>
      <c r="M76" s="242" t="s">
        <v>429</v>
      </c>
      <c r="N76" s="241" t="s">
        <v>430</v>
      </c>
      <c r="O76" s="249">
        <v>37017</v>
      </c>
      <c r="P76" s="220"/>
    </row>
    <row r="77" spans="1:16">
      <c r="A77" s="220">
        <v>71</v>
      </c>
      <c r="B77" s="273">
        <v>4.2870370370370371E-2</v>
      </c>
      <c r="C77" s="227">
        <f t="shared" ref="C77:C83" si="7">B77*1440</f>
        <v>61.733333333333334</v>
      </c>
      <c r="D77" s="227">
        <f t="shared" si="5"/>
        <v>44.048430103374685</v>
      </c>
      <c r="E77" s="232">
        <f>'10K'!$E77*(1-$K$2)+H.Marathon!$E77*$K$2</f>
        <v>0.72458125276572416</v>
      </c>
      <c r="F77" s="274">
        <f t="shared" si="6"/>
        <v>71.352748547583175</v>
      </c>
      <c r="G77" s="220">
        <v>71</v>
      </c>
      <c r="H77" s="276">
        <v>4.2870370370370371E-2</v>
      </c>
      <c r="I77" s="241" t="s">
        <v>543</v>
      </c>
      <c r="J77" s="241" t="s">
        <v>544</v>
      </c>
      <c r="K77" s="241" t="s">
        <v>155</v>
      </c>
      <c r="L77" s="249">
        <v>13446</v>
      </c>
      <c r="M77" s="242" t="s">
        <v>429</v>
      </c>
      <c r="N77" s="241" t="s">
        <v>430</v>
      </c>
      <c r="O77" s="249">
        <v>39572</v>
      </c>
      <c r="P77" s="220"/>
    </row>
    <row r="78" spans="1:16">
      <c r="A78" s="220">
        <v>72</v>
      </c>
      <c r="B78" s="273">
        <v>4.148148148148148E-2</v>
      </c>
      <c r="C78" s="227">
        <f t="shared" si="7"/>
        <v>59.733333333333334</v>
      </c>
      <c r="D78" s="227">
        <f t="shared" si="5"/>
        <v>44.59729234753646</v>
      </c>
      <c r="E78" s="232">
        <f>'10K'!$E78*(1-$K$2)+H.Marathon!$E78*$K$2</f>
        <v>0.71566377657969482</v>
      </c>
      <c r="F78" s="274">
        <f t="shared" si="6"/>
        <v>74.660645671098976</v>
      </c>
      <c r="G78" s="220">
        <v>72</v>
      </c>
      <c r="H78" s="282" t="s">
        <v>545</v>
      </c>
      <c r="I78" s="241" t="s">
        <v>541</v>
      </c>
      <c r="J78" s="241" t="s">
        <v>542</v>
      </c>
      <c r="K78" s="241" t="s">
        <v>155</v>
      </c>
      <c r="L78" s="249">
        <v>11324</v>
      </c>
      <c r="M78" s="242" t="s">
        <v>429</v>
      </c>
      <c r="N78" s="241" t="s">
        <v>430</v>
      </c>
      <c r="O78" s="249">
        <v>37745</v>
      </c>
      <c r="P78" s="220"/>
    </row>
    <row r="79" spans="1:16">
      <c r="A79" s="220">
        <v>73</v>
      </c>
      <c r="B79" s="273">
        <v>4.3124999999999997E-2</v>
      </c>
      <c r="C79" s="227">
        <f t="shared" si="7"/>
        <v>62.099999999999994</v>
      </c>
      <c r="D79" s="227">
        <f t="shared" si="5"/>
        <v>45.201503431879367</v>
      </c>
      <c r="E79" s="232">
        <f>'10K'!$E79*(1-$K$2)+H.Marathon!$E79*$K$2</f>
        <v>0.70609745790350698</v>
      </c>
      <c r="F79" s="274">
        <f t="shared" si="6"/>
        <v>72.788250292881429</v>
      </c>
      <c r="G79" s="220">
        <v>73</v>
      </c>
      <c r="H79" s="282" t="s">
        <v>546</v>
      </c>
      <c r="I79" s="241" t="s">
        <v>541</v>
      </c>
      <c r="J79" s="241" t="s">
        <v>542</v>
      </c>
      <c r="K79" s="241" t="s">
        <v>155</v>
      </c>
      <c r="L79" s="249">
        <v>11324</v>
      </c>
      <c r="M79" s="242" t="s">
        <v>429</v>
      </c>
      <c r="N79" s="241" t="s">
        <v>430</v>
      </c>
      <c r="O79" s="249">
        <v>38109</v>
      </c>
      <c r="P79" s="220"/>
    </row>
    <row r="80" spans="1:16">
      <c r="A80" s="220">
        <v>74</v>
      </c>
      <c r="B80" s="273">
        <v>4.3981481481481483E-2</v>
      </c>
      <c r="C80" s="227">
        <f t="shared" si="7"/>
        <v>63.333333333333336</v>
      </c>
      <c r="D80" s="227">
        <f t="shared" si="5"/>
        <v>45.861817164990214</v>
      </c>
      <c r="E80" s="232">
        <f>'10K'!$E80*(1-$K$2)+H.Marathon!$E80*$K$2</f>
        <v>0.69593113922731931</v>
      </c>
      <c r="F80" s="274">
        <f t="shared" si="6"/>
        <v>72.413395523668754</v>
      </c>
      <c r="G80" s="220">
        <v>74</v>
      </c>
      <c r="H80" s="282" t="s">
        <v>547</v>
      </c>
      <c r="I80" s="241" t="s">
        <v>541</v>
      </c>
      <c r="J80" s="241" t="s">
        <v>542</v>
      </c>
      <c r="K80" s="241" t="s">
        <v>155</v>
      </c>
      <c r="L80" s="249">
        <v>11324</v>
      </c>
      <c r="M80" s="242" t="s">
        <v>429</v>
      </c>
      <c r="N80" s="241" t="s">
        <v>430</v>
      </c>
      <c r="O80" s="249">
        <v>38473</v>
      </c>
      <c r="P80" s="220"/>
    </row>
    <row r="81" spans="1:16">
      <c r="A81" s="220">
        <v>75</v>
      </c>
      <c r="B81" s="273">
        <v>3.8078703703703705E-2</v>
      </c>
      <c r="C81" s="227">
        <f t="shared" si="7"/>
        <v>54.833333333333336</v>
      </c>
      <c r="D81" s="227">
        <f t="shared" si="5"/>
        <v>46.594405750042583</v>
      </c>
      <c r="E81" s="232">
        <f>'10K'!$E81*(1-$K$2)+H.Marathon!$E81*$K$2</f>
        <v>0.68498924179621068</v>
      </c>
      <c r="F81" s="274">
        <f t="shared" si="6"/>
        <v>84.974600152053341</v>
      </c>
      <c r="G81" s="220">
        <v>75</v>
      </c>
      <c r="H81" s="282" t="s">
        <v>548</v>
      </c>
      <c r="I81" s="241" t="s">
        <v>221</v>
      </c>
      <c r="J81" s="241" t="s">
        <v>222</v>
      </c>
      <c r="K81" s="248" t="s">
        <v>155</v>
      </c>
      <c r="L81" s="249">
        <v>17637</v>
      </c>
      <c r="M81" s="242" t="s">
        <v>549</v>
      </c>
      <c r="N81" s="241" t="s">
        <v>550</v>
      </c>
      <c r="O81" s="249">
        <v>45186</v>
      </c>
      <c r="P81" s="220"/>
    </row>
    <row r="82" spans="1:16">
      <c r="A82" s="220">
        <v>76</v>
      </c>
      <c r="B82" s="273">
        <v>4.5150462962962962E-2</v>
      </c>
      <c r="C82" s="227">
        <f t="shared" si="7"/>
        <v>65.016666666666666</v>
      </c>
      <c r="D82" s="227">
        <f t="shared" si="5"/>
        <v>47.394684040148448</v>
      </c>
      <c r="E82" s="232">
        <f>'10K'!$E82*(1-$K$2)+H.Marathon!$E82*$K$2</f>
        <v>0.67342292312002294</v>
      </c>
      <c r="F82" s="274">
        <f t="shared" si="6"/>
        <v>72.896207188128855</v>
      </c>
      <c r="G82" s="220">
        <v>76</v>
      </c>
      <c r="H82" s="282" t="s">
        <v>551</v>
      </c>
      <c r="I82" s="283" t="s">
        <v>552</v>
      </c>
      <c r="J82" s="241" t="s">
        <v>553</v>
      </c>
      <c r="K82" s="283" t="s">
        <v>155</v>
      </c>
      <c r="L82" s="249">
        <v>14194</v>
      </c>
      <c r="M82" s="242" t="s">
        <v>450</v>
      </c>
      <c r="N82" s="241" t="s">
        <v>300</v>
      </c>
      <c r="O82" s="249">
        <v>41963</v>
      </c>
      <c r="P82" s="220"/>
    </row>
    <row r="83" spans="1:16" ht="15.75">
      <c r="A83" s="220">
        <v>77</v>
      </c>
      <c r="B83" s="273">
        <v>4.2488425925925923E-2</v>
      </c>
      <c r="C83" s="227">
        <f t="shared" si="7"/>
        <v>61.18333333333333</v>
      </c>
      <c r="D83" s="227">
        <f t="shared" si="5"/>
        <v>48.27398902490728</v>
      </c>
      <c r="E83" s="232">
        <f>'10K'!$E83*(1-$K$2)+H.Marathon!$E83*$K$2</f>
        <v>0.66115660444383528</v>
      </c>
      <c r="F83" s="274">
        <f t="shared" si="6"/>
        <v>78.900554113169079</v>
      </c>
      <c r="G83" s="220">
        <v>77</v>
      </c>
      <c r="H83" s="282" t="s">
        <v>554</v>
      </c>
      <c r="I83" s="283" t="s">
        <v>223</v>
      </c>
      <c r="J83" s="241" t="s">
        <v>224</v>
      </c>
      <c r="K83" s="283" t="s">
        <v>155</v>
      </c>
      <c r="L83" s="236">
        <v>13343</v>
      </c>
      <c r="M83" s="242" t="s">
        <v>429</v>
      </c>
      <c r="N83" s="241" t="s">
        <v>430</v>
      </c>
      <c r="O83" s="249">
        <v>41763</v>
      </c>
      <c r="P83" s="220"/>
    </row>
    <row r="84" spans="1:16">
      <c r="A84" s="220">
        <v>78</v>
      </c>
      <c r="B84" s="273"/>
      <c r="C84" s="227"/>
      <c r="D84" s="227">
        <f t="shared" si="5"/>
        <v>49.237800872728478</v>
      </c>
      <c r="E84" s="232">
        <f>'10K'!$E84*(1-$K$2)+H.Marathon!$E84*$K$2</f>
        <v>0.64821470701272665</v>
      </c>
      <c r="F84" s="274"/>
      <c r="G84" s="220">
        <v>78</v>
      </c>
      <c r="H84" s="277"/>
      <c r="I84" s="220"/>
      <c r="J84" s="220"/>
      <c r="K84" s="220"/>
      <c r="L84" s="220"/>
      <c r="M84" s="220"/>
      <c r="N84" s="220"/>
      <c r="O84" s="220"/>
      <c r="P84" s="220"/>
    </row>
    <row r="85" spans="1:16">
      <c r="A85" s="220">
        <v>79</v>
      </c>
      <c r="B85" s="273"/>
      <c r="C85" s="227"/>
      <c r="D85" s="227">
        <f t="shared" si="5"/>
        <v>50.29031390172225</v>
      </c>
      <c r="E85" s="232">
        <f>'10K'!$E85*(1-$K$2)+H.Marathon!$E85*$K$2</f>
        <v>0.63464838833653903</v>
      </c>
      <c r="F85" s="274"/>
      <c r="G85" s="220">
        <v>79</v>
      </c>
      <c r="H85" s="277"/>
      <c r="I85" s="220"/>
      <c r="J85" s="220"/>
      <c r="K85" s="220"/>
      <c r="L85" s="220"/>
      <c r="M85" s="220"/>
      <c r="N85" s="220"/>
      <c r="O85" s="220"/>
      <c r="P85" s="220"/>
    </row>
    <row r="86" spans="1:16">
      <c r="A86" s="220">
        <v>80</v>
      </c>
      <c r="B86" s="273"/>
      <c r="C86" s="227"/>
      <c r="D86" s="227">
        <f t="shared" si="5"/>
        <v>51.523508748233937</v>
      </c>
      <c r="E86" s="232">
        <f>'5K'!$E86*(1-$K$2)+'10K'!$E86*$K$2</f>
        <v>0.61945832964570124</v>
      </c>
      <c r="F86" s="274"/>
      <c r="G86" s="220">
        <v>80</v>
      </c>
      <c r="H86" s="274"/>
      <c r="I86" s="220"/>
      <c r="J86" s="220"/>
      <c r="K86" s="220"/>
      <c r="L86" s="220"/>
      <c r="M86" s="220"/>
      <c r="N86" s="220"/>
      <c r="O86" s="220"/>
      <c r="P86" s="220"/>
    </row>
    <row r="87" spans="1:16">
      <c r="A87" s="220">
        <v>81</v>
      </c>
      <c r="B87" s="273"/>
      <c r="C87" s="227"/>
      <c r="D87" s="227">
        <f t="shared" si="5"/>
        <v>52.720719803539858</v>
      </c>
      <c r="E87" s="232">
        <f>'10K'!$E87*(1-$K$2)+H.Marathon!$E87*$K$2</f>
        <v>0.60539132973908427</v>
      </c>
      <c r="F87" s="274"/>
      <c r="G87" s="220">
        <v>81</v>
      </c>
      <c r="H87" s="274"/>
      <c r="I87" s="220"/>
      <c r="J87" s="220"/>
      <c r="K87" s="220"/>
      <c r="L87" s="220"/>
      <c r="M87" s="220"/>
      <c r="N87" s="220"/>
      <c r="O87" s="220"/>
      <c r="P87" s="220"/>
    </row>
    <row r="88" spans="1:16">
      <c r="A88" s="220">
        <v>82</v>
      </c>
      <c r="B88" s="273"/>
      <c r="C88" s="227"/>
      <c r="D88" s="227">
        <f t="shared" si="5"/>
        <v>54.114334942468197</v>
      </c>
      <c r="E88" s="232">
        <f>'10K'!$E88*(1-$K$2)+H.Marathon!$E88*$K$2</f>
        <v>0.58980058981781736</v>
      </c>
      <c r="F88" s="274"/>
      <c r="G88" s="220">
        <v>82</v>
      </c>
      <c r="H88" s="274"/>
      <c r="I88" s="220"/>
      <c r="J88" s="220"/>
      <c r="K88" s="220"/>
      <c r="L88" s="220"/>
      <c r="M88" s="220"/>
      <c r="N88" s="220"/>
      <c r="O88" s="220"/>
      <c r="P88" s="220"/>
    </row>
    <row r="89" spans="1:16">
      <c r="A89" s="220">
        <v>83</v>
      </c>
      <c r="B89" s="273"/>
      <c r="C89" s="227"/>
      <c r="D89" s="227">
        <f t="shared" si="5"/>
        <v>55.649101148107505</v>
      </c>
      <c r="E89" s="232">
        <f>'10K'!$E89*(1-$K$2)+H.Marathon!$E89*$K$2</f>
        <v>0.57353427114162969</v>
      </c>
      <c r="F89" s="274"/>
      <c r="G89" s="220">
        <v>83</v>
      </c>
      <c r="H89" s="274"/>
      <c r="I89" s="220"/>
      <c r="J89" s="220"/>
      <c r="K89" s="220"/>
      <c r="L89" s="220"/>
      <c r="M89" s="220"/>
      <c r="N89" s="220"/>
      <c r="O89" s="220"/>
      <c r="P89" s="220"/>
    </row>
    <row r="90" spans="1:16">
      <c r="A90" s="220">
        <v>84</v>
      </c>
      <c r="B90" s="273">
        <v>7.2523148148148142E-2</v>
      </c>
      <c r="C90" s="227">
        <f>B90*1440</f>
        <v>104.43333333333332</v>
      </c>
      <c r="D90" s="227">
        <f t="shared" si="5"/>
        <v>57.348014802510214</v>
      </c>
      <c r="E90" s="232">
        <f>'10K'!$E90*(1-$K$2)+H.Marathon!$E90*$K$2</f>
        <v>0.55654353122036271</v>
      </c>
      <c r="F90" s="274">
        <f>100*(D90/C90)</f>
        <v>54.913515610447064</v>
      </c>
      <c r="G90" s="220">
        <v>84</v>
      </c>
      <c r="H90" s="274"/>
      <c r="I90" s="220"/>
      <c r="J90" s="220"/>
      <c r="K90" s="220"/>
      <c r="L90" s="220"/>
      <c r="M90" s="220"/>
      <c r="N90" s="220"/>
      <c r="O90" s="220"/>
      <c r="P90" s="220"/>
    </row>
    <row r="91" spans="1:16">
      <c r="A91" s="220">
        <v>85</v>
      </c>
      <c r="B91" s="273"/>
      <c r="C91" s="227"/>
      <c r="D91" s="227">
        <f t="shared" si="5"/>
        <v>59.219781735863172</v>
      </c>
      <c r="E91" s="232">
        <f>'10K'!$E91*(1-$K$2)+H.Marathon!$E91*$K$2</f>
        <v>0.53895279129909579</v>
      </c>
      <c r="F91" s="274"/>
      <c r="G91" s="220">
        <v>85</v>
      </c>
      <c r="H91" s="220"/>
      <c r="I91" s="220"/>
      <c r="J91" s="220"/>
      <c r="K91" s="220"/>
      <c r="L91" s="220"/>
      <c r="M91" s="220"/>
      <c r="N91" s="220"/>
      <c r="O91" s="220"/>
      <c r="P91" s="220"/>
    </row>
    <row r="92" spans="1:16">
      <c r="A92" s="220">
        <v>86</v>
      </c>
      <c r="B92" s="273"/>
      <c r="C92" s="227"/>
      <c r="D92" s="227">
        <f t="shared" si="5"/>
        <v>61.300159253407351</v>
      </c>
      <c r="E92" s="232">
        <f>'10K'!$E92*(1-$K$2)+H.Marathon!$E92*$K$2</f>
        <v>0.52066205137782884</v>
      </c>
      <c r="F92" s="274"/>
      <c r="G92" s="220">
        <v>86</v>
      </c>
      <c r="H92" s="220"/>
      <c r="I92" s="220"/>
      <c r="J92" s="220"/>
      <c r="K92" s="220"/>
      <c r="L92" s="220"/>
      <c r="M92" s="220"/>
      <c r="N92" s="220"/>
      <c r="O92" s="220"/>
      <c r="P92" s="220"/>
    </row>
    <row r="93" spans="1:16">
      <c r="A93" s="220">
        <v>87</v>
      </c>
      <c r="B93" s="273"/>
      <c r="C93" s="227"/>
      <c r="D93" s="227">
        <f t="shared" si="5"/>
        <v>63.620673412635888</v>
      </c>
      <c r="E93" s="232">
        <f>'10K'!$E93*(1-$K$2)+H.Marathon!$E93*$K$2</f>
        <v>0.50167131145656196</v>
      </c>
      <c r="F93" s="274"/>
      <c r="G93" s="220">
        <v>87</v>
      </c>
      <c r="H93" s="220"/>
      <c r="I93" s="220"/>
      <c r="J93" s="220"/>
      <c r="K93" s="220"/>
      <c r="L93" s="220"/>
      <c r="M93" s="220"/>
      <c r="N93" s="220"/>
      <c r="O93" s="220"/>
      <c r="P93" s="220"/>
    </row>
    <row r="94" spans="1:16">
      <c r="A94" s="220">
        <v>88</v>
      </c>
      <c r="B94" s="273"/>
      <c r="C94" s="227"/>
      <c r="D94" s="227">
        <f t="shared" si="5"/>
        <v>66.219819950417744</v>
      </c>
      <c r="E94" s="232">
        <f>'10K'!$E94*(1-$K$2)+H.Marathon!$E94*$K$2</f>
        <v>0.48198057153529494</v>
      </c>
      <c r="F94" s="274"/>
      <c r="G94" s="220">
        <v>88</v>
      </c>
      <c r="H94" s="220"/>
      <c r="I94" s="220"/>
      <c r="J94" s="220"/>
      <c r="K94" s="220"/>
      <c r="L94" s="220"/>
      <c r="M94" s="220"/>
      <c r="N94" s="220"/>
      <c r="O94" s="220"/>
      <c r="P94" s="220"/>
    </row>
    <row r="95" spans="1:16">
      <c r="A95" s="220">
        <v>89</v>
      </c>
      <c r="B95" s="273"/>
      <c r="C95" s="227"/>
      <c r="D95" s="227">
        <f t="shared" si="5"/>
        <v>69.130105281047108</v>
      </c>
      <c r="E95" s="232">
        <f>'10K'!$E95*(1-$K$2)+H.Marathon!$E95*$K$2</f>
        <v>0.46168983161402805</v>
      </c>
      <c r="F95" s="274"/>
      <c r="G95" s="220">
        <v>89</v>
      </c>
      <c r="H95" s="220"/>
      <c r="I95" s="220"/>
      <c r="J95" s="220"/>
      <c r="K95" s="220"/>
      <c r="L95" s="220"/>
      <c r="M95" s="220"/>
      <c r="N95" s="220"/>
      <c r="O95" s="220"/>
      <c r="P95" s="220"/>
    </row>
    <row r="96" spans="1:16">
      <c r="A96" s="220">
        <v>90</v>
      </c>
      <c r="B96" s="273"/>
      <c r="C96" s="227"/>
      <c r="D96" s="227">
        <f t="shared" si="5"/>
        <v>72.426823702488932</v>
      </c>
      <c r="E96" s="232">
        <f>'10K'!$E96*(1-$K$2)+H.Marathon!$E96*$K$2</f>
        <v>0.44067467044768194</v>
      </c>
      <c r="F96" s="274"/>
      <c r="G96" s="220">
        <v>90</v>
      </c>
      <c r="H96" s="220"/>
      <c r="I96" s="220"/>
      <c r="J96" s="220"/>
      <c r="K96" s="220"/>
      <c r="L96" s="220"/>
      <c r="M96" s="220"/>
      <c r="N96" s="220"/>
      <c r="O96" s="220"/>
      <c r="P96" s="220"/>
    </row>
    <row r="97" spans="1:16">
      <c r="A97" s="220">
        <v>91</v>
      </c>
      <c r="B97" s="273"/>
      <c r="C97" s="227"/>
      <c r="D97" s="227">
        <f t="shared" si="5"/>
        <v>76.17635031149355</v>
      </c>
      <c r="E97" s="232">
        <f>'10K'!$E97*(1-$K$2)+H.Marathon!$E97*$K$2</f>
        <v>0.41898393052641503</v>
      </c>
      <c r="F97" s="274"/>
      <c r="G97" s="220">
        <v>91</v>
      </c>
      <c r="H97" s="220"/>
      <c r="I97" s="220"/>
      <c r="J97" s="220"/>
      <c r="K97" s="220"/>
      <c r="L97" s="220"/>
      <c r="M97" s="220"/>
      <c r="N97" s="220"/>
      <c r="O97" s="220"/>
      <c r="P97" s="220"/>
    </row>
    <row r="98" spans="1:16">
      <c r="A98" s="220">
        <v>92</v>
      </c>
      <c r="B98" s="273"/>
      <c r="C98" s="227"/>
      <c r="D98" s="227">
        <f t="shared" si="5"/>
        <v>80.461758353592202</v>
      </c>
      <c r="E98" s="232">
        <f>'10K'!$E98*(1-$K$2)+H.Marathon!$E98*$K$2</f>
        <v>0.39666876936006895</v>
      </c>
      <c r="F98" s="274"/>
      <c r="G98" s="220">
        <v>92</v>
      </c>
      <c r="H98" s="220"/>
      <c r="I98" s="220"/>
      <c r="J98" s="220"/>
      <c r="K98" s="220"/>
      <c r="L98" s="220"/>
      <c r="M98" s="220"/>
      <c r="N98" s="220"/>
      <c r="O98" s="220"/>
      <c r="P98" s="220"/>
    </row>
    <row r="99" spans="1:16">
      <c r="A99" s="220">
        <v>93</v>
      </c>
      <c r="B99" s="273"/>
      <c r="C99" s="227"/>
      <c r="D99" s="227">
        <f t="shared" si="5"/>
        <v>85.417793289766095</v>
      </c>
      <c r="E99" s="232">
        <f>'10K'!$E99*(1-$K$2)+H.Marathon!$E99*$K$2</f>
        <v>0.37365360819372284</v>
      </c>
      <c r="F99" s="274"/>
      <c r="G99" s="220">
        <v>93</v>
      </c>
      <c r="H99" s="220"/>
      <c r="I99" s="220"/>
      <c r="J99" s="220"/>
      <c r="K99" s="220"/>
      <c r="L99" s="220"/>
      <c r="M99" s="220"/>
      <c r="N99" s="220"/>
      <c r="O99" s="220"/>
      <c r="P99" s="220"/>
    </row>
    <row r="100" spans="1:16">
      <c r="A100" s="220">
        <v>94</v>
      </c>
      <c r="B100" s="273"/>
      <c r="C100" s="227"/>
      <c r="D100" s="227">
        <f t="shared" si="5"/>
        <v>91.200151673858869</v>
      </c>
      <c r="E100" s="232">
        <f>'10K'!$E100*(1-$K$2)+H.Marathon!$E100*$K$2</f>
        <v>0.34996286827245587</v>
      </c>
      <c r="F100" s="274"/>
      <c r="G100" s="220">
        <v>94</v>
      </c>
      <c r="H100" s="220"/>
      <c r="I100" s="220"/>
      <c r="J100" s="220"/>
      <c r="K100" s="220"/>
      <c r="L100" s="220"/>
      <c r="M100" s="220"/>
      <c r="N100" s="220"/>
      <c r="O100" s="220"/>
      <c r="P100" s="220"/>
    </row>
    <row r="101" spans="1:16">
      <c r="A101" s="220">
        <v>95</v>
      </c>
      <c r="B101" s="273"/>
      <c r="C101" s="227"/>
      <c r="D101" s="227">
        <f t="shared" si="5"/>
        <v>98.039906194958007</v>
      </c>
      <c r="E101" s="232">
        <f>'10K'!$E101*(1-$K$2)+H.Marathon!$E101*$K$2</f>
        <v>0.32554770710610981</v>
      </c>
      <c r="F101" s="274"/>
      <c r="G101" s="220">
        <v>95</v>
      </c>
      <c r="H101" s="220"/>
      <c r="I101" s="220"/>
      <c r="J101" s="220"/>
      <c r="K101" s="220"/>
      <c r="L101" s="220"/>
      <c r="M101" s="220"/>
      <c r="N101" s="220"/>
      <c r="O101" s="220"/>
      <c r="P101" s="220"/>
    </row>
    <row r="102" spans="1:16">
      <c r="A102" s="220">
        <v>96</v>
      </c>
      <c r="B102" s="273"/>
      <c r="C102" s="227"/>
      <c r="D102" s="227">
        <f t="shared" si="5"/>
        <v>106.20036697477612</v>
      </c>
      <c r="E102" s="232">
        <f>'10K'!$E102*(1-$K$2)+H.Marathon!$E102*$K$2</f>
        <v>0.3005325459397637</v>
      </c>
      <c r="F102" s="274"/>
      <c r="G102" s="220">
        <v>96</v>
      </c>
      <c r="H102" s="220"/>
      <c r="I102" s="220"/>
      <c r="J102" s="220"/>
      <c r="K102" s="220"/>
      <c r="L102" s="220"/>
      <c r="M102" s="220"/>
      <c r="N102" s="220"/>
      <c r="O102" s="220"/>
      <c r="P102" s="220"/>
    </row>
    <row r="103" spans="1:16">
      <c r="A103" s="220">
        <v>97</v>
      </c>
      <c r="B103" s="273" t="s">
        <v>78</v>
      </c>
      <c r="C103" s="227"/>
      <c r="D103" s="227">
        <f t="shared" si="5"/>
        <v>116.13772794243505</v>
      </c>
      <c r="E103" s="232">
        <f>'10K'!$E103*(1-$K$2)+H.Marathon!$E103*$K$2</f>
        <v>0.27481738477341761</v>
      </c>
      <c r="F103" s="220"/>
      <c r="G103" s="220">
        <v>97</v>
      </c>
      <c r="H103" s="220"/>
      <c r="I103" s="220"/>
      <c r="J103" s="220"/>
      <c r="K103" s="220"/>
      <c r="L103" s="220"/>
      <c r="M103" s="220"/>
      <c r="N103" s="220"/>
      <c r="O103" s="220"/>
      <c r="P103" s="220"/>
    </row>
    <row r="104" spans="1:16">
      <c r="A104" s="220">
        <v>98</v>
      </c>
      <c r="B104" s="273" t="s">
        <v>78</v>
      </c>
      <c r="C104" s="227"/>
      <c r="D104" s="227">
        <f t="shared" si="5"/>
        <v>128.44876428909012</v>
      </c>
      <c r="E104" s="232">
        <f>'10K'!$E104*(1-$K$2)+H.Marathon!$E104*$K$2</f>
        <v>0.24847780236199229</v>
      </c>
      <c r="F104" s="220"/>
      <c r="G104" s="220">
        <v>98</v>
      </c>
      <c r="H104" s="220"/>
      <c r="I104" s="220"/>
      <c r="J104" s="220"/>
      <c r="K104" s="220"/>
      <c r="L104" s="220"/>
      <c r="M104" s="220"/>
      <c r="N104" s="220"/>
      <c r="O104" s="220"/>
      <c r="P104" s="220"/>
    </row>
    <row r="105" spans="1:16">
      <c r="A105" s="220">
        <v>99</v>
      </c>
      <c r="B105" s="273" t="s">
        <v>78</v>
      </c>
      <c r="C105" s="227"/>
      <c r="D105" s="227">
        <f t="shared" si="5"/>
        <v>144.18271526882384</v>
      </c>
      <c r="E105" s="232">
        <f>'10K'!$E105*(1-$K$2)+H.Marathon!$E105*$K$2</f>
        <v>0.22136264119564619</v>
      </c>
      <c r="F105" s="220"/>
      <c r="G105" s="220">
        <v>99</v>
      </c>
      <c r="H105" s="220"/>
      <c r="I105" s="220"/>
      <c r="J105" s="220"/>
      <c r="K105" s="220"/>
      <c r="L105" s="220"/>
      <c r="M105" s="220"/>
      <c r="N105" s="220"/>
      <c r="O105" s="220"/>
      <c r="P105" s="220"/>
    </row>
    <row r="106" spans="1:16">
      <c r="A106" s="220">
        <v>100</v>
      </c>
      <c r="B106" s="273"/>
      <c r="C106" s="220"/>
      <c r="D106" s="227">
        <f t="shared" si="5"/>
        <v>164.83918220833152</v>
      </c>
      <c r="E106" s="232">
        <f>'10K'!$E106*(1-$K$2)+H.Marathon!$E106*$K$2</f>
        <v>0.19362305878422087</v>
      </c>
      <c r="F106" s="220"/>
      <c r="G106" s="220"/>
      <c r="H106" s="220"/>
      <c r="I106" s="220"/>
      <c r="J106" s="220"/>
      <c r="K106" s="220"/>
      <c r="L106" s="220"/>
      <c r="M106" s="220"/>
      <c r="N106" s="220"/>
      <c r="O106" s="220"/>
      <c r="P106" s="220"/>
    </row>
  </sheetData>
  <pageMargins left="0.5" right="0.5" top="0.5" bottom="0.5" header="0" footer="0"/>
  <pageSetup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6</vt:i4>
      </vt:variant>
    </vt:vector>
  </HeadingPairs>
  <TitlesOfParts>
    <vt:vector size="32" baseType="lpstr">
      <vt:lpstr>Parameters</vt:lpstr>
      <vt:lpstr>Mile</vt:lpstr>
      <vt:lpstr>5K</vt:lpstr>
      <vt:lpstr>6K</vt:lpstr>
      <vt:lpstr>4MI</vt:lpstr>
      <vt:lpstr>8K</vt:lpstr>
      <vt:lpstr>5MI</vt:lpstr>
      <vt:lpstr>10K</vt:lpstr>
      <vt:lpstr>12K</vt:lpstr>
      <vt:lpstr>15K</vt:lpstr>
      <vt:lpstr>10MI</vt:lpstr>
      <vt:lpstr>20K</vt:lpstr>
      <vt:lpstr>H.Marathon</vt:lpstr>
      <vt:lpstr>25K</vt:lpstr>
      <vt:lpstr>30K</vt:lpstr>
      <vt:lpstr>Marathon</vt:lpstr>
      <vt:lpstr>50K</vt:lpstr>
      <vt:lpstr>100K</vt:lpstr>
      <vt:lpstr>200K</vt:lpstr>
      <vt:lpstr>Age Factors</vt:lpstr>
      <vt:lpstr>AgeStanSec</vt:lpstr>
      <vt:lpstr>Age Stan HMS</vt:lpstr>
      <vt:lpstr>Pace</vt:lpstr>
      <vt:lpstr>Perf</vt:lpstr>
      <vt:lpstr>2010 Perf</vt:lpstr>
      <vt:lpstr>Sheet1</vt:lpstr>
      <vt:lpstr>AGE</vt:lpstr>
      <vt:lpstr>CHART_RANGE</vt:lpstr>
      <vt:lpstr>MILE</vt:lpstr>
      <vt:lpstr>OC</vt:lpstr>
      <vt:lpstr>PROPOSED</vt:lpstr>
      <vt:lpstr>RECORDS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Jones</dc:creator>
  <cp:lastModifiedBy>Alan Jones</cp:lastModifiedBy>
  <dcterms:created xsi:type="dcterms:W3CDTF">2014-10-08T19:57:24Z</dcterms:created>
  <dcterms:modified xsi:type="dcterms:W3CDTF">2024-10-28T17:04:03Z</dcterms:modified>
</cp:coreProperties>
</file>